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<sst xmlns="http://schemas.openxmlformats.org/spreadsheetml/2006/main" count="23866" uniqueCount="8072">
  <si>
    <t>CITY</t>
  </si>
  <si>
    <t>CITY NAME</t>
  </si>
  <si>
    <t>DISTRICT</t>
  </si>
  <si>
    <t>Agliè</t>
  </si>
  <si>
    <t>Torino</t>
  </si>
  <si>
    <t>Torino@asteflorio.com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</si>
  <si>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</si>
  <si>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</si>
  <si>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</si>
  <si>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</si>
  <si>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</si>
  <si>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</si>
  <si>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</si>
  <si>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</si>
  <si>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</si>
  <si>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</si>
  <si>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</si>
  <si>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</si>
  <si>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</si>
  <si>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</si>
  <si>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</si>
  <si>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</si>
  <si>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</si>
  <si>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</si>
  <si>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</si>
  <si>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</si>
  <si>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</si>
  <si>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</si>
  <si>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</si>
  <si>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</si>
  <si>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</si>
  <si>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</si>
  <si>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</si>
  <si>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</si>
  <si>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</si>
  <si>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</si>
  <si>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</si>
  <si>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</si>
  <si>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</si>
  <si>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</si>
  <si>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</si>
  <si>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</si>
  <si>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</si>
  <si>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</si>
  <si>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</si>
  <si>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</si>
  <si>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</si>
  <si>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</si>
  <si>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</si>
  <si>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</si>
  <si>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</si>
  <si>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</si>
  <si>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</si>
  <si>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</si>
  <si>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</si>
  <si>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</si>
  <si>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</si>
  <si>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</si>
  <si>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</si>
  <si>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</si>
  <si>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</si>
  <si>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</si>
  <si>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</si>
  <si>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</si>
  <si>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</si>
  <si>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</si>
  <si>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</si>
  <si>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</si>
  <si>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</si>
  <si>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</si>
  <si>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</si>
  <si>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</si>
  <si>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</si>
  <si>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</si>
  <si>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</si>
  <si>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</si>
  <si>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</si>
  <si>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</si>
  <si>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</si>
  <si>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</si>
  <si>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</si>
  <si>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</si>
  <si>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</si>
  <si>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</si>
  <si>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</si>
  <si>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</si>
  <si>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</si>
  <si>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</si>
  <si>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</si>
  <si>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</si>
  <si>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</si>
  <si>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</si>
  <si>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</si>
  <si>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</si>
  <si>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</si>
  <si>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</si>
  <si>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</si>
  <si>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</si>
  <si>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</si>
  <si>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</si>
  <si>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</si>
  <si>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</si>
  <si>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</si>
  <si>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</si>
  <si>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</si>
  <si>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</si>
  <si>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</si>
  <si>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</si>
  <si>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</si>
  <si>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</si>
  <si>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</si>
  <si>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</si>
  <si>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</si>
  <si>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</si>
  <si>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</si>
  <si>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</si>
  <si>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</si>
  <si>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</si>
  <si>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</si>
  <si>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</si>
  <si>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</si>
  <si>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</si>
  <si>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</si>
  <si>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</si>
  <si>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</si>
  <si>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</si>
  <si>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</si>
  <si>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</si>
  <si>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</si>
  <si>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</si>
  <si>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</si>
  <si>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</si>
  <si>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</si>
  <si>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</si>
  <si>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</si>
  <si>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</si>
  <si>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</si>
  <si>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</si>
  <si>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</si>
  <si>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</si>
  <si>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</si>
  <si>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</si>
  <si>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</si>
  <si>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</si>
  <si>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</si>
  <si>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</si>
  <si>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</si>
  <si>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</si>
  <si>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</si>
  <si>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</si>
  <si>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</si>
  <si>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</si>
  <si>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</si>
  <si>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</si>
  <si>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</si>
  <si>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</si>
  <si>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</si>
  <si>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</si>
  <si>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</si>
  <si>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</si>
  <si>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</si>
  <si>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</si>
  <si>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</si>
  <si>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</si>
  <si>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</si>
  <si>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</si>
  <si>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</si>
  <si>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</si>
  <si>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</si>
  <si>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</si>
  <si>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</si>
  <si>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</si>
  <si>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</si>
  <si>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</si>
  <si>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</si>
  <si>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</si>
  <si>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</si>
  <si>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</si>
  <si>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</si>
  <si>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</si>
  <si>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</si>
  <si>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</si>
  <si>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</si>
  <si>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</si>
  <si>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</si>
  <si>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</si>
  <si>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</si>
  <si>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</si>
  <si>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</si>
  <si>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</si>
  <si>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</si>
  <si>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</si>
  <si>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</si>
  <si>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</si>
  <si>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</si>
  <si>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</si>
  <si>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</si>
  <si>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</si>
  <si>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</si>
  <si>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</si>
  <si>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</si>
  <si>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</si>
  <si>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</si>
  <si>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</si>
  <si>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</si>
  <si>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</si>
  <si>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</si>
  <si>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</si>
  <si>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</si>
  <si>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</si>
  <si>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</si>
  <si>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</si>
  <si>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</si>
  <si>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</si>
  <si>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</si>
  <si>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</si>
  <si>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</si>
  <si>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</si>
  <si>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</si>
  <si>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</si>
  <si>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</si>
  <si>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</si>
  <si>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</si>
  <si>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</si>
  <si>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</si>
  <si>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</si>
  <si>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</si>
  <si>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</si>
  <si>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</si>
  <si>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</si>
  <si>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</si>
  <si>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</si>
  <si>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</si>
  <si>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</si>
  <si>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</si>
  <si>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</si>
  <si>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</si>
  <si>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</si>
  <si>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</si>
  <si>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</si>
  <si>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</si>
  <si>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</si>
  <si>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</si>
  <si>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</si>
  <si>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</si>
  <si>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</si>
  <si>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</si>
  <si>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</si>
  <si>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</si>
  <si>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</si>
  <si>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</si>
  <si>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</si>
  <si>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</si>
  <si>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</si>
  <si>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</si>
  <si>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</si>
  <si>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</si>
  <si>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</si>
  <si>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</si>
  <si>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</si>
  <si>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</si>
  <si>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</si>
  <si>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</si>
  <si>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</si>
  <si>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</si>
  <si>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</si>
  <si>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</si>
  <si>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</si>
  <si>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</si>
  <si>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</si>
  <si>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</si>
  <si>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</si>
  <si>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</si>
  <si>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</si>
  <si>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</si>
  <si>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</si>
  <si>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</si>
  <si>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</si>
  <si>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</si>
  <si>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</si>
  <si>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</si>
  <si>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</si>
  <si>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</si>
  <si>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</si>
  <si>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</si>
  <si>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</si>
  <si>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</si>
  <si>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</si>
  <si>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</si>
  <si>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</si>
  <si>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</si>
  <si>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</si>
  <si>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</si>
  <si>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</si>
  <si>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</si>
  <si>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</si>
  <si>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</si>
  <si>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</si>
  <si>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</si>
  <si>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</si>
  <si>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</si>
  <si>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</si>
  <si>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</si>
  <si>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</si>
  <si>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</si>
  <si>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</si>
  <si>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</si>
  <si>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</si>
  <si>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</si>
  <si>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</si>
  <si>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</si>
  <si>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</si>
  <si>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</si>
  <si>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</si>
  <si>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</si>
  <si>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</si>
  <si>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</si>
  <si>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</si>
  <si>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</si>
  <si>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</si>
  <si>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Alagna Valsesia</t>
  </si>
  <si>
    <t>Vercelli</t>
  </si>
  <si>
    <t>Vercelli@asteflorio.com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</si>
  <si>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</si>
  <si>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</si>
  <si>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</si>
  <si>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</si>
  <si>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</si>
  <si>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</si>
  <si>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</si>
  <si>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</si>
  <si>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</si>
  <si>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</si>
  <si>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</si>
  <si>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</si>
  <si>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</si>
  <si>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</si>
  <si>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</si>
  <si>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</si>
  <si>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</si>
  <si>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</si>
  <si>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</si>
  <si>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</si>
  <si>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</si>
  <si>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</si>
  <si>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</si>
  <si>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</si>
  <si>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</si>
  <si>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</si>
  <si>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</si>
  <si>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</si>
  <si>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</si>
  <si>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</si>
  <si>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</si>
  <si>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</si>
  <si>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</si>
  <si>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</si>
  <si>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</si>
  <si>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</si>
  <si>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</si>
  <si>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</si>
  <si>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</si>
  <si>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</si>
  <si>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</si>
  <si>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</si>
  <si>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</si>
  <si>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</si>
  <si>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</si>
  <si>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</si>
  <si>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</si>
  <si>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</si>
  <si>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</si>
  <si>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</si>
  <si>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</si>
  <si>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</si>
  <si>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</si>
  <si>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</si>
  <si>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</si>
  <si>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</si>
  <si>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Riva Valdobbia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</si>
  <si>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</si>
  <si>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</si>
  <si>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</si>
  <si>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</si>
  <si>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</si>
  <si>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</si>
  <si>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</si>
  <si>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</si>
  <si>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</si>
  <si>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</si>
  <si>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</si>
  <si>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</si>
  <si>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</si>
  <si>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</si>
  <si>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</si>
  <si>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</si>
  <si>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</si>
  <si>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</si>
  <si>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</si>
  <si>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</si>
  <si>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</si>
  <si>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</si>
  <si>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Alto Sermenza</t>
  </si>
  <si>
    <t>Cellio con Breia</t>
  </si>
  <si>
    <t>Agrate Conturbia</t>
  </si>
  <si>
    <t>Novara</t>
  </si>
  <si>
    <t>Novara@asteflorio.com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</si>
  <si>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</si>
  <si>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</si>
  <si>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</si>
  <si>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</si>
  <si>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</si>
  <si>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</si>
  <si>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</si>
  <si>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</si>
  <si>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</si>
  <si>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</si>
  <si>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</si>
  <si>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</si>
  <si>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</si>
  <si>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</si>
  <si>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</si>
  <si>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</si>
  <si>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</si>
  <si>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</si>
  <si>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</si>
  <si>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</si>
  <si>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</si>
  <si>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</si>
  <si>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</si>
  <si>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</si>
  <si>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</si>
  <si>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</si>
  <si>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</si>
  <si>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</si>
  <si>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</si>
  <si>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</si>
  <si>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</si>
  <si>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</si>
  <si>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</si>
  <si>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</si>
  <si>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</si>
  <si>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</si>
  <si>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</si>
  <si>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</si>
  <si>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</si>
  <si>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</si>
  <si>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</si>
  <si>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</si>
  <si>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</si>
  <si>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</si>
  <si>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</si>
  <si>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</si>
  <si>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</si>
  <si>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</si>
  <si>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</si>
  <si>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</si>
  <si>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</si>
  <si>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</si>
  <si>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</si>
  <si>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</si>
  <si>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</si>
  <si>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</si>
  <si>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</si>
  <si>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</si>
  <si>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</si>
  <si>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</si>
  <si>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</si>
  <si>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</si>
  <si>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</si>
  <si>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</si>
  <si>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</si>
  <si>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</si>
  <si>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</si>
  <si>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</si>
  <si>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</si>
  <si>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</si>
  <si>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</si>
  <si>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</si>
  <si>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</si>
  <si>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</si>
  <si>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</si>
  <si>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</si>
  <si>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</si>
  <si>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</si>
  <si>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</si>
  <si>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</si>
  <si>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</si>
  <si>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</si>
  <si>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</si>
  <si>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</si>
  <si>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</si>
  <si>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</si>
  <si>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</si>
  <si>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Cuneo</t>
  </si>
  <si>
    <t>Cuneo@asteflorio.com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</si>
  <si>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</si>
  <si>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</si>
  <si>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</si>
  <si>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</si>
  <si>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</si>
  <si>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</si>
  <si>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</si>
  <si>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</si>
  <si>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</si>
  <si>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</si>
  <si>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</si>
  <si>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</si>
  <si>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</si>
  <si>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</si>
  <si>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</si>
  <si>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</si>
  <si>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</si>
  <si>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</si>
  <si>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</si>
  <si>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</si>
  <si>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</si>
  <si>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</si>
  <si>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</si>
  <si>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</si>
  <si>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</si>
  <si>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</si>
  <si>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</si>
  <si>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</si>
  <si>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</si>
  <si>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</si>
  <si>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</si>
  <si>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</si>
  <si>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</si>
  <si>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</si>
  <si>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</si>
  <si>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</si>
  <si>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</si>
  <si>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</si>
  <si>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</si>
  <si>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</si>
  <si>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</si>
  <si>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</si>
  <si>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</si>
  <si>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</si>
  <si>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</si>
  <si>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</si>
  <si>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</si>
  <si>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</si>
  <si>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</si>
  <si>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</si>
  <si>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</si>
  <si>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</si>
  <si>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</si>
  <si>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</si>
  <si>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</si>
  <si>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</si>
  <si>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</si>
  <si>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</si>
  <si>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</si>
  <si>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</si>
  <si>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</si>
  <si>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</si>
  <si>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</si>
  <si>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</si>
  <si>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</si>
  <si>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</si>
  <si>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</si>
  <si>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</si>
  <si>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</si>
  <si>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</si>
  <si>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</si>
  <si>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</si>
  <si>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</si>
  <si>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</si>
  <si>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</si>
  <si>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</si>
  <si>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</si>
  <si>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</si>
  <si>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</si>
  <si>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</si>
  <si>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</si>
  <si>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</si>
  <si>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</si>
  <si>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</si>
  <si>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</si>
  <si>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</si>
  <si>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</si>
  <si>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</si>
  <si>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</si>
  <si>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</si>
  <si>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</si>
  <si>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</si>
  <si>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</si>
  <si>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</si>
  <si>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</si>
  <si>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</si>
  <si>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</si>
  <si>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</si>
  <si>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</si>
  <si>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</si>
  <si>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</si>
  <si>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</si>
  <si>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</si>
  <si>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</si>
  <si>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</si>
  <si>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</si>
  <si>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</si>
  <si>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</si>
  <si>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</si>
  <si>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</si>
  <si>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</si>
  <si>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</si>
  <si>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</si>
  <si>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</si>
  <si>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</si>
  <si>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</si>
  <si>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</si>
  <si>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</si>
  <si>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</si>
  <si>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</si>
  <si>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</si>
  <si>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</si>
  <si>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</si>
  <si>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</si>
  <si>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</si>
  <si>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</si>
  <si>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</si>
  <si>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</si>
  <si>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</si>
  <si>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</si>
  <si>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</si>
  <si>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</si>
  <si>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</si>
  <si>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</si>
  <si>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</si>
  <si>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</si>
  <si>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</si>
  <si>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</si>
  <si>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</si>
  <si>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</si>
  <si>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</si>
  <si>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</si>
  <si>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</si>
  <si>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</si>
  <si>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</si>
  <si>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</si>
  <si>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</si>
  <si>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</si>
  <si>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</si>
  <si>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</si>
  <si>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</si>
  <si>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</si>
  <si>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</si>
  <si>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</si>
  <si>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</si>
  <si>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</si>
  <si>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</si>
  <si>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</si>
  <si>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</si>
  <si>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</si>
  <si>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</si>
  <si>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</si>
  <si>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</si>
  <si>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</si>
  <si>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</si>
  <si>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</si>
  <si>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</si>
  <si>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</si>
  <si>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</si>
  <si>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</si>
  <si>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</si>
  <si>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</si>
  <si>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</si>
  <si>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</si>
  <si>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</si>
  <si>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</si>
  <si>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</si>
  <si>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</si>
  <si>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</si>
  <si>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</si>
  <si>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</si>
  <si>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</si>
  <si>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</si>
  <si>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</si>
  <si>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</si>
  <si>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</si>
  <si>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</si>
  <si>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</si>
  <si>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</si>
  <si>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</si>
  <si>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</si>
  <si>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</si>
  <si>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</si>
  <si>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</si>
  <si>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</si>
  <si>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</si>
  <si>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</si>
  <si>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</si>
  <si>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</si>
  <si>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</si>
  <si>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</si>
  <si>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</si>
  <si>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</si>
  <si>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</si>
  <si>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</si>
  <si>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</si>
  <si>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</si>
  <si>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</si>
  <si>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</si>
  <si>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</si>
  <si>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</si>
  <si>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</si>
  <si>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</si>
  <si>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</si>
  <si>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</si>
  <si>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</si>
  <si>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</si>
  <si>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</si>
  <si>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</si>
  <si>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</si>
  <si>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</si>
  <si>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</si>
  <si>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</si>
  <si>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</si>
  <si>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</si>
  <si>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</si>
  <si>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</si>
  <si>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</si>
  <si>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</si>
  <si>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</si>
  <si>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</si>
  <si>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</si>
  <si>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</si>
  <si>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</si>
  <si>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</si>
  <si>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</si>
  <si>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</si>
  <si>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</si>
  <si>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</si>
  <si>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</si>
  <si>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</si>
  <si>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</si>
  <si>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</si>
  <si>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</si>
  <si>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</si>
  <si>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</si>
  <si>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</si>
  <si>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</si>
  <si>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</si>
  <si>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Asti</t>
  </si>
  <si>
    <t>Asti@asteflorio.com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</si>
  <si>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</si>
  <si>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</si>
  <si>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</si>
  <si>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</si>
  <si>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</si>
  <si>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</si>
  <si>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</si>
  <si>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</si>
  <si>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</si>
  <si>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</si>
  <si>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</si>
  <si>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</si>
  <si>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</si>
  <si>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</si>
  <si>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</si>
  <si>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</si>
  <si>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</si>
  <si>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</si>
  <si>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</si>
  <si>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</si>
  <si>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</si>
  <si>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</si>
  <si>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</si>
  <si>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</si>
  <si>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</si>
  <si>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</si>
  <si>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</si>
  <si>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</si>
  <si>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</si>
  <si>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</si>
  <si>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</si>
  <si>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</si>
  <si>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</si>
  <si>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</si>
  <si>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</si>
  <si>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</si>
  <si>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</si>
  <si>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</si>
  <si>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</si>
  <si>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</si>
  <si>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</si>
  <si>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</si>
  <si>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</si>
  <si>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</si>
  <si>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</si>
  <si>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</si>
  <si>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</si>
  <si>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</si>
  <si>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</si>
  <si>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</si>
  <si>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</si>
  <si>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</si>
  <si>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</si>
  <si>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</si>
  <si>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</si>
  <si>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</si>
  <si>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</si>
  <si>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</si>
  <si>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</si>
  <si>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</si>
  <si>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</si>
  <si>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</si>
  <si>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</si>
  <si>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</si>
  <si>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</si>
  <si>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</si>
  <si>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</si>
  <si>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</si>
  <si>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</si>
  <si>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</si>
  <si>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</si>
  <si>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</si>
  <si>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</si>
  <si>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</si>
  <si>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</si>
  <si>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</si>
  <si>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</si>
  <si>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</si>
  <si>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</si>
  <si>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</si>
  <si>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</si>
  <si>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</si>
  <si>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</si>
  <si>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</si>
  <si>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</si>
  <si>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</si>
  <si>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</si>
  <si>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</si>
  <si>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</si>
  <si>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</si>
  <si>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</si>
  <si>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</si>
  <si>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</si>
  <si>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</si>
  <si>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</si>
  <si>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</si>
  <si>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</si>
  <si>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</si>
  <si>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</si>
  <si>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</si>
  <si>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</si>
  <si>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</si>
  <si>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</si>
  <si>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</si>
  <si>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</si>
  <si>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</si>
  <si>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</si>
  <si>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</si>
  <si>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</si>
  <si>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</si>
  <si>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</si>
  <si>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</si>
  <si>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</si>
  <si>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</si>
  <si>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</si>
  <si>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</si>
  <si>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</si>
  <si>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Alessandria</t>
  </si>
  <si>
    <t>Alessandria@asteflorio.com</t>
  </si>
  <si>
    <t>Albera Ligure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</si>
  <si>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</si>
  <si>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</si>
  <si>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</si>
  <si>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</si>
  <si>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</si>
  <si>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</si>
  <si>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</si>
  <si>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</si>
  <si>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</si>
  <si>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</si>
  <si>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</si>
  <si>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</si>
  <si>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</si>
  <si>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</si>
  <si>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</si>
  <si>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</si>
  <si>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</si>
  <si>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</si>
  <si>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</si>
  <si>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</si>
  <si>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</si>
  <si>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</si>
  <si>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</si>
  <si>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</si>
  <si>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</si>
  <si>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</si>
  <si>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</si>
  <si>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</si>
  <si>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</si>
  <si>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</si>
  <si>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</si>
  <si>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</si>
  <si>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</si>
  <si>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</si>
  <si>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</si>
  <si>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</si>
  <si>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</si>
  <si>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</si>
  <si>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</si>
  <si>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</si>
  <si>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</si>
  <si>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</si>
  <si>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</si>
  <si>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</si>
  <si>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</si>
  <si>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</si>
  <si>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</si>
  <si>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</si>
  <si>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</si>
  <si>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</si>
  <si>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</si>
  <si>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</si>
  <si>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</si>
  <si>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</si>
  <si>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</si>
  <si>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</si>
  <si>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</si>
  <si>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</si>
  <si>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</si>
  <si>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</si>
  <si>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</si>
  <si>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</si>
  <si>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</si>
  <si>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</si>
  <si>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</si>
  <si>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</si>
  <si>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</si>
  <si>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</si>
  <si>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</si>
  <si>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</si>
  <si>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</si>
  <si>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</si>
  <si>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</si>
  <si>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</si>
  <si>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</si>
  <si>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</si>
  <si>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</si>
  <si>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</si>
  <si>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</si>
  <si>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</si>
  <si>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</si>
  <si>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</si>
  <si>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</si>
  <si>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</si>
  <si>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</si>
  <si>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</si>
  <si>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</si>
  <si>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</si>
  <si>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</si>
  <si>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</si>
  <si>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</si>
  <si>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</si>
  <si>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</si>
  <si>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</si>
  <si>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</si>
  <si>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</si>
  <si>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</si>
  <si>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</si>
  <si>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</si>
  <si>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</si>
  <si>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</si>
  <si>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</si>
  <si>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</si>
  <si>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</si>
  <si>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</si>
  <si>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</si>
  <si>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</si>
  <si>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</si>
  <si>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</si>
  <si>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</si>
  <si>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</si>
  <si>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</si>
  <si>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</si>
  <si>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</si>
  <si>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</si>
  <si>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</si>
  <si>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</si>
  <si>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</si>
  <si>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</si>
  <si>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</si>
  <si>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</si>
  <si>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</si>
  <si>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</si>
  <si>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</si>
  <si>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</si>
  <si>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</si>
  <si>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</si>
  <si>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</si>
  <si>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</si>
  <si>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</si>
  <si>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</si>
  <si>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</si>
  <si>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</si>
  <si>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</si>
  <si>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</si>
  <si>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</si>
  <si>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</si>
  <si>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</si>
  <si>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</si>
  <si>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</si>
  <si>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</si>
  <si>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</si>
  <si>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</si>
  <si>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</si>
  <si>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</si>
  <si>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</si>
  <si>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</si>
  <si>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</si>
  <si>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</si>
  <si>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</si>
  <si>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</si>
  <si>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</si>
  <si>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</si>
  <si>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</si>
  <si>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</si>
  <si>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</si>
  <si>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</si>
  <si>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</si>
  <si>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</si>
  <si>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</si>
  <si>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</si>
  <si>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</si>
  <si>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</si>
  <si>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</si>
  <si>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</si>
  <si>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</si>
  <si>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</si>
  <si>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</si>
  <si>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</si>
  <si>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</si>
  <si>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</si>
  <si>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</si>
  <si>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</si>
  <si>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</si>
  <si>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</si>
  <si>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</si>
  <si>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</si>
  <si>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</si>
  <si>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</si>
  <si>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</si>
  <si>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</si>
  <si>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</si>
  <si>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</si>
  <si>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</si>
  <si>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</si>
  <si>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Ailoche</t>
  </si>
  <si>
    <t>Biella</t>
  </si>
  <si>
    <t>Biella@asteflorio.com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</si>
  <si>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</si>
  <si>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</si>
  <si>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</si>
  <si>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</si>
  <si>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</si>
  <si>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</si>
  <si>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</si>
  <si>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</si>
  <si>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</si>
  <si>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</si>
  <si>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</si>
  <si>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</si>
  <si>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</si>
  <si>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</si>
  <si>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</si>
  <si>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</si>
  <si>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</si>
  <si>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</si>
  <si>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</si>
  <si>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</si>
  <si>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</si>
  <si>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</si>
  <si>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</si>
  <si>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</si>
  <si>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</si>
  <si>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</si>
  <si>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</si>
  <si>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</si>
  <si>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</si>
  <si>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</si>
  <si>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</si>
  <si>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</si>
  <si>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</si>
  <si>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</si>
  <si>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</si>
  <si>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</si>
  <si>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</si>
  <si>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</si>
  <si>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</si>
  <si>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</si>
  <si>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</si>
  <si>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</si>
  <si>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</si>
  <si>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</si>
  <si>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</si>
  <si>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</si>
  <si>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</si>
  <si>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</si>
  <si>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</si>
  <si>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</si>
  <si>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</si>
  <si>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</si>
  <si>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</si>
  <si>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</si>
  <si>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</si>
  <si>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</si>
  <si>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</si>
  <si>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</si>
  <si>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</si>
  <si>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</si>
  <si>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</si>
  <si>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</si>
  <si>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</si>
  <si>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</si>
  <si>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</si>
  <si>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</si>
  <si>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</si>
  <si>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</si>
  <si>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</si>
  <si>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</si>
  <si>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</si>
  <si>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</si>
  <si>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</si>
  <si>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</si>
  <si>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Lessona</t>
  </si>
  <si>
    <t>Campiglia Cervo</t>
  </si>
  <si>
    <t>Antrona Schieranco</t>
  </si>
  <si>
    <t>VerbanoCusioOssola</t>
  </si>
  <si>
    <t>VerbanoCusioOssola@asteflorio.com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</si>
  <si>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</si>
  <si>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</si>
  <si>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</si>
  <si>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</si>
  <si>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</si>
  <si>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</si>
  <si>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</si>
  <si>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</si>
  <si>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</si>
  <si>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BeuraCardezza</t>
  </si>
  <si>
    <t>Bognanco</t>
  </si>
  <si>
    <t>BrovelloCarpugnino</t>
  </si>
  <si>
    <t>CalascaCastiglione</t>
  </si>
  <si>
    <t>Cambiasca</t>
  </si>
  <si>
    <t>Cannero Riviera</t>
  </si>
  <si>
    <t>Cannobio</t>
  </si>
  <si>
    <t>Caprezzo</t>
  </si>
  <si>
    <t>Casale Corte Cerro</t>
  </si>
  <si>
    <t>CavaglioSpoccia</t>
  </si>
  <si>
    <t>Ceppo Morelli</t>
  </si>
  <si>
    <t>Cesara</t>
  </si>
  <si>
    <t>Cossogno</t>
  </si>
  <si>
    <t>Craveggia</t>
  </si>
  <si>
    <t>Crevoladossola</t>
  </si>
  <si>
    <t>Crodo</t>
  </si>
  <si>
    <t>CursoloOrasso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</si>
  <si>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</si>
  <si>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</si>
  <si>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</si>
  <si>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</si>
  <si>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</si>
  <si>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</si>
  <si>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</si>
  <si>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</si>
  <si>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</si>
  <si>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</si>
  <si>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</si>
  <si>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</si>
  <si>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</si>
  <si>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</si>
  <si>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</si>
  <si>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</si>
  <si>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</si>
  <si>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</si>
  <si>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</si>
  <si>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</si>
  <si>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</si>
  <si>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</si>
  <si>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</si>
  <si>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</si>
  <si>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</si>
  <si>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</si>
  <si>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</si>
  <si>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</si>
  <si>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</si>
  <si>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</si>
  <si>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</si>
  <si>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</si>
  <si>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</si>
  <si>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</si>
  <si>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</si>
  <si>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</si>
  <si>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</si>
  <si>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</si>
  <si>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</si>
  <si>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</si>
  <si>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</si>
  <si>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</si>
  <si>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</si>
  <si>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</si>
  <si>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</si>
  <si>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</si>
  <si>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</si>
  <si>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</si>
  <si>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</si>
  <si>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Allein</t>
  </si>
  <si>
    <t>ValledAosta</t>
  </si>
  <si>
    <t>ValledAosta@asteflorio.com</t>
  </si>
  <si>
    <t>AnteySaintAndré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</si>
  <si>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</si>
  <si>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</si>
  <si>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</si>
  <si>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</si>
  <si>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</si>
  <si>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</si>
  <si>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</si>
  <si>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</si>
  <si>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</si>
  <si>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</si>
  <si>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ChallandSaintAnselme</t>
  </si>
  <si>
    <t>ChallandSaintVictor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</si>
  <si>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</si>
  <si>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</si>
  <si>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</si>
  <si>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</si>
  <si>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</si>
  <si>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</si>
  <si>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</si>
  <si>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</si>
  <si>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</si>
  <si>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</si>
  <si>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</si>
  <si>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</si>
  <si>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</si>
  <si>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</si>
  <si>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</si>
  <si>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</si>
  <si>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</si>
  <si>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GressoneyLaTrinité</t>
  </si>
  <si>
    <t>GressoneySaintJean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</si>
  <si>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</si>
  <si>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</si>
  <si>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</si>
  <si>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</si>
  <si>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</si>
  <si>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</si>
  <si>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</si>
  <si>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</si>
  <si>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</si>
  <si>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</si>
  <si>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</si>
  <si>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</si>
  <si>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</si>
  <si>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</si>
  <si>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</si>
  <si>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</si>
  <si>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</si>
  <si>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</si>
  <si>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PontSaintMartin</t>
  </si>
  <si>
    <t>PréSaintDidier</t>
  </si>
  <si>
    <t>Quart</t>
  </si>
  <si>
    <t>RhêmesNotreDame</t>
  </si>
  <si>
    <t>RhêmesSaintGeorges</t>
  </si>
  <si>
    <t>Roisan</t>
  </si>
  <si>
    <t>SaintChristophe</t>
  </si>
  <si>
    <t>SaintDenis</t>
  </si>
  <si>
    <t>SaintMarcel</t>
  </si>
  <si>
    <t>SaintNicolas</t>
  </si>
  <si>
    <t>SaintOyen</t>
  </si>
  <si>
    <t>SaintPierre</t>
  </si>
  <si>
    <t>SaintRhémyenBosses</t>
  </si>
  <si>
    <t>SaintVincent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</si>
  <si>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</si>
  <si>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</si>
  <si>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</si>
  <si>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</si>
  <si>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</si>
  <si>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</si>
  <si>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</si>
  <si>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</si>
  <si>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</si>
  <si>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</si>
  <si>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Varese</t>
  </si>
  <si>
    <t>Varese@asteflorio.com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</si>
  <si>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</si>
  <si>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</si>
  <si>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</si>
  <si>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</si>
  <si>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</si>
  <si>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</si>
  <si>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</si>
  <si>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</si>
  <si>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</si>
  <si>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</si>
  <si>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</si>
  <si>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</si>
  <si>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</si>
  <si>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</si>
  <si>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</si>
  <si>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</si>
  <si>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</si>
  <si>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</si>
  <si>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</si>
  <si>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</si>
  <si>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BrissagoValtravaglia</t>
  </si>
  <si>
    <t>Brunello</t>
  </si>
  <si>
    <t>Brusimpiano</t>
  </si>
  <si>
    <t>Buguggiate</t>
  </si>
  <si>
    <t>Busto Arsizio</t>
  </si>
  <si>
    <t>CadeglianoViconago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</si>
  <si>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</si>
  <si>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</si>
  <si>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</si>
  <si>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</si>
  <si>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</si>
  <si>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</si>
  <si>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</si>
  <si>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</si>
  <si>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</si>
  <si>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</si>
  <si>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</si>
  <si>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</si>
  <si>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</si>
  <si>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</si>
  <si>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</si>
  <si>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</si>
  <si>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</si>
  <si>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</si>
  <si>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</si>
  <si>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</si>
  <si>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</si>
  <si>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</si>
  <si>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</si>
  <si>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</si>
  <si>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</si>
  <si>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CocquioTrevisago</t>
  </si>
  <si>
    <t>Comabbio</t>
  </si>
  <si>
    <t>Comerio</t>
  </si>
  <si>
    <t>Cremenaga</t>
  </si>
  <si>
    <t>Crosio della Valle</t>
  </si>
  <si>
    <t>Cuasso al Monte</t>
  </si>
  <si>
    <t>CugliateFabiasco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</si>
  <si>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</si>
  <si>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</si>
  <si>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</si>
  <si>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</si>
  <si>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</si>
  <si>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</si>
  <si>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</si>
  <si>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</si>
  <si>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</si>
  <si>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</si>
  <si>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</si>
  <si>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</si>
  <si>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</si>
  <si>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</si>
  <si>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</si>
  <si>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</si>
  <si>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</si>
  <si>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</si>
  <si>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</si>
  <si>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</si>
  <si>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</si>
  <si>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</si>
  <si>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</si>
  <si>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</si>
  <si>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</si>
  <si>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</si>
  <si>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</si>
  <si>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</si>
  <si>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</si>
  <si>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</si>
  <si>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</si>
  <si>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</si>
  <si>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</si>
  <si>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</si>
  <si>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</si>
  <si>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</si>
  <si>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</si>
  <si>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</si>
  <si>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</si>
  <si>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</si>
  <si>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</si>
  <si>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</si>
  <si>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</si>
  <si>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</si>
  <si>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</si>
  <si>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</si>
  <si>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</si>
  <si>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</si>
  <si>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</si>
  <si>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</si>
  <si>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</si>
  <si>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</si>
  <si>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</si>
  <si>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</si>
  <si>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</si>
  <si>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</si>
  <si>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</si>
  <si>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</si>
  <si>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</si>
  <si>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</si>
  <si>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</si>
  <si>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</si>
  <si>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</si>
  <si>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</si>
  <si>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</si>
  <si>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</si>
  <si>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</si>
  <si>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</si>
  <si>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</si>
  <si>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</si>
  <si>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</si>
  <si>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</si>
  <si>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</si>
  <si>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</si>
  <si>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</si>
  <si>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</si>
  <si>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</si>
  <si>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</si>
  <si>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</si>
  <si>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Albavilla</t>
  </si>
  <si>
    <t>Como</t>
  </si>
  <si>
    <t>Como@asteflorio.com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</si>
  <si>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</si>
  <si>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</si>
  <si>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</si>
  <si>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</si>
  <si>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</si>
  <si>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</si>
  <si>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</si>
  <si>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</si>
  <si>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</si>
  <si>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</si>
  <si>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</si>
  <si>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</si>
  <si>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</si>
  <si>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</si>
  <si>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</si>
  <si>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</si>
  <si>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</si>
  <si>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</si>
  <si>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</si>
  <si>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</si>
  <si>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</si>
  <si>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</si>
  <si>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</si>
  <si>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</si>
  <si>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</si>
  <si>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</si>
  <si>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</si>
  <si>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</si>
  <si>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</si>
  <si>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</si>
  <si>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</si>
  <si>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</si>
  <si>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</si>
  <si>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</si>
  <si>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</si>
  <si>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</si>
  <si>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</si>
  <si>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</si>
  <si>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</si>
  <si>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</si>
  <si>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</si>
  <si>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</si>
  <si>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</si>
  <si>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</si>
  <si>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</si>
  <si>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</si>
  <si>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</si>
  <si>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</si>
  <si>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</si>
  <si>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</si>
  <si>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</si>
  <si>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</si>
  <si>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</si>
  <si>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</si>
  <si>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</si>
  <si>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</si>
  <si>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</si>
  <si>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</si>
  <si>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</si>
  <si>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</si>
  <si>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</si>
  <si>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</si>
  <si>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</si>
  <si>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</si>
  <si>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</si>
  <si>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</si>
  <si>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</si>
  <si>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</si>
  <si>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</si>
  <si>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</si>
  <si>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</si>
  <si>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</si>
  <si>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</si>
  <si>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</si>
  <si>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</si>
  <si>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</si>
  <si>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</si>
  <si>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</si>
  <si>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</si>
  <si>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</si>
  <si>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</si>
  <si>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</si>
  <si>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</si>
  <si>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</si>
  <si>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</si>
  <si>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</si>
  <si>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</si>
  <si>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</si>
  <si>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</si>
  <si>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</si>
  <si>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</si>
  <si>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</si>
  <si>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</si>
  <si>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</si>
  <si>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</si>
  <si>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</si>
  <si>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</si>
  <si>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</si>
  <si>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</si>
  <si>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</si>
  <si>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</si>
  <si>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</si>
  <si>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</si>
  <si>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</si>
  <si>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</si>
  <si>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</si>
  <si>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</si>
  <si>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</si>
  <si>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</si>
  <si>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</si>
  <si>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</si>
  <si>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</si>
  <si>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</si>
  <si>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</si>
  <si>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</si>
  <si>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</si>
  <si>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</si>
  <si>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</si>
  <si>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</si>
  <si>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</si>
  <si>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</si>
  <si>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</si>
  <si>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</si>
  <si>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</si>
  <si>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</si>
  <si>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</si>
  <si>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</si>
  <si>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</si>
  <si>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</si>
  <si>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</si>
  <si>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</si>
  <si>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</si>
  <si>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</si>
  <si>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</si>
  <si>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</si>
  <si>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</si>
  <si>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</si>
  <si>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</si>
  <si>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</si>
  <si>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</si>
  <si>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</si>
  <si>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</si>
  <si>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</si>
  <si>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</si>
  <si>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</si>
  <si>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</si>
  <si>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</si>
  <si>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Albaredo per San Marco</t>
  </si>
  <si>
    <t>Sondrio</t>
  </si>
  <si>
    <t>Sondrio@asteflorio.com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</si>
  <si>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</si>
  <si>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</si>
  <si>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</si>
  <si>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</si>
  <si>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</si>
  <si>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</si>
  <si>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</si>
  <si>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</si>
  <si>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</si>
  <si>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</si>
  <si>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</si>
  <si>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</si>
  <si>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</si>
  <si>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</si>
  <si>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</si>
  <si>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</si>
  <si>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</si>
  <si>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</si>
  <si>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</si>
  <si>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</si>
  <si>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</si>
  <si>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</si>
  <si>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</si>
  <si>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</si>
  <si>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</si>
  <si>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</si>
  <si>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</si>
  <si>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</si>
  <si>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</si>
  <si>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</si>
  <si>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</si>
  <si>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</si>
  <si>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</si>
  <si>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</si>
  <si>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</si>
  <si>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</si>
  <si>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</si>
  <si>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</si>
  <si>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</si>
  <si>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</si>
  <si>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</si>
  <si>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</si>
  <si>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</si>
  <si>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</si>
  <si>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</si>
  <si>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</si>
  <si>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</si>
  <si>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</si>
  <si>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</si>
  <si>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</si>
  <si>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</si>
  <si>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</si>
  <si>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</si>
  <si>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</si>
  <si>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</si>
  <si>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</si>
  <si>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</si>
  <si>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</si>
  <si>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</si>
  <si>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</si>
  <si>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</si>
  <si>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</si>
  <si>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</si>
  <si>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</si>
  <si>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</si>
  <si>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</si>
  <si>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</si>
  <si>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</si>
  <si>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</si>
  <si>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</si>
  <si>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</si>
  <si>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</si>
  <si>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</si>
  <si>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</si>
  <si>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</si>
  <si>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</si>
  <si>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Milano</t>
  </si>
  <si>
    <t>Milano@asteflorio.com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</si>
  <si>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</si>
  <si>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</si>
  <si>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</si>
  <si>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</si>
  <si>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</si>
  <si>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</si>
  <si>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</si>
  <si>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</si>
  <si>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</si>
  <si>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</si>
  <si>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</si>
  <si>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</si>
  <si>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</si>
  <si>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</si>
  <si>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</si>
  <si>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</si>
  <si>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</si>
  <si>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</si>
  <si>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</si>
  <si>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</si>
  <si>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</si>
  <si>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</si>
  <si>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</si>
  <si>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</si>
  <si>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</si>
  <si>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</si>
  <si>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</si>
  <si>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</si>
  <si>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</si>
  <si>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</si>
  <si>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</si>
  <si>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</si>
  <si>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</si>
  <si>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</si>
  <si>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</si>
  <si>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</si>
  <si>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</si>
  <si>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</si>
  <si>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</si>
  <si>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</si>
  <si>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</si>
  <si>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</si>
  <si>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</si>
  <si>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</si>
  <si>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</si>
  <si>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</si>
  <si>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</si>
  <si>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</si>
  <si>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</si>
  <si>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</si>
  <si>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</si>
  <si>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</si>
  <si>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</si>
  <si>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</si>
  <si>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</si>
  <si>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</si>
  <si>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</si>
  <si>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</si>
  <si>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</si>
  <si>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</si>
  <si>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</si>
  <si>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</si>
  <si>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</si>
  <si>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</si>
  <si>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</si>
  <si>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</si>
  <si>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</si>
  <si>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</si>
  <si>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</si>
  <si>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</si>
  <si>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</si>
  <si>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</si>
  <si>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</si>
  <si>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</si>
  <si>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</si>
  <si>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</si>
  <si>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</si>
  <si>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</si>
  <si>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</si>
  <si>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</si>
  <si>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</si>
  <si>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</si>
  <si>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</si>
  <si>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</si>
  <si>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</si>
  <si>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</si>
  <si>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</si>
  <si>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</si>
  <si>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</si>
  <si>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</si>
  <si>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</si>
  <si>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</si>
  <si>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</si>
  <si>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</si>
  <si>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</si>
  <si>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</si>
  <si>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</si>
  <si>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</si>
  <si>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</si>
  <si>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</si>
  <si>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</si>
  <si>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</si>
  <si>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</si>
  <si>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</si>
  <si>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</si>
  <si>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</si>
  <si>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</si>
  <si>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</si>
  <si>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</si>
  <si>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</si>
  <si>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</si>
  <si>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</si>
  <si>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</si>
  <si>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</si>
  <si>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</si>
  <si>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</si>
  <si>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</si>
  <si>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</si>
  <si>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</si>
  <si>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</si>
  <si>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</si>
  <si>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</si>
  <si>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</si>
  <si>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</si>
  <si>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</si>
  <si>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</si>
  <si>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</si>
  <si>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</si>
  <si>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</si>
  <si>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</si>
  <si>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</si>
  <si>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</si>
  <si>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</si>
  <si>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Bergamo</t>
  </si>
  <si>
    <t>Bergamo@asteflorio.com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</si>
  <si>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</si>
  <si>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</si>
  <si>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</si>
  <si>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</si>
  <si>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</si>
  <si>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</si>
  <si>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</si>
  <si>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</si>
  <si>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</si>
  <si>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</si>
  <si>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</si>
  <si>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</si>
  <si>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</si>
  <si>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</si>
  <si>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</si>
  <si>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</si>
  <si>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</si>
  <si>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</si>
  <si>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</si>
  <si>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</si>
  <si>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</si>
  <si>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</si>
  <si>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</si>
  <si>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</si>
  <si>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</si>
  <si>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</si>
  <si>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</si>
  <si>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</si>
  <si>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</si>
  <si>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</si>
  <si>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</si>
  <si>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</si>
  <si>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</si>
  <si>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</si>
  <si>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</si>
  <si>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</si>
  <si>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</si>
  <si>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</si>
  <si>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</si>
  <si>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</si>
  <si>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</si>
  <si>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</si>
  <si>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</si>
  <si>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</si>
  <si>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</si>
  <si>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</si>
  <si>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</si>
  <si>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</si>
  <si>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</si>
  <si>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</si>
  <si>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</si>
  <si>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</si>
  <si>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</si>
  <si>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</si>
  <si>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</si>
  <si>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</si>
  <si>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</si>
  <si>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</si>
  <si>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</si>
  <si>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</si>
  <si>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</si>
  <si>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</si>
  <si>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</si>
  <si>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</si>
  <si>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</si>
  <si>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</si>
  <si>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</si>
  <si>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</si>
  <si>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</si>
  <si>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</si>
  <si>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</si>
  <si>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</si>
  <si>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</si>
  <si>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</si>
  <si>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</si>
  <si>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</si>
  <si>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</si>
  <si>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</si>
  <si>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</si>
  <si>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</si>
  <si>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</si>
  <si>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</si>
  <si>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</si>
  <si>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</si>
  <si>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</si>
  <si>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</si>
  <si>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</si>
  <si>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</si>
  <si>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</si>
  <si>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</si>
  <si>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</si>
  <si>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</si>
  <si>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</si>
  <si>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</si>
  <si>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</si>
  <si>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</si>
  <si>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</si>
  <si>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</si>
  <si>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</si>
  <si>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</si>
  <si>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</si>
  <si>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</si>
  <si>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</si>
  <si>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</si>
  <si>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</si>
  <si>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</si>
  <si>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</si>
  <si>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</si>
  <si>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</si>
  <si>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</si>
  <si>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</si>
  <si>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</si>
  <si>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</si>
  <si>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</si>
  <si>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</si>
  <si>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</si>
  <si>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</si>
  <si>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</si>
  <si>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</si>
  <si>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</si>
  <si>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</si>
  <si>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</si>
  <si>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</si>
  <si>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</si>
  <si>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</si>
  <si>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</si>
  <si>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</si>
  <si>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</si>
  <si>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</si>
  <si>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</si>
  <si>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</si>
  <si>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</si>
  <si>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</si>
  <si>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</si>
  <si>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</si>
  <si>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</si>
  <si>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</si>
  <si>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</si>
  <si>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</si>
  <si>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</si>
  <si>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</si>
  <si>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</si>
  <si>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</si>
  <si>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</si>
  <si>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</si>
  <si>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</si>
  <si>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</si>
  <si>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</si>
  <si>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</si>
  <si>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</si>
  <si>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</si>
  <si>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</si>
  <si>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</si>
  <si>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</si>
  <si>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</si>
  <si>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</si>
  <si>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</si>
  <si>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</si>
  <si>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</si>
  <si>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</si>
  <si>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</si>
  <si>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</si>
  <si>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</si>
  <si>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</si>
  <si>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</si>
  <si>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</si>
  <si>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</si>
  <si>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</si>
  <si>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</si>
  <si>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</si>
  <si>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</si>
  <si>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</si>
  <si>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</si>
  <si>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</si>
  <si>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</si>
  <si>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</si>
  <si>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</si>
  <si>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</si>
  <si>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</si>
  <si>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</si>
  <si>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</si>
  <si>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</si>
  <si>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</si>
  <si>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</si>
  <si>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</si>
  <si>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</si>
  <si>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</si>
  <si>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</si>
  <si>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</si>
  <si>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</si>
  <si>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</si>
  <si>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</si>
  <si>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</si>
  <si>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</si>
  <si>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</si>
  <si>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</si>
  <si>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</si>
  <si>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</si>
  <si>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</si>
  <si>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</si>
  <si>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</si>
  <si>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</si>
  <si>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</si>
  <si>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</si>
  <si>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</si>
  <si>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</si>
  <si>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</si>
  <si>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</si>
  <si>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</si>
  <si>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</si>
  <si>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</si>
  <si>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</si>
  <si>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</si>
  <si>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</si>
  <si>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</si>
  <si>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</si>
  <si>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</si>
  <si>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</si>
  <si>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</si>
  <si>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</si>
  <si>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</si>
  <si>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</si>
  <si>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</si>
  <si>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</si>
  <si>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</si>
  <si>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</si>
  <si>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</si>
  <si>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</si>
  <si>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</si>
  <si>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</si>
  <si>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</si>
  <si>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</si>
  <si>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</si>
  <si>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</si>
  <si>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</si>
  <si>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</si>
  <si>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</si>
  <si>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</si>
  <si>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</si>
  <si>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</si>
  <si>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</si>
  <si>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</si>
  <si>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Brescia</t>
  </si>
  <si>
    <t>Brescia@asteflorio.com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</si>
  <si>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</si>
  <si>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</si>
  <si>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</si>
  <si>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</si>
  <si>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</si>
  <si>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</si>
  <si>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</si>
  <si>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</si>
  <si>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</si>
  <si>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</si>
  <si>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</si>
  <si>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</si>
  <si>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</si>
  <si>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</si>
  <si>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</si>
  <si>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</si>
  <si>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</si>
  <si>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</si>
  <si>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</si>
  <si>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</si>
  <si>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</si>
  <si>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</si>
  <si>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</si>
  <si>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</si>
  <si>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</si>
  <si>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</si>
  <si>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</si>
  <si>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</si>
  <si>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</si>
  <si>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</si>
  <si>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</si>
  <si>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</si>
  <si>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</si>
  <si>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</si>
  <si>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</si>
  <si>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</si>
  <si>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</si>
  <si>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</si>
  <si>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</si>
  <si>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</si>
  <si>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</si>
  <si>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</si>
  <si>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</si>
  <si>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</si>
  <si>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</si>
  <si>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</si>
  <si>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</si>
  <si>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</si>
  <si>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</si>
  <si>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</si>
  <si>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</si>
  <si>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</si>
  <si>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</si>
  <si>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</si>
  <si>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</si>
  <si>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</si>
  <si>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</si>
  <si>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</si>
  <si>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</si>
  <si>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</si>
  <si>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</si>
  <si>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</si>
  <si>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</si>
  <si>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</si>
  <si>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</si>
  <si>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</si>
  <si>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</si>
  <si>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</si>
  <si>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</si>
  <si>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</si>
  <si>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</si>
  <si>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</si>
  <si>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</si>
  <si>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</si>
  <si>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</si>
  <si>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</si>
  <si>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</si>
  <si>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</si>
  <si>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</si>
  <si>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</si>
  <si>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</si>
  <si>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</si>
  <si>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</si>
  <si>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</si>
  <si>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</si>
  <si>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</si>
  <si>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</si>
  <si>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</si>
  <si>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</si>
  <si>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</si>
  <si>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</si>
  <si>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</si>
  <si>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</si>
  <si>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</si>
  <si>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</si>
  <si>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</si>
  <si>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</si>
  <si>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</si>
  <si>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</si>
  <si>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</si>
  <si>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</si>
  <si>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</si>
  <si>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</si>
  <si>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</si>
  <si>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</si>
  <si>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</si>
  <si>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</si>
  <si>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</si>
  <si>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</si>
  <si>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</si>
  <si>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</si>
  <si>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</si>
  <si>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</si>
  <si>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</si>
  <si>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</si>
  <si>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</si>
  <si>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</si>
  <si>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</si>
  <si>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</si>
  <si>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</si>
  <si>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</si>
  <si>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</si>
  <si>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</si>
  <si>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</si>
  <si>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</si>
  <si>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</si>
  <si>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</si>
  <si>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</si>
  <si>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</si>
  <si>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</si>
  <si>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</si>
  <si>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</si>
  <si>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</si>
  <si>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</si>
  <si>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</si>
  <si>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</si>
  <si>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</si>
  <si>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</si>
  <si>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</si>
  <si>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</si>
  <si>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</si>
  <si>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</si>
  <si>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</si>
  <si>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</si>
  <si>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</si>
  <si>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</si>
  <si>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</si>
  <si>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</si>
  <si>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</si>
  <si>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</si>
  <si>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</si>
  <si>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</si>
  <si>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</si>
  <si>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</si>
  <si>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</si>
  <si>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</si>
  <si>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</si>
  <si>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</si>
  <si>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</si>
  <si>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</si>
  <si>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</si>
  <si>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</si>
  <si>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</si>
  <si>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</si>
  <si>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</si>
  <si>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</si>
  <si>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</si>
  <si>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</si>
  <si>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</si>
  <si>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</si>
  <si>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</si>
  <si>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</si>
  <si>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</si>
  <si>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</si>
  <si>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</si>
  <si>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</si>
  <si>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</si>
  <si>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</si>
  <si>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</si>
  <si>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</si>
  <si>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</si>
  <si>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</si>
  <si>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</si>
  <si>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</si>
  <si>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</si>
  <si>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</si>
  <si>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</si>
  <si>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</si>
  <si>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</si>
  <si>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</si>
  <si>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</si>
  <si>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</si>
  <si>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</si>
  <si>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</si>
  <si>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</si>
  <si>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</si>
  <si>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</si>
  <si>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</si>
  <si>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</si>
  <si>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</si>
  <si>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</si>
  <si>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</si>
  <si>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</si>
  <si>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</si>
  <si>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Pavia</t>
  </si>
  <si>
    <t>Pavia@asteflorio.com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</si>
  <si>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</si>
  <si>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</si>
  <si>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</si>
  <si>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</si>
  <si>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</si>
  <si>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</si>
  <si>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</si>
  <si>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</si>
  <si>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</si>
  <si>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</si>
  <si>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</si>
  <si>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</si>
  <si>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</si>
  <si>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</si>
  <si>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</si>
  <si>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</si>
  <si>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</si>
  <si>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</si>
  <si>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</si>
  <si>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</si>
  <si>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</si>
  <si>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</si>
  <si>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</si>
  <si>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</si>
  <si>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</si>
  <si>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</si>
  <si>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</si>
  <si>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</si>
  <si>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</si>
  <si>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</si>
  <si>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</si>
  <si>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</si>
  <si>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</si>
  <si>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</si>
  <si>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</si>
  <si>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</si>
  <si>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</si>
  <si>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</si>
  <si>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</si>
  <si>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</si>
  <si>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</si>
  <si>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</si>
  <si>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</si>
  <si>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</si>
  <si>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</si>
  <si>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</si>
  <si>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</si>
  <si>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</si>
  <si>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</si>
  <si>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</si>
  <si>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</si>
  <si>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</si>
  <si>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</si>
  <si>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</si>
  <si>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</si>
  <si>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</si>
  <si>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</si>
  <si>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</si>
  <si>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</si>
  <si>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</si>
  <si>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</si>
  <si>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</si>
  <si>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</si>
  <si>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</si>
  <si>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</si>
  <si>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</si>
  <si>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</si>
  <si>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</si>
  <si>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</si>
  <si>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</si>
  <si>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</si>
  <si>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</si>
  <si>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</si>
  <si>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</si>
  <si>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</si>
  <si>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</si>
  <si>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</si>
  <si>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</si>
  <si>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</si>
  <si>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</si>
  <si>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</si>
  <si>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</si>
  <si>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</si>
  <si>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</si>
  <si>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</si>
  <si>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</si>
  <si>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</si>
  <si>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</si>
  <si>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</si>
  <si>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</si>
  <si>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</si>
  <si>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</si>
  <si>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</si>
  <si>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</si>
  <si>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</si>
  <si>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</si>
  <si>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</si>
  <si>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</si>
  <si>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</si>
  <si>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</si>
  <si>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</si>
  <si>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</si>
  <si>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</si>
  <si>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</si>
  <si>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</si>
  <si>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</si>
  <si>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</si>
  <si>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</si>
  <si>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</si>
  <si>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</si>
  <si>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</si>
  <si>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</si>
  <si>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</si>
  <si>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</si>
  <si>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</si>
  <si>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</si>
  <si>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</si>
  <si>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</si>
  <si>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</si>
  <si>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</si>
  <si>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</si>
  <si>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</si>
  <si>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</si>
  <si>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</si>
  <si>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</si>
  <si>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</si>
  <si>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</si>
  <si>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</si>
  <si>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</si>
  <si>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</si>
  <si>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</si>
  <si>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</si>
  <si>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</si>
  <si>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</si>
  <si>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</si>
  <si>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</si>
  <si>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</si>
  <si>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</si>
  <si>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</si>
  <si>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</si>
  <si>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</si>
  <si>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</si>
  <si>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</si>
  <si>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</si>
  <si>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</si>
  <si>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</si>
  <si>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</si>
  <si>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</si>
  <si>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</si>
  <si>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</si>
  <si>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</si>
  <si>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</si>
  <si>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</si>
  <si>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</si>
  <si>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</si>
  <si>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</si>
  <si>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</si>
  <si>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</si>
  <si>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</si>
  <si>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</si>
  <si>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</si>
  <si>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</si>
  <si>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</si>
  <si>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</si>
  <si>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</si>
  <si>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</si>
  <si>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</si>
  <si>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</si>
  <si>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</si>
  <si>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</si>
  <si>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</si>
  <si>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</si>
  <si>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</si>
  <si>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</si>
  <si>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</si>
  <si>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</si>
  <si>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</si>
  <si>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</si>
  <si>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</si>
  <si>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</si>
  <si>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</si>
  <si>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</si>
  <si>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</si>
  <si>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</si>
  <si>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</si>
  <si>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</si>
  <si>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Acquanegra Cremonese</t>
  </si>
  <si>
    <t>Cremona</t>
  </si>
  <si>
    <t>Cremona@asteflorio.com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</si>
  <si>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</si>
  <si>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</si>
  <si>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</si>
  <si>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</si>
  <si>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</si>
  <si>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</si>
  <si>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</si>
  <si>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</si>
  <si>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</si>
  <si>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</si>
  <si>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</si>
  <si>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</si>
  <si>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</si>
  <si>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</si>
  <si>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</si>
  <si>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</si>
  <si>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</si>
  <si>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</si>
  <si>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</si>
  <si>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</si>
  <si>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</si>
  <si>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</si>
  <si>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</si>
  <si>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</si>
  <si>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</si>
  <si>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</si>
  <si>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</si>
  <si>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</si>
  <si>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</si>
  <si>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</si>
  <si>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</si>
  <si>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</si>
  <si>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</si>
  <si>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</si>
  <si>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</si>
  <si>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</si>
  <si>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</si>
  <si>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</si>
  <si>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</si>
  <si>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</si>
  <si>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</si>
  <si>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</si>
  <si>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GabbionetaBinanuova</t>
  </si>
  <si>
    <t>GadescoPieve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</si>
  <si>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</si>
  <si>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</si>
  <si>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</si>
  <si>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</si>
  <si>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</si>
  <si>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</si>
  <si>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</si>
  <si>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</si>
  <si>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</si>
  <si>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</si>
  <si>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</si>
  <si>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</si>
  <si>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</si>
  <si>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</si>
  <si>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</si>
  <si>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</si>
  <si>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</si>
  <si>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</si>
  <si>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</si>
  <si>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</si>
  <si>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</si>
  <si>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</si>
  <si>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</si>
  <si>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</si>
  <si>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</si>
  <si>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</si>
  <si>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</si>
  <si>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</si>
  <si>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</si>
  <si>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</si>
  <si>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</si>
  <si>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</si>
  <si>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</si>
  <si>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</si>
  <si>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</si>
  <si>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</si>
  <si>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</si>
  <si>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</si>
  <si>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</si>
  <si>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</si>
  <si>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</si>
  <si>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</si>
  <si>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</si>
  <si>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</si>
  <si>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</si>
  <si>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</si>
  <si>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</si>
  <si>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</si>
  <si>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</si>
  <si>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</si>
  <si>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</si>
  <si>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</si>
  <si>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</si>
  <si>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</si>
  <si>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</si>
  <si>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</si>
  <si>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</si>
  <si>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</si>
  <si>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</si>
  <si>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</si>
  <si>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</si>
  <si>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</si>
  <si>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</si>
  <si>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</si>
  <si>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</si>
  <si>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</si>
  <si>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</si>
  <si>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</si>
  <si>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</si>
  <si>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</si>
  <si>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Mantova</t>
  </si>
  <si>
    <t>Mantova@asteflorio.com</t>
  </si>
  <si>
    <t>Asola</t>
  </si>
  <si>
    <t>Bagnolo San Vito</t>
  </si>
  <si>
    <t>Bigarello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</si>
  <si>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</si>
  <si>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</si>
  <si>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</si>
  <si>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</si>
  <si>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</si>
  <si>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</si>
  <si>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</si>
  <si>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</si>
  <si>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</si>
  <si>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</si>
  <si>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</si>
  <si>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</si>
  <si>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</si>
  <si>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</si>
  <si>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</si>
  <si>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</si>
  <si>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</si>
  <si>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</si>
  <si>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</si>
  <si>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</si>
  <si>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</si>
  <si>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</si>
  <si>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</si>
  <si>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</si>
  <si>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</si>
  <si>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</si>
  <si>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</si>
  <si>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</si>
  <si>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</si>
  <si>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</si>
  <si>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</si>
  <si>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</si>
  <si>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</si>
  <si>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</si>
  <si>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</si>
  <si>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</si>
  <si>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</si>
  <si>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</si>
  <si>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</si>
  <si>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</si>
  <si>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</si>
  <si>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</si>
  <si>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</si>
  <si>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</si>
  <si>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</si>
  <si>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</si>
  <si>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</si>
  <si>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</si>
  <si>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</si>
  <si>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</si>
  <si>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</si>
  <si>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</si>
  <si>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</si>
  <si>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</si>
  <si>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</si>
  <si>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</si>
  <si>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</si>
  <si>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</si>
  <si>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</si>
  <si>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</si>
  <si>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</si>
  <si>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Abbadia Lariana</t>
  </si>
  <si>
    <t>Lecco</t>
  </si>
  <si>
    <t>Lecco@asteflorio.com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</si>
  <si>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</si>
  <si>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</si>
  <si>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</si>
  <si>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</si>
  <si>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</si>
  <si>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</si>
  <si>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</si>
  <si>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</si>
  <si>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</si>
  <si>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</si>
  <si>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</si>
  <si>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</si>
  <si>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</si>
  <si>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</si>
  <si>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</si>
  <si>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</si>
  <si>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</si>
  <si>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</si>
  <si>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</si>
  <si>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</si>
  <si>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</si>
  <si>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</si>
  <si>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</si>
  <si>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</si>
  <si>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</si>
  <si>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</si>
  <si>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</si>
  <si>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</si>
  <si>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</si>
  <si>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</si>
  <si>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</si>
  <si>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</si>
  <si>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</si>
  <si>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</si>
  <si>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</si>
  <si>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</si>
  <si>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</si>
  <si>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</si>
  <si>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</si>
  <si>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</si>
  <si>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</si>
  <si>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</si>
  <si>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</si>
  <si>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</si>
  <si>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</si>
  <si>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</si>
  <si>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</si>
  <si>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</si>
  <si>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</si>
  <si>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</si>
  <si>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</si>
  <si>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</si>
  <si>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</si>
  <si>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</si>
  <si>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</si>
  <si>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</si>
  <si>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</si>
  <si>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</si>
  <si>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</si>
  <si>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</si>
  <si>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</si>
  <si>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</si>
  <si>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</si>
  <si>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</si>
  <si>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</si>
  <si>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</si>
  <si>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</si>
  <si>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</si>
  <si>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</si>
  <si>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</si>
  <si>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</si>
  <si>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</si>
  <si>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</si>
  <si>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</si>
  <si>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</si>
  <si>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</si>
  <si>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</si>
  <si>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</si>
  <si>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</si>
  <si>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</si>
  <si>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</si>
  <si>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</si>
  <si>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</si>
  <si>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</si>
  <si>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Lodi</t>
  </si>
  <si>
    <t>Lodi@asteflorio.com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</si>
  <si>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</si>
  <si>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</si>
  <si>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</si>
  <si>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</si>
  <si>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</si>
  <si>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</si>
  <si>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</si>
  <si>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</si>
  <si>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</si>
  <si>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</si>
  <si>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</si>
  <si>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</si>
  <si>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</si>
  <si>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</si>
  <si>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</si>
  <si>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</si>
  <si>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</si>
  <si>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</si>
  <si>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</si>
  <si>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</si>
  <si>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</si>
  <si>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</si>
  <si>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</si>
  <si>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</si>
  <si>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</si>
  <si>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</si>
  <si>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</si>
  <si>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</si>
  <si>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</si>
  <si>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</si>
  <si>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</si>
  <si>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</si>
  <si>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</si>
  <si>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</si>
  <si>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</si>
  <si>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</si>
  <si>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</si>
  <si>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</si>
  <si>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</si>
  <si>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</si>
  <si>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</si>
  <si>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</si>
  <si>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</si>
  <si>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</si>
  <si>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</si>
  <si>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</si>
  <si>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</si>
  <si>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</si>
  <si>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</si>
  <si>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</si>
  <si>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</si>
  <si>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</si>
  <si>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</si>
  <si>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</si>
  <si>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</si>
  <si>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</si>
  <si>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</si>
  <si>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</si>
  <si>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</si>
  <si>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Monza e della Brianza</t>
  </si>
  <si>
    <t>Monza e della Brianza@asteflorio.com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</si>
  <si>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</si>
  <si>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</si>
  <si>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</si>
  <si>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</si>
  <si>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</si>
  <si>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</si>
  <si>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</si>
  <si>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</si>
  <si>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</si>
  <si>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</si>
  <si>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</si>
  <si>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</si>
  <si>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</si>
  <si>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</si>
  <si>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</si>
  <si>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</si>
  <si>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</si>
  <si>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</si>
  <si>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</si>
  <si>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</si>
  <si>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</si>
  <si>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</si>
  <si>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</si>
  <si>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</si>
  <si>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</si>
  <si>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</si>
  <si>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</si>
  <si>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</si>
  <si>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</si>
  <si>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</si>
  <si>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</si>
  <si>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</si>
  <si>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</si>
  <si>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</si>
  <si>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</si>
  <si>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</si>
  <si>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</si>
  <si>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</si>
  <si>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</si>
  <si>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</si>
  <si>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</si>
  <si>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</si>
  <si>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</si>
  <si>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</si>
  <si>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</si>
  <si>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</si>
  <si>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</si>
  <si>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</si>
  <si>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</si>
  <si>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</si>
  <si>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</si>
  <si>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</si>
  <si>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</si>
  <si>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</si>
  <si>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</t>
  </si>
  <si>
    <t>Bozen</t>
  </si>
  <si>
    <t>Bozen@asteflorio.com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</si>
  <si>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</si>
  <si>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</si>
  <si>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</si>
  <si>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</si>
  <si>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</si>
  <si>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</si>
  <si>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</si>
  <si>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</si>
  <si>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</si>
  <si>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</si>
  <si>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</si>
  <si>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</si>
  <si>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</si>
  <si>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</si>
  <si>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</si>
  <si>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</si>
  <si>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</si>
  <si>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</si>
  <si>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</si>
  <si>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</si>
  <si>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</si>
  <si>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</si>
  <si>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</si>
  <si>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</si>
  <si>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</si>
  <si>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</si>
  <si>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</si>
  <si>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</si>
  <si>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</si>
  <si>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</si>
  <si>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</si>
  <si>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</si>
  <si>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</si>
  <si>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</si>
  <si>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</si>
  <si>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</si>
  <si>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</si>
  <si>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</si>
  <si>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</si>
  <si>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</si>
  <si>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</si>
  <si>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</si>
  <si>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</si>
  <si>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</si>
  <si>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</si>
  <si>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</si>
  <si>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</si>
  <si>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</si>
  <si>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</si>
  <si>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</si>
  <si>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MonguelfoTesido</t>
  </si>
  <si>
    <t>Montagna</t>
  </si>
  <si>
    <t>Moso in Passiria</t>
  </si>
  <si>
    <t>Nalles</t>
  </si>
  <si>
    <t>Naturno</t>
  </si>
  <si>
    <t>NazSciaves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</si>
  <si>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</si>
  <si>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</si>
  <si>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</si>
  <si>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</si>
  <si>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</si>
  <si>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</si>
  <si>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</si>
  <si>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</si>
  <si>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</si>
  <si>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</si>
  <si>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</si>
  <si>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</si>
  <si>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</si>
  <si>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</si>
  <si>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</si>
  <si>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</si>
  <si>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</si>
  <si>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</si>
  <si>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</si>
  <si>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</si>
  <si>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</si>
  <si>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</si>
  <si>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</si>
  <si>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</si>
  <si>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</si>
  <si>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</si>
  <si>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</si>
  <si>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</si>
  <si>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</si>
  <si>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</si>
  <si>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</si>
  <si>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</si>
  <si>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</si>
  <si>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</si>
  <si>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</si>
  <si>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</si>
  <si>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</si>
  <si>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</si>
  <si>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</si>
  <si>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</si>
  <si>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</si>
  <si>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</si>
  <si>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</si>
  <si>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</si>
  <si>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</si>
  <si>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</si>
  <si>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</si>
  <si>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</si>
  <si>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</si>
  <si>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</si>
  <si>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</si>
  <si>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</si>
  <si>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</si>
  <si>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</si>
  <si>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</si>
  <si>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</si>
  <si>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</si>
  <si>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</si>
  <si>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SenaleSan Felice</t>
  </si>
  <si>
    <t>Ala</t>
  </si>
  <si>
    <t>Trento</t>
  </si>
  <si>
    <t>Trento@asteflorio.com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</si>
  <si>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</si>
  <si>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</si>
  <si>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</si>
  <si>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</si>
  <si>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</si>
  <si>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</si>
  <si>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</si>
  <si>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</si>
  <si>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</si>
  <si>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</si>
  <si>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</si>
  <si>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</si>
  <si>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</si>
  <si>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</si>
  <si>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</si>
  <si>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</si>
  <si>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</si>
  <si>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</si>
  <si>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</si>
  <si>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</si>
  <si>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</si>
  <si>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</si>
  <si>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</si>
  <si>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</si>
  <si>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</si>
  <si>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</si>
  <si>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</si>
  <si>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</si>
  <si>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</si>
  <si>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</si>
  <si>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</si>
  <si>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</si>
  <si>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</si>
  <si>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</si>
  <si>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</si>
  <si>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</si>
  <si>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</si>
  <si>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</si>
  <si>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</si>
  <si>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</si>
  <si>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</si>
  <si>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</si>
  <si>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</si>
  <si>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</si>
  <si>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</si>
  <si>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</si>
  <si>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</si>
  <si>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</si>
  <si>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</si>
  <si>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</si>
  <si>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</si>
  <si>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</si>
  <si>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</si>
  <si>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</si>
  <si>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</si>
  <si>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</si>
  <si>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</si>
  <si>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</si>
  <si>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</si>
  <si>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</si>
  <si>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</si>
  <si>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</si>
  <si>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</si>
  <si>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</si>
  <si>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</si>
  <si>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</si>
  <si>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</si>
  <si>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</si>
  <si>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</si>
  <si>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</si>
  <si>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</si>
  <si>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</si>
  <si>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</si>
  <si>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</si>
  <si>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</si>
  <si>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</si>
  <si>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</si>
  <si>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</si>
  <si>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</si>
  <si>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</si>
  <si>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</si>
  <si>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</si>
  <si>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</si>
  <si>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</si>
  <si>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</si>
  <si>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</si>
  <si>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</si>
  <si>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</si>
  <si>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</si>
  <si>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</si>
  <si>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</si>
  <si>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</si>
  <si>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</si>
  <si>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</si>
  <si>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</si>
  <si>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</si>
  <si>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</si>
  <si>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</si>
  <si>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</si>
  <si>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</si>
  <si>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</si>
  <si>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</si>
  <si>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</si>
  <si>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</si>
  <si>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</si>
  <si>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</si>
  <si>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</si>
  <si>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</si>
  <si>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</si>
  <si>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</si>
  <si>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</si>
  <si>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</si>
  <si>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</si>
  <si>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</si>
  <si>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</si>
  <si>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</si>
  <si>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</si>
  <si>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</si>
  <si>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</si>
  <si>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</si>
  <si>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</si>
  <si>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</si>
  <si>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</si>
  <si>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</si>
  <si>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</si>
  <si>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</si>
  <si>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</si>
  <si>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</si>
  <si>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</si>
  <si>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</si>
  <si>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</si>
  <si>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</si>
  <si>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</si>
  <si>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</si>
  <si>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</si>
  <si>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</si>
  <si>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</si>
  <si>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</si>
  <si>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</si>
  <si>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Valfloriana</t>
  </si>
  <si>
    <t>Vallarsa</t>
  </si>
  <si>
    <t>Varena</t>
  </si>
  <si>
    <t>Vermiglio</t>
  </si>
  <si>
    <t>VignolaFalesina</t>
  </si>
  <si>
    <t>Villa Lagarina</t>
  </si>
  <si>
    <t>Volano</t>
  </si>
  <si>
    <t>Zambana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</si>
  <si>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</si>
  <si>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</si>
  <si>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</si>
  <si>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</si>
  <si>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</si>
  <si>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</si>
  <si>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</si>
  <si>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BonoPrezzo</t>
  </si>
  <si>
    <t>Altavalle</t>
  </si>
  <si>
    <t>Altopiano della Vigolana</t>
  </si>
  <si>
    <t>AmblarDon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</si>
  <si>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</si>
  <si>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</si>
  <si>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</si>
  <si>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</si>
  <si>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</si>
  <si>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</si>
  <si>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</si>
  <si>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</si>
  <si>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</si>
  <si>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</si>
  <si>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</si>
  <si>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</si>
  <si>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Sèn Jan di Fassa</t>
  </si>
  <si>
    <t>Affi</t>
  </si>
  <si>
    <t>Verona</t>
  </si>
  <si>
    <t>Verona@asteflorio.com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</si>
  <si>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</si>
  <si>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</si>
  <si>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</si>
  <si>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</si>
  <si>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</si>
  <si>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</si>
  <si>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</si>
  <si>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</si>
  <si>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</si>
  <si>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</si>
  <si>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</si>
  <si>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</si>
  <si>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</si>
  <si>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</si>
  <si>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</si>
  <si>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</si>
  <si>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</si>
  <si>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</si>
  <si>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</si>
  <si>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</si>
  <si>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</si>
  <si>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</si>
  <si>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</si>
  <si>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</si>
  <si>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</si>
  <si>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</si>
  <si>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</si>
  <si>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</si>
  <si>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</si>
  <si>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</si>
  <si>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</si>
  <si>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</si>
  <si>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</si>
  <si>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</si>
  <si>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</si>
  <si>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</si>
  <si>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</si>
  <si>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</si>
  <si>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</si>
  <si>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</si>
  <si>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</si>
  <si>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</si>
  <si>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</si>
  <si>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</si>
  <si>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</si>
  <si>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</si>
  <si>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</si>
  <si>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</si>
  <si>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</si>
  <si>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</si>
  <si>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</si>
  <si>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</si>
  <si>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</si>
  <si>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</si>
  <si>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</si>
  <si>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</si>
  <si>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</si>
  <si>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</si>
  <si>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</si>
  <si>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</si>
  <si>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</si>
  <si>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</si>
  <si>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</si>
  <si>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</si>
  <si>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</si>
  <si>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</si>
  <si>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</si>
  <si>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</si>
  <si>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</si>
  <si>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</si>
  <si>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</si>
  <si>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</si>
  <si>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</si>
  <si>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</si>
  <si>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</si>
  <si>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</si>
  <si>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</si>
  <si>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</si>
  <si>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</si>
  <si>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</si>
  <si>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</si>
  <si>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</si>
  <si>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</si>
  <si>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</si>
  <si>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</si>
  <si>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</si>
  <si>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</si>
  <si>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</si>
  <si>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</si>
  <si>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</si>
  <si>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</si>
  <si>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</si>
  <si>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</si>
  <si>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</si>
  <si>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</si>
  <si>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</si>
  <si>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</si>
  <si>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Vicenza</t>
  </si>
  <si>
    <t>Vicenza@asteflorio.com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</si>
  <si>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</si>
  <si>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</si>
  <si>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</si>
  <si>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</si>
  <si>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</si>
  <si>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</si>
  <si>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</si>
  <si>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</si>
  <si>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</si>
  <si>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</si>
  <si>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</si>
  <si>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</si>
  <si>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</si>
  <si>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</si>
  <si>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</si>
  <si>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</si>
  <si>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</si>
  <si>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</si>
  <si>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</si>
  <si>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</si>
  <si>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</si>
  <si>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</si>
  <si>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</si>
  <si>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</si>
  <si>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</si>
  <si>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</si>
  <si>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</si>
  <si>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</si>
  <si>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</si>
  <si>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</si>
  <si>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</si>
  <si>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</si>
  <si>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</si>
  <si>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</si>
  <si>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</si>
  <si>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</si>
  <si>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</si>
  <si>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</si>
  <si>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</si>
  <si>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</si>
  <si>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</si>
  <si>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</si>
  <si>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</si>
  <si>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</si>
  <si>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</si>
  <si>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</si>
  <si>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</si>
  <si>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</si>
  <si>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</si>
  <si>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</si>
  <si>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</si>
  <si>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</si>
  <si>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</si>
  <si>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</si>
  <si>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</si>
  <si>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</si>
  <si>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</si>
  <si>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</si>
  <si>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</si>
  <si>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</si>
  <si>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</si>
  <si>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</si>
  <si>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</si>
  <si>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</si>
  <si>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</si>
  <si>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</si>
  <si>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</si>
  <si>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</si>
  <si>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</si>
  <si>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</si>
  <si>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</si>
  <si>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</si>
  <si>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</si>
  <si>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</si>
  <si>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</si>
  <si>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</si>
  <si>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</si>
  <si>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</si>
  <si>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</si>
  <si>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</si>
  <si>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</si>
  <si>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</si>
  <si>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</si>
  <si>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</si>
  <si>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</si>
  <si>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</si>
  <si>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</si>
  <si>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</si>
  <si>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</si>
  <si>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</si>
  <si>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</si>
  <si>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</si>
  <si>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</si>
  <si>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</si>
  <si>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</si>
  <si>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</si>
  <si>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</si>
  <si>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</si>
  <si>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</si>
  <si>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</si>
  <si>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</si>
  <si>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</si>
  <si>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</si>
  <si>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</si>
  <si>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</si>
  <si>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</si>
  <si>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</si>
  <si>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</si>
  <si>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</si>
  <si>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</si>
  <si>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</si>
  <si>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</si>
  <si>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</si>
  <si>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</si>
  <si>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</si>
  <si>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</si>
  <si>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</si>
  <si>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Agordo</t>
  </si>
  <si>
    <t>Belluno</t>
  </si>
  <si>
    <t>Belluno@asteflorio.com</t>
  </si>
  <si>
    <t>Alano di Piave</t>
  </si>
  <si>
    <t>Alleghe</t>
  </si>
  <si>
    <t>Arsiè</t>
  </si>
  <si>
    <t>Auronzo di Cadore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</si>
  <si>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</si>
  <si>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</si>
  <si>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</si>
  <si>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</si>
  <si>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</si>
  <si>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</si>
  <si>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</si>
  <si>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</si>
  <si>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</si>
  <si>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</si>
  <si>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</si>
  <si>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</si>
  <si>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</si>
  <si>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</si>
  <si>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</si>
  <si>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</si>
  <si>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</si>
  <si>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</si>
  <si>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Lentiai</t>
  </si>
  <si>
    <t>Limana</t>
  </si>
  <si>
    <t>Livinallongo del Col di Lana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</si>
  <si>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</si>
  <si>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</si>
  <si>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</si>
  <si>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</si>
  <si>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</si>
  <si>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</si>
  <si>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</si>
  <si>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</si>
  <si>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</si>
  <si>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</si>
  <si>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</si>
  <si>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</si>
  <si>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</si>
  <si>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</si>
  <si>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</si>
  <si>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</si>
  <si>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</si>
  <si>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</si>
  <si>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</si>
  <si>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</si>
  <si>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</si>
  <si>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</si>
  <si>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</si>
  <si>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</si>
  <si>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</si>
  <si>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</si>
  <si>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</si>
  <si>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</si>
  <si>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</si>
  <si>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</si>
  <si>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</si>
  <si>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</si>
  <si>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</si>
  <si>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</si>
  <si>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</si>
  <si>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</si>
  <si>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Altivole</t>
  </si>
  <si>
    <t>Treviso</t>
  </si>
  <si>
    <t>Treviso@asteflorio.com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</si>
  <si>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</si>
  <si>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</si>
  <si>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</si>
  <si>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</si>
  <si>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</si>
  <si>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</si>
  <si>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</si>
  <si>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</si>
  <si>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</si>
  <si>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</si>
  <si>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</si>
  <si>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</si>
  <si>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</si>
  <si>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</si>
  <si>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</si>
  <si>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</si>
  <si>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</si>
  <si>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</si>
  <si>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</si>
  <si>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</si>
  <si>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</si>
  <si>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</si>
  <si>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</si>
  <si>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</si>
  <si>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</si>
  <si>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</si>
  <si>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</si>
  <si>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</si>
  <si>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</si>
  <si>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</si>
  <si>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</si>
  <si>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</si>
  <si>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</si>
  <si>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</si>
  <si>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</si>
  <si>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</si>
  <si>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</si>
  <si>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</si>
  <si>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</si>
  <si>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</si>
  <si>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</si>
  <si>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</si>
  <si>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</si>
  <si>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</si>
  <si>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</si>
  <si>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</si>
  <si>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</si>
  <si>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</si>
  <si>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</si>
  <si>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</si>
  <si>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</si>
  <si>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</si>
  <si>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</si>
  <si>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</si>
  <si>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</si>
  <si>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</si>
  <si>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</si>
  <si>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</si>
  <si>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</si>
  <si>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</si>
  <si>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</si>
  <si>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</si>
  <si>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</si>
  <si>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</si>
  <si>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</si>
  <si>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</si>
  <si>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</si>
  <si>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</si>
  <si>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</si>
  <si>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</si>
  <si>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</si>
  <si>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</si>
  <si>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</si>
  <si>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</si>
  <si>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</si>
  <si>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</si>
  <si>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</si>
  <si>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</si>
  <si>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</si>
  <si>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</si>
  <si>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</si>
  <si>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</si>
  <si>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</si>
  <si>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</si>
  <si>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</si>
  <si>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</si>
  <si>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</si>
  <si>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</si>
  <si>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</si>
  <si>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</si>
  <si>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</si>
  <si>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</si>
  <si>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</si>
  <si>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</si>
  <si>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Venezia</t>
  </si>
  <si>
    <t>Venezia@asteflorio.com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</si>
  <si>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</si>
  <si>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</si>
  <si>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</si>
  <si>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</si>
  <si>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</si>
  <si>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</si>
  <si>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</si>
  <si>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</si>
  <si>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</si>
  <si>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</si>
  <si>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</si>
  <si>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</si>
  <si>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</si>
  <si>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</si>
  <si>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</si>
  <si>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</si>
  <si>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</si>
  <si>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</si>
  <si>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</si>
  <si>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</si>
  <si>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</si>
  <si>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</si>
  <si>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</si>
  <si>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</si>
  <si>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</si>
  <si>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</si>
  <si>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</si>
  <si>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</si>
  <si>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</si>
  <si>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</si>
  <si>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</si>
  <si>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</si>
  <si>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</si>
  <si>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</si>
  <si>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</si>
  <si>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</si>
  <si>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</si>
  <si>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</si>
  <si>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</si>
  <si>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</si>
  <si>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Vigonovo</t>
  </si>
  <si>
    <t>CavallinoTreporti</t>
  </si>
  <si>
    <t>Abano Terme</t>
  </si>
  <si>
    <t>Padova</t>
  </si>
  <si>
    <t>Padova@asteflorio.com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</si>
  <si>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</si>
  <si>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</si>
  <si>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</si>
  <si>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</si>
  <si>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</si>
  <si>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</si>
  <si>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</si>
  <si>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</si>
  <si>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</si>
  <si>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</si>
  <si>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</si>
  <si>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</si>
  <si>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</si>
  <si>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</si>
  <si>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</si>
  <si>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</si>
  <si>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</si>
  <si>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</si>
  <si>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</si>
  <si>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</si>
  <si>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</si>
  <si>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</si>
  <si>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</si>
  <si>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</si>
  <si>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</si>
  <si>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</si>
  <si>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</si>
  <si>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</si>
  <si>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</si>
  <si>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</si>
  <si>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</si>
  <si>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</si>
  <si>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</si>
  <si>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</si>
  <si>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</si>
  <si>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</si>
  <si>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</si>
  <si>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</si>
  <si>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</si>
  <si>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</si>
  <si>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</si>
  <si>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</si>
  <si>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</si>
  <si>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</si>
  <si>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</si>
  <si>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</si>
  <si>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</si>
  <si>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</si>
  <si>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</si>
  <si>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</si>
  <si>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</si>
  <si>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</si>
  <si>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</si>
  <si>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</si>
  <si>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</si>
  <si>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</si>
  <si>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</si>
  <si>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</si>
  <si>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</si>
  <si>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</si>
  <si>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</si>
  <si>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</si>
  <si>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</si>
  <si>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</si>
  <si>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</si>
  <si>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</si>
  <si>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</si>
  <si>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</si>
  <si>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</si>
  <si>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</si>
  <si>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</si>
  <si>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</si>
  <si>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</si>
  <si>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</si>
  <si>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</si>
  <si>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</si>
  <si>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</si>
  <si>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</si>
  <si>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</si>
  <si>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</si>
  <si>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</si>
  <si>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</si>
  <si>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</si>
  <si>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</si>
  <si>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</si>
  <si>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</si>
  <si>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</si>
  <si>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</si>
  <si>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</si>
  <si>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</si>
  <si>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</si>
  <si>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</si>
  <si>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</si>
  <si>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</si>
  <si>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</si>
  <si>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</si>
  <si>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</si>
  <si>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</si>
  <si>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</si>
  <si>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</si>
  <si>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</si>
  <si>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Rovigo</t>
  </si>
  <si>
    <t>Rovigo@asteflorio.com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</si>
  <si>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</si>
  <si>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</si>
  <si>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</si>
  <si>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</si>
  <si>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</si>
  <si>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</si>
  <si>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</si>
  <si>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</si>
  <si>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</si>
  <si>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</si>
  <si>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</si>
  <si>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</si>
  <si>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</si>
  <si>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</si>
  <si>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</si>
  <si>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</si>
  <si>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</si>
  <si>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</si>
  <si>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</si>
  <si>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</si>
  <si>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</si>
  <si>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</si>
  <si>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</si>
  <si>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</si>
  <si>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</si>
  <si>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</si>
  <si>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</si>
  <si>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</si>
  <si>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</si>
  <si>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</si>
  <si>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</si>
  <si>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</si>
  <si>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</si>
  <si>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</si>
  <si>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</si>
  <si>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</si>
  <si>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</si>
  <si>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</si>
  <si>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</si>
  <si>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</si>
  <si>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</si>
  <si>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</si>
  <si>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</si>
  <si>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</si>
  <si>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</si>
  <si>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</si>
  <si>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</si>
  <si>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</si>
  <si>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</si>
  <si>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Udine</t>
  </si>
  <si>
    <t>Udine@asteflorio.com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</si>
  <si>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</si>
  <si>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</si>
  <si>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</si>
  <si>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</si>
  <si>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</si>
  <si>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</si>
  <si>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</si>
  <si>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</si>
  <si>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</si>
  <si>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</si>
  <si>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</si>
  <si>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</si>
  <si>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</si>
  <si>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</si>
  <si>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</si>
  <si>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</si>
  <si>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</si>
  <si>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</si>
  <si>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</si>
  <si>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</si>
  <si>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</si>
  <si>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</si>
  <si>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</si>
  <si>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</si>
  <si>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</si>
  <si>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</si>
  <si>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</si>
  <si>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</si>
  <si>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</si>
  <si>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</si>
  <si>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</si>
  <si>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</si>
  <si>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</si>
  <si>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</si>
  <si>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</si>
  <si>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</si>
  <si>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</si>
  <si>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</si>
  <si>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</si>
  <si>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</si>
  <si>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</si>
  <si>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</si>
  <si>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</si>
  <si>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</si>
  <si>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</si>
  <si>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</si>
  <si>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</si>
  <si>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</si>
  <si>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</si>
  <si>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</si>
  <si>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</si>
  <si>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</si>
  <si>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</si>
  <si>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</si>
  <si>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</si>
  <si>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</si>
  <si>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</si>
  <si>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</si>
  <si>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</si>
  <si>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</si>
  <si>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</si>
  <si>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</si>
  <si>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</si>
  <si>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</si>
  <si>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</si>
  <si>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</si>
  <si>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</si>
  <si>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</si>
  <si>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</si>
  <si>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</si>
  <si>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</si>
  <si>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</si>
  <si>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</si>
  <si>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</si>
  <si>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</si>
  <si>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</si>
  <si>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</si>
  <si>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</si>
  <si>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</si>
  <si>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</si>
  <si>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</si>
  <si>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</si>
  <si>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</si>
  <si>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</si>
  <si>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</si>
  <si>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</si>
  <si>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</si>
  <si>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</si>
  <si>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</si>
  <si>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</si>
  <si>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</si>
  <si>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</si>
  <si>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</si>
  <si>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</si>
  <si>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</si>
  <si>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</si>
  <si>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</si>
  <si>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</si>
  <si>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</si>
  <si>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</si>
  <si>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</si>
  <si>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</si>
  <si>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</si>
  <si>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</si>
  <si>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</si>
  <si>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</si>
  <si>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</si>
  <si>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</si>
  <si>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</si>
  <si>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</si>
  <si>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</si>
  <si>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</si>
  <si>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</si>
  <si>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</si>
  <si>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</si>
  <si>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</si>
  <si>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</si>
  <si>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</si>
  <si>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</si>
  <si>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</si>
  <si>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</si>
  <si>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</si>
  <si>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</si>
  <si>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</si>
  <si>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</si>
  <si>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</si>
  <si>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</si>
  <si>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</si>
  <si>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</si>
  <si>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</si>
  <si>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</si>
  <si>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</si>
  <si>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</si>
  <si>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Gorizia</t>
  </si>
  <si>
    <t>Gorizia@asteflorio.com</t>
  </si>
  <si>
    <t>Cormons</t>
  </si>
  <si>
    <t>Doberdò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</si>
  <si>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</si>
  <si>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</si>
  <si>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</si>
  <si>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</si>
  <si>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</si>
  <si>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</si>
  <si>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</si>
  <si>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</si>
  <si>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</si>
  <si>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</si>
  <si>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</si>
  <si>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</si>
  <si>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</si>
  <si>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</si>
  <si>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</si>
  <si>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</si>
  <si>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</si>
  <si>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</si>
  <si>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</si>
  <si>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</si>
  <si>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</si>
  <si>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</si>
  <si>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Trieste</t>
  </si>
  <si>
    <t>Trieste@asteflorio.com</t>
  </si>
  <si>
    <t>Monrupino</t>
  </si>
  <si>
    <t>Muggia</t>
  </si>
  <si>
    <t>San Dorligo della Valle</t>
  </si>
  <si>
    <t>Sgonico</t>
  </si>
  <si>
    <t>Andreis</t>
  </si>
  <si>
    <t>Pordenone</t>
  </si>
  <si>
    <t>Pordenone@asteflorio.com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</si>
  <si>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</si>
  <si>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</si>
  <si>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</si>
  <si>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</si>
  <si>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</si>
  <si>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</si>
  <si>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</si>
  <si>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</si>
  <si>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</si>
  <si>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</si>
  <si>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</si>
  <si>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</si>
  <si>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</si>
  <si>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</si>
  <si>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</si>
  <si>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</si>
  <si>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</si>
  <si>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</si>
  <si>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</si>
  <si>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</si>
  <si>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</si>
  <si>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</si>
  <si>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</si>
  <si>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</si>
  <si>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</si>
  <si>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</si>
  <si>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</si>
  <si>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</si>
  <si>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</si>
  <si>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</si>
  <si>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</si>
  <si>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</si>
  <si>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</si>
  <si>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</si>
  <si>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</si>
  <si>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</si>
  <si>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</si>
  <si>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</si>
  <si>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</si>
  <si>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</si>
  <si>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</si>
  <si>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</si>
  <si>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</si>
  <si>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</si>
  <si>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</si>
  <si>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</si>
  <si>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</si>
  <si>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</si>
  <si>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</si>
  <si>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Imperia</t>
  </si>
  <si>
    <t>Imperia@asteflorio.com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</si>
  <si>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</si>
  <si>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</si>
  <si>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</si>
  <si>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</si>
  <si>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</si>
  <si>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</si>
  <si>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</si>
  <si>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</si>
  <si>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</si>
  <si>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</si>
  <si>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</si>
  <si>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</si>
  <si>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</si>
  <si>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</si>
  <si>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</si>
  <si>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</si>
  <si>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</si>
  <si>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</si>
  <si>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</si>
  <si>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</si>
  <si>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</si>
  <si>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</si>
  <si>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</si>
  <si>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</si>
  <si>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</si>
  <si>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</si>
  <si>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</si>
  <si>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</si>
  <si>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</si>
  <si>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</si>
  <si>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</si>
  <si>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</si>
  <si>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</si>
  <si>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</si>
  <si>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</si>
  <si>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</si>
  <si>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</si>
  <si>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</si>
  <si>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</si>
  <si>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</si>
  <si>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</si>
  <si>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</si>
  <si>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</si>
  <si>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</si>
  <si>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</si>
  <si>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</si>
  <si>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</si>
  <si>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</si>
  <si>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</si>
  <si>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</si>
  <si>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</si>
  <si>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</si>
  <si>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</si>
  <si>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</si>
  <si>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</si>
  <si>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</si>
  <si>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</si>
  <si>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</si>
  <si>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</si>
  <si>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</si>
  <si>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</si>
  <si>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</si>
  <si>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</si>
  <si>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</si>
  <si>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</si>
  <si>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Savona</t>
  </si>
  <si>
    <t>Savona@asteflorio.com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</si>
  <si>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</si>
  <si>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</si>
  <si>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</si>
  <si>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</si>
  <si>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</si>
  <si>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</si>
  <si>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</si>
  <si>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</si>
  <si>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</si>
  <si>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</si>
  <si>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</si>
  <si>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</si>
  <si>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</si>
  <si>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</si>
  <si>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</si>
  <si>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</si>
  <si>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</si>
  <si>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</si>
  <si>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</si>
  <si>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</si>
  <si>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</si>
  <si>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</si>
  <si>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</si>
  <si>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</si>
  <si>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</si>
  <si>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</si>
  <si>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</si>
  <si>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</si>
  <si>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</si>
  <si>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</si>
  <si>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</si>
  <si>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</si>
  <si>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</si>
  <si>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</si>
  <si>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</si>
  <si>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</si>
  <si>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</si>
  <si>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</si>
  <si>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</si>
  <si>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</si>
  <si>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</si>
  <si>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</si>
  <si>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</si>
  <si>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</si>
  <si>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</si>
  <si>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</si>
  <si>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</si>
  <si>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</si>
  <si>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</si>
  <si>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</si>
  <si>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</si>
  <si>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</si>
  <si>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</si>
  <si>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</si>
  <si>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</si>
  <si>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</si>
  <si>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</si>
  <si>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</si>
  <si>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</si>
  <si>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</si>
  <si>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</si>
  <si>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</si>
  <si>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</si>
  <si>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</si>
  <si>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</si>
  <si>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</si>
  <si>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</si>
  <si>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</si>
  <si>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Genova</t>
  </si>
  <si>
    <t>Genova@asteflorio.com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</si>
  <si>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</si>
  <si>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</si>
  <si>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</si>
  <si>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</si>
  <si>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</si>
  <si>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</si>
  <si>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</si>
  <si>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</si>
  <si>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</si>
  <si>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</si>
  <si>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</si>
  <si>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</si>
  <si>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</si>
  <si>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</si>
  <si>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</si>
  <si>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</si>
  <si>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</si>
  <si>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</si>
  <si>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</si>
  <si>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</si>
  <si>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</si>
  <si>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</si>
  <si>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</si>
  <si>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</si>
  <si>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</si>
  <si>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</si>
  <si>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</si>
  <si>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</si>
  <si>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</si>
  <si>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</si>
  <si>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</si>
  <si>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</si>
  <si>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</si>
  <si>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</si>
  <si>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</si>
  <si>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</si>
  <si>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</si>
  <si>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</si>
  <si>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</si>
  <si>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</si>
  <si>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</si>
  <si>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</si>
  <si>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</si>
  <si>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</si>
  <si>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</si>
  <si>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</si>
  <si>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</si>
  <si>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</si>
  <si>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</si>
  <si>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</si>
  <si>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</si>
  <si>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</si>
  <si>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</si>
  <si>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</si>
  <si>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</si>
  <si>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</si>
  <si>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</si>
  <si>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</si>
  <si>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</si>
  <si>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</si>
  <si>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</si>
  <si>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</si>
  <si>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</si>
  <si>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</si>
  <si>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</si>
  <si>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</si>
  <si>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LaSpezia</t>
  </si>
  <si>
    <t>LaSpezia@asteflorio.com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</si>
  <si>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</si>
  <si>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</si>
  <si>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</si>
  <si>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</si>
  <si>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</si>
  <si>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</si>
  <si>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</si>
  <si>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</si>
  <si>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</si>
  <si>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</si>
  <si>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</si>
  <si>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</si>
  <si>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</si>
  <si>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</si>
  <si>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</si>
  <si>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</si>
  <si>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</si>
  <si>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</si>
  <si>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</si>
  <si>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</si>
  <si>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</si>
  <si>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</si>
  <si>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</si>
  <si>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</si>
  <si>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</si>
  <si>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</si>
  <si>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</si>
  <si>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</si>
  <si>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</si>
  <si>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</si>
  <si>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</si>
  <si>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</si>
  <si>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Piacenza</t>
  </si>
  <si>
    <t>Piacenza@asteflorio.com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</si>
  <si>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</si>
  <si>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</si>
  <si>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</si>
  <si>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</si>
  <si>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</si>
  <si>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</si>
  <si>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</si>
  <si>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</si>
  <si>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</si>
  <si>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</si>
  <si>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</si>
  <si>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</si>
  <si>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</si>
  <si>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</si>
  <si>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</si>
  <si>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</si>
  <si>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</si>
  <si>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</si>
  <si>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</si>
  <si>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</si>
  <si>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</si>
  <si>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</si>
  <si>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</si>
  <si>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</si>
  <si>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</si>
  <si>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</si>
  <si>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</si>
  <si>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</si>
  <si>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</si>
  <si>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</si>
  <si>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</si>
  <si>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</si>
  <si>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</si>
  <si>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</si>
  <si>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</si>
  <si>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</si>
  <si>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</si>
  <si>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</si>
  <si>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</si>
  <si>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</si>
  <si>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</si>
  <si>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</si>
  <si>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</si>
  <si>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</si>
  <si>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</si>
  <si>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Parma</t>
  </si>
  <si>
    <t>Parma@asteflorio.com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</si>
  <si>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</si>
  <si>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</si>
  <si>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</si>
  <si>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</si>
  <si>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</si>
  <si>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</si>
  <si>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</si>
  <si>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</si>
  <si>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</si>
  <si>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</si>
  <si>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</si>
  <si>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</si>
  <si>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</si>
  <si>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</si>
  <si>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</si>
  <si>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</si>
  <si>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</si>
  <si>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</si>
  <si>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</si>
  <si>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</si>
  <si>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</si>
  <si>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</si>
  <si>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</si>
  <si>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</si>
  <si>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</si>
  <si>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</si>
  <si>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</si>
  <si>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</si>
  <si>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</si>
  <si>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</si>
  <si>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</si>
  <si>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</si>
  <si>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</si>
  <si>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</si>
  <si>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</si>
  <si>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</si>
  <si>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</si>
  <si>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</si>
  <si>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</si>
  <si>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</si>
  <si>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</si>
  <si>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</si>
  <si>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</si>
  <si>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</si>
  <si>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ReggionellEmilia</t>
  </si>
  <si>
    <t>ReggionellEmilia@asteflorio.com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</si>
  <si>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</si>
  <si>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</si>
  <si>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</si>
  <si>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</si>
  <si>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</si>
  <si>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</si>
  <si>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</si>
  <si>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</si>
  <si>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</si>
  <si>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</si>
  <si>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</si>
  <si>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</si>
  <si>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</si>
  <si>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</si>
  <si>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</si>
  <si>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</si>
  <si>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</si>
  <si>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</si>
  <si>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</si>
  <si>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</si>
  <si>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</si>
  <si>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</si>
  <si>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</si>
  <si>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</si>
  <si>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</si>
  <si>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</si>
  <si>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</si>
  <si>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</si>
  <si>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</si>
  <si>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</si>
  <si>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</si>
  <si>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</si>
  <si>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</si>
  <si>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</si>
  <si>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</si>
  <si>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</si>
  <si>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</si>
  <si>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</si>
  <si>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</si>
  <si>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</si>
  <si>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</si>
  <si>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</si>
  <si>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Modena</t>
  </si>
  <si>
    <t>Modena@asteflorio.com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</si>
  <si>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</si>
  <si>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</si>
  <si>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</si>
  <si>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</si>
  <si>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</si>
  <si>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</si>
  <si>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</si>
  <si>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</si>
  <si>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</si>
  <si>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</si>
  <si>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</si>
  <si>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</si>
  <si>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</si>
  <si>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</si>
  <si>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</si>
  <si>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</si>
  <si>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</si>
  <si>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</si>
  <si>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</si>
  <si>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</si>
  <si>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</si>
  <si>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</si>
  <si>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</si>
  <si>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</si>
  <si>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</si>
  <si>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</si>
  <si>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</si>
  <si>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</si>
  <si>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</si>
  <si>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</si>
  <si>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</si>
  <si>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</si>
  <si>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</si>
  <si>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</si>
  <si>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</si>
  <si>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</si>
  <si>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</si>
  <si>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</si>
  <si>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</si>
  <si>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</si>
  <si>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</si>
  <si>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</si>
  <si>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</si>
  <si>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</si>
  <si>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</si>
  <si>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</si>
  <si>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Bologna</t>
  </si>
  <si>
    <t>Bologna@asteflorio.com</t>
  </si>
  <si>
    <t>Argelato</t>
  </si>
  <si>
    <t>Baricella</t>
  </si>
  <si>
    <t>Bentivoglio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</si>
  <si>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</si>
  <si>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</si>
  <si>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</si>
  <si>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</si>
  <si>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</si>
  <si>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</si>
  <si>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</si>
  <si>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</si>
  <si>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</si>
  <si>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</si>
  <si>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</si>
  <si>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</si>
  <si>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</si>
  <si>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</si>
  <si>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</si>
  <si>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</si>
  <si>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</si>
  <si>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</si>
  <si>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</si>
  <si>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</si>
  <si>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</si>
  <si>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</si>
  <si>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</si>
  <si>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</si>
  <si>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</si>
  <si>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</si>
  <si>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</si>
  <si>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</si>
  <si>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</si>
  <si>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</si>
  <si>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</si>
  <si>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</si>
  <si>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</si>
  <si>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</si>
  <si>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</si>
  <si>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</si>
  <si>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</si>
  <si>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</si>
  <si>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</si>
  <si>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</si>
  <si>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</si>
  <si>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</si>
  <si>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</si>
  <si>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</si>
  <si>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</si>
  <si>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</si>
  <si>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</si>
  <si>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</si>
  <si>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</si>
  <si>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</si>
  <si>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</si>
  <si>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Ferrara</t>
  </si>
  <si>
    <t>Ferrara@asteflorio.com</t>
  </si>
  <si>
    <t>Berra</t>
  </si>
  <si>
    <t>Bondeno</t>
  </si>
  <si>
    <t>Cento</t>
  </si>
  <si>
    <t>Codigoro</t>
  </si>
  <si>
    <t>Comacchio</t>
  </si>
  <si>
    <t>Copparo</t>
  </si>
  <si>
    <t>Formignana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</si>
  <si>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</si>
  <si>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</si>
  <si>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</si>
  <si>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</si>
  <si>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</si>
  <si>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</si>
  <si>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</si>
  <si>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Ro</t>
  </si>
  <si>
    <t>Vigarano Mainarda</t>
  </si>
  <si>
    <t>Voghiera</t>
  </si>
  <si>
    <t>Tresigallo</t>
  </si>
  <si>
    <t>Goro</t>
  </si>
  <si>
    <t>Fiscaglia</t>
  </si>
  <si>
    <t>Terre del Reno</t>
  </si>
  <si>
    <t>Alfonsine</t>
  </si>
  <si>
    <t>Ravenna</t>
  </si>
  <si>
    <t>Ravenna@asteflorio.com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</si>
  <si>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</si>
  <si>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</si>
  <si>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</si>
  <si>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</si>
  <si>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</si>
  <si>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</si>
  <si>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</si>
  <si>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</si>
  <si>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</si>
  <si>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</si>
  <si>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</si>
  <si>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</si>
  <si>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</si>
  <si>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</si>
  <si>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</si>
  <si>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</si>
  <si>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Bagno di Romagna</t>
  </si>
  <si>
    <t>ForlìCesena</t>
  </si>
  <si>
    <t>ForlìCesena@asteflorio.com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</si>
  <si>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</si>
  <si>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</si>
  <si>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</si>
  <si>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</si>
  <si>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</si>
  <si>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</si>
  <si>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</si>
  <si>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</si>
  <si>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</si>
  <si>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</si>
  <si>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</si>
  <si>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</si>
  <si>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</si>
  <si>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</si>
  <si>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</si>
  <si>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</si>
  <si>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</si>
  <si>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</si>
  <si>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</si>
  <si>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</si>
  <si>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</si>
  <si>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</si>
  <si>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</si>
  <si>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</si>
  <si>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</si>
  <si>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</si>
  <si>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</si>
  <si>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</si>
  <si>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</si>
  <si>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BellariaIgea Marina</t>
  </si>
  <si>
    <t>Rimini</t>
  </si>
  <si>
    <t>Rimini@asteflorio.com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</si>
  <si>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</si>
  <si>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</si>
  <si>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</si>
  <si>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</si>
  <si>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</si>
  <si>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</si>
  <si>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</si>
  <si>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</si>
  <si>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</si>
  <si>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</si>
  <si>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</si>
  <si>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</si>
  <si>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</si>
  <si>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</si>
  <si>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</si>
  <si>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</si>
  <si>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</si>
  <si>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</si>
  <si>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</si>
  <si>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</si>
  <si>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</si>
  <si>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</si>
  <si>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MontescudoMonte Colombo</t>
  </si>
  <si>
    <t>Aulla</t>
  </si>
  <si>
    <t>MassaCarrara</t>
  </si>
  <si>
    <t>MassaCarrara@asteflorio.com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</si>
  <si>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</si>
  <si>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</si>
  <si>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</si>
  <si>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</si>
  <si>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</si>
  <si>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</si>
  <si>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</si>
  <si>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</si>
  <si>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</si>
  <si>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</si>
  <si>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</si>
  <si>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</si>
  <si>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</si>
  <si>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</si>
  <si>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</si>
  <si>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</si>
  <si>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</si>
  <si>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Lucca</t>
  </si>
  <si>
    <t>Lucca@asteflorio.com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</si>
  <si>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</si>
  <si>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</si>
  <si>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</si>
  <si>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</si>
  <si>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</si>
  <si>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</si>
  <si>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</si>
  <si>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</si>
  <si>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</si>
  <si>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</si>
  <si>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</si>
  <si>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</si>
  <si>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</si>
  <si>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</si>
  <si>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</si>
  <si>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</si>
  <si>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</si>
  <si>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</si>
  <si>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</si>
  <si>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</si>
  <si>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</si>
  <si>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</si>
  <si>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</si>
  <si>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</si>
  <si>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</si>
  <si>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</si>
  <si>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</si>
  <si>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</si>
  <si>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</si>
  <si>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</si>
  <si>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</si>
  <si>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</si>
  <si>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Pistoia</t>
  </si>
  <si>
    <t>Pistoia@asteflorio.com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</si>
  <si>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</si>
  <si>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</si>
  <si>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</si>
  <si>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</si>
  <si>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</si>
  <si>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</si>
  <si>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</si>
  <si>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MontecatiniTerme</t>
  </si>
  <si>
    <t>Pescia</t>
  </si>
  <si>
    <t>Pieve a Nievole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</si>
  <si>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</si>
  <si>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</si>
  <si>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</si>
  <si>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</si>
  <si>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</si>
  <si>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</si>
  <si>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</si>
  <si>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</si>
  <si>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</si>
  <si>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Firenze</t>
  </si>
  <si>
    <t>Firenze@asteflorio.com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</si>
  <si>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</si>
  <si>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</si>
  <si>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</si>
  <si>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</si>
  <si>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</si>
  <si>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</si>
  <si>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</si>
  <si>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</si>
  <si>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</si>
  <si>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</si>
  <si>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</si>
  <si>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</si>
  <si>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</si>
  <si>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</si>
  <si>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</si>
  <si>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</si>
  <si>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</si>
  <si>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</si>
  <si>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</si>
  <si>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</si>
  <si>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</si>
  <si>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</si>
  <si>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</si>
  <si>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</si>
  <si>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</si>
  <si>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</si>
  <si>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</si>
  <si>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</si>
  <si>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</si>
  <si>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</si>
  <si>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</si>
  <si>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</si>
  <si>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</si>
  <si>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</si>
  <si>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Tavarnelle Val di Pesa</t>
  </si>
  <si>
    <t>Vaglia</t>
  </si>
  <si>
    <t>Vicchio</t>
  </si>
  <si>
    <t>Vinci</t>
  </si>
  <si>
    <t>Figline e Incisa Valdarno</t>
  </si>
  <si>
    <t>Scarperia e San Piero</t>
  </si>
  <si>
    <t>Bibbona</t>
  </si>
  <si>
    <t>Livorno</t>
  </si>
  <si>
    <t>Livorno@asteflorio.com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</si>
  <si>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</si>
  <si>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</si>
  <si>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</si>
  <si>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</si>
  <si>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</si>
  <si>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</si>
  <si>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</si>
  <si>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</si>
  <si>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</si>
  <si>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</si>
  <si>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</si>
  <si>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</si>
  <si>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</si>
  <si>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</si>
  <si>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</si>
  <si>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</si>
  <si>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</si>
  <si>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</si>
  <si>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Pisa</t>
  </si>
  <si>
    <t>Pisa@asteflorio.com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</si>
  <si>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</si>
  <si>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</si>
  <si>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</si>
  <si>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</si>
  <si>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</si>
  <si>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</si>
  <si>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</si>
  <si>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</si>
  <si>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</si>
  <si>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</si>
  <si>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</si>
  <si>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</si>
  <si>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</si>
  <si>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</si>
  <si>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</si>
  <si>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</si>
  <si>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</si>
  <si>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</si>
  <si>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</si>
  <si>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</si>
  <si>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</si>
  <si>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</si>
  <si>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</si>
  <si>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</si>
  <si>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</si>
  <si>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</si>
  <si>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</si>
  <si>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</si>
  <si>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</si>
  <si>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</si>
  <si>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</si>
  <si>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</si>
  <si>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</si>
  <si>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</si>
  <si>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</si>
  <si>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</si>
  <si>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</si>
  <si>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Arezzo@asteflorio.com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</si>
  <si>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</si>
  <si>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</si>
  <si>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</si>
  <si>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</si>
  <si>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</si>
  <si>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</si>
  <si>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</si>
  <si>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</si>
  <si>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</si>
  <si>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</si>
  <si>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</si>
  <si>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</si>
  <si>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</si>
  <si>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</si>
  <si>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</si>
  <si>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</si>
  <si>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</si>
  <si>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</si>
  <si>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</si>
  <si>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</si>
  <si>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</si>
  <si>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</si>
  <si>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</si>
  <si>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</si>
  <si>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</si>
  <si>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</si>
  <si>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</si>
  <si>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</si>
  <si>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</si>
  <si>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</si>
  <si>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</si>
  <si>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</si>
  <si>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</si>
  <si>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</si>
  <si>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</si>
  <si>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Siena</t>
  </si>
  <si>
    <t>Siena@asteflorio.com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</si>
  <si>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</si>
  <si>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</si>
  <si>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</si>
  <si>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</si>
  <si>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</si>
  <si>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</si>
  <si>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</si>
  <si>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</si>
  <si>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</si>
  <si>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</si>
  <si>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</si>
  <si>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</si>
  <si>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</si>
  <si>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</si>
  <si>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</si>
  <si>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</si>
  <si>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</si>
  <si>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</si>
  <si>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</si>
  <si>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</si>
  <si>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</si>
  <si>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</si>
  <si>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</si>
  <si>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</si>
  <si>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</si>
  <si>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</si>
  <si>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</si>
  <si>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</si>
  <si>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</si>
  <si>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</si>
  <si>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</si>
  <si>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</si>
  <si>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Montalcino</t>
  </si>
  <si>
    <t>Arcidosso</t>
  </si>
  <si>
    <t>Grosseto</t>
  </si>
  <si>
    <t>Grosseto@asteflorio.com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</si>
  <si>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</si>
  <si>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</si>
  <si>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</si>
  <si>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</si>
  <si>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</si>
  <si>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</si>
  <si>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</si>
  <si>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</si>
  <si>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</si>
  <si>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</si>
  <si>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</si>
  <si>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</si>
  <si>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</si>
  <si>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</si>
  <si>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</si>
  <si>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</si>
  <si>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</si>
  <si>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</si>
  <si>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</si>
  <si>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</si>
  <si>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</si>
  <si>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</si>
  <si>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</si>
  <si>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</si>
  <si>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</si>
  <si>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</si>
  <si>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</si>
  <si>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Prato</t>
  </si>
  <si>
    <t>Prato@asteflorio.com</t>
  </si>
  <si>
    <t>Carmignano</t>
  </si>
  <si>
    <t>Montemurlo</t>
  </si>
  <si>
    <t>Poggio a Caiano</t>
  </si>
  <si>
    <t>Vaiano</t>
  </si>
  <si>
    <t>Vernio</t>
  </si>
  <si>
    <t>Assisi</t>
  </si>
  <si>
    <t>Perugia</t>
  </si>
  <si>
    <t>Perugia@asteflorio.com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</si>
  <si>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</si>
  <si>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</si>
  <si>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</si>
  <si>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</si>
  <si>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</si>
  <si>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</si>
  <si>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</si>
  <si>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</si>
  <si>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</si>
  <si>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</si>
  <si>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</si>
  <si>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</si>
  <si>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</si>
  <si>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</si>
  <si>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</si>
  <si>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</si>
  <si>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</si>
  <si>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</si>
  <si>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</si>
  <si>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</si>
  <si>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</si>
  <si>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</si>
  <si>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</si>
  <si>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</si>
  <si>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</si>
  <si>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</si>
  <si>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</si>
  <si>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</si>
  <si>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</si>
  <si>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</si>
  <si>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</si>
  <si>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</si>
  <si>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</si>
  <si>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</si>
  <si>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</si>
  <si>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</si>
  <si>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</si>
  <si>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</si>
  <si>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</si>
  <si>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</si>
  <si>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</si>
  <si>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</si>
  <si>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</si>
  <si>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</si>
  <si>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</si>
  <si>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</si>
  <si>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</si>
  <si>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</si>
  <si>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</si>
  <si>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</si>
  <si>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</si>
  <si>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</si>
  <si>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</si>
  <si>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</si>
  <si>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</si>
  <si>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</si>
  <si>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</si>
  <si>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</si>
  <si>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Terni</t>
  </si>
  <si>
    <t>Terni@asteflorio.com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</si>
  <si>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</si>
  <si>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</si>
  <si>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</si>
  <si>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</si>
  <si>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</si>
  <si>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</si>
  <si>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</si>
  <si>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</si>
  <si>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</si>
  <si>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</si>
  <si>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</si>
  <si>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</si>
  <si>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</si>
  <si>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</si>
  <si>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</si>
  <si>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</si>
  <si>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</si>
  <si>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</si>
  <si>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</si>
  <si>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</si>
  <si>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</si>
  <si>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</si>
  <si>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</si>
  <si>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</si>
  <si>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</si>
  <si>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</si>
  <si>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</si>
  <si>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</si>
  <si>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</si>
  <si>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</si>
  <si>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Avigliano Umbro</t>
  </si>
  <si>
    <t>Acqualagna</t>
  </si>
  <si>
    <t>PesaroeUrbino</t>
  </si>
  <si>
    <t>PesaroeUrbino@asteflorio.com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</si>
  <si>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</si>
  <si>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</si>
  <si>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</si>
  <si>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</si>
  <si>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</si>
  <si>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</si>
  <si>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</si>
  <si>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</si>
  <si>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</si>
  <si>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</si>
  <si>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</si>
  <si>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</si>
  <si>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</si>
  <si>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</si>
  <si>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</si>
  <si>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</si>
  <si>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</si>
  <si>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</si>
  <si>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</si>
  <si>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</si>
  <si>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</si>
  <si>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</si>
  <si>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</si>
  <si>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</si>
  <si>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</si>
  <si>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</si>
  <si>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</si>
  <si>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</si>
  <si>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</si>
  <si>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</si>
  <si>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</si>
  <si>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</si>
  <si>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</si>
  <si>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</si>
  <si>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</si>
  <si>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</si>
  <si>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</si>
  <si>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</si>
  <si>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</si>
  <si>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</si>
  <si>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</si>
  <si>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</si>
  <si>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</si>
  <si>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</si>
  <si>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</si>
  <si>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</si>
  <si>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</si>
  <si>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</si>
  <si>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</si>
  <si>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</si>
  <si>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</si>
  <si>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</si>
  <si>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Agugliano</t>
  </si>
  <si>
    <t>Ancona</t>
  </si>
  <si>
    <t>Ancona@asteflorio.com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</si>
  <si>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</si>
  <si>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</si>
  <si>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</si>
  <si>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</si>
  <si>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</si>
  <si>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</si>
  <si>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</si>
  <si>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</si>
  <si>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</si>
  <si>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</si>
  <si>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</si>
  <si>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</si>
  <si>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</si>
  <si>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</si>
  <si>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</si>
  <si>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</si>
  <si>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</si>
  <si>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</si>
  <si>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</si>
  <si>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</si>
  <si>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</si>
  <si>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</si>
  <si>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</si>
  <si>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</si>
  <si>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</si>
  <si>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</si>
  <si>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</si>
  <si>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</si>
  <si>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</si>
  <si>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</si>
  <si>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</si>
  <si>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</si>
  <si>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</si>
  <si>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</si>
  <si>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</si>
  <si>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</si>
  <si>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</si>
  <si>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</si>
  <si>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</si>
  <si>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</si>
  <si>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</si>
  <si>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</si>
  <si>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</si>
  <si>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</si>
  <si>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</si>
  <si>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</si>
  <si>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Macerata</t>
  </si>
  <si>
    <t>Macerata@asteflorio.com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</si>
  <si>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</si>
  <si>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</si>
  <si>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</si>
  <si>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</si>
  <si>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</si>
  <si>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</si>
  <si>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</si>
  <si>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</si>
  <si>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</si>
  <si>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</si>
  <si>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</si>
  <si>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</si>
  <si>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</si>
  <si>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</si>
  <si>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</si>
  <si>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</si>
  <si>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</si>
  <si>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</si>
  <si>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</si>
  <si>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</si>
  <si>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</si>
  <si>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</si>
  <si>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</si>
  <si>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</si>
  <si>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</si>
  <si>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</si>
  <si>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</si>
  <si>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</si>
  <si>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</si>
  <si>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</si>
  <si>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</si>
  <si>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</si>
  <si>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</si>
  <si>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</si>
  <si>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</si>
  <si>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</si>
  <si>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</si>
  <si>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</si>
  <si>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</si>
  <si>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</si>
  <si>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</si>
  <si>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</si>
  <si>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</si>
  <si>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</si>
  <si>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</si>
  <si>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</si>
  <si>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</si>
  <si>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</si>
  <si>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</si>
  <si>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</si>
  <si>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</si>
  <si>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</si>
  <si>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</si>
  <si>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</si>
  <si>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AscoliPiceno</t>
  </si>
  <si>
    <t>AscoliPiceno@asteflorio.com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</si>
  <si>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</si>
  <si>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</si>
  <si>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</si>
  <si>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</si>
  <si>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</si>
  <si>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</si>
  <si>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</si>
  <si>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</si>
  <si>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</si>
  <si>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</si>
  <si>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</si>
  <si>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</si>
  <si>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</si>
  <si>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</si>
  <si>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</si>
  <si>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</si>
  <si>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</si>
  <si>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</si>
  <si>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</si>
  <si>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</si>
  <si>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</si>
  <si>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</si>
  <si>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</si>
  <si>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</si>
  <si>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</si>
  <si>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</si>
  <si>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</si>
  <si>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</si>
  <si>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</si>
  <si>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</si>
  <si>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</si>
  <si>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</si>
  <si>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</si>
  <si>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Fermo</t>
  </si>
  <si>
    <t>Fermo@asteflorio.com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</si>
  <si>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</si>
  <si>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</si>
  <si>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</si>
  <si>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</si>
  <si>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</si>
  <si>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</si>
  <si>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</si>
  <si>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</si>
  <si>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</si>
  <si>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</si>
  <si>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</si>
  <si>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</si>
  <si>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</si>
  <si>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</si>
  <si>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</si>
  <si>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</si>
  <si>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</si>
  <si>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</si>
  <si>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</si>
  <si>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</si>
  <si>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</si>
  <si>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</si>
  <si>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</si>
  <si>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</si>
  <si>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</si>
  <si>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</si>
  <si>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</si>
  <si>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</si>
  <si>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</si>
  <si>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</si>
  <si>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</si>
  <si>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</si>
  <si>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</si>
  <si>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</si>
  <si>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</si>
  <si>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</si>
  <si>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</si>
  <si>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</si>
  <si>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</si>
  <si>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Viterbo</t>
  </si>
  <si>
    <t>Viterbo@asteflorio.com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</si>
  <si>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</si>
  <si>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</si>
  <si>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</si>
  <si>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</si>
  <si>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</si>
  <si>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</si>
  <si>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</si>
  <si>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</si>
  <si>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</si>
  <si>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</si>
  <si>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</si>
  <si>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</si>
  <si>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</si>
  <si>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</si>
  <si>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</si>
  <si>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</si>
  <si>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</si>
  <si>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</si>
  <si>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</si>
  <si>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</si>
  <si>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</si>
  <si>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</si>
  <si>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</si>
  <si>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</si>
  <si>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</si>
  <si>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</si>
  <si>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</si>
  <si>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</si>
  <si>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</si>
  <si>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</si>
  <si>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</si>
  <si>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</si>
  <si>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</si>
  <si>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</si>
  <si>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</si>
  <si>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</si>
  <si>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</si>
  <si>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</si>
  <si>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</si>
  <si>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</si>
  <si>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</si>
  <si>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</si>
  <si>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</si>
  <si>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</si>
  <si>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</si>
  <si>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</si>
  <si>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</si>
  <si>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</si>
  <si>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</si>
  <si>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</si>
  <si>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</si>
  <si>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</si>
  <si>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</si>
  <si>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</si>
  <si>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</si>
  <si>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</si>
  <si>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</si>
  <si>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Vitorchiano</t>
  </si>
  <si>
    <t>Accumoli</t>
  </si>
  <si>
    <t>Rieti</t>
  </si>
  <si>
    <t>Rieti@asteflorio.com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</si>
  <si>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</si>
  <si>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</si>
  <si>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</si>
  <si>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</si>
  <si>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</si>
  <si>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</si>
  <si>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</si>
  <si>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</si>
  <si>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</si>
  <si>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</si>
  <si>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</si>
  <si>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</si>
  <si>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</si>
  <si>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</si>
  <si>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</si>
  <si>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</si>
  <si>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</si>
  <si>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</si>
  <si>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</si>
  <si>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</si>
  <si>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</si>
  <si>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</si>
  <si>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</si>
  <si>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</si>
  <si>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</si>
  <si>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</si>
  <si>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</si>
  <si>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</si>
  <si>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</si>
  <si>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</si>
  <si>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</si>
  <si>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</si>
  <si>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</si>
  <si>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</si>
  <si>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</si>
  <si>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</si>
  <si>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</si>
  <si>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</si>
  <si>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</si>
  <si>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</si>
  <si>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</si>
  <si>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</si>
  <si>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</si>
  <si>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</si>
  <si>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</si>
  <si>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</si>
  <si>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</si>
  <si>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</si>
  <si>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</si>
  <si>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</si>
  <si>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</si>
  <si>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</si>
  <si>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</si>
  <si>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</si>
  <si>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</si>
  <si>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</si>
  <si>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</si>
  <si>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</si>
  <si>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</si>
  <si>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</si>
  <si>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</si>
  <si>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</si>
  <si>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</si>
  <si>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</si>
  <si>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</si>
  <si>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</si>
  <si>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</si>
  <si>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</si>
  <si>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</si>
  <si>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</si>
  <si>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</si>
  <si>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</si>
  <si>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Roma</t>
  </si>
  <si>
    <t>Roma@asteflorio.com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</si>
  <si>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</si>
  <si>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</si>
  <si>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</si>
  <si>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</si>
  <si>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</si>
  <si>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</si>
  <si>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</si>
  <si>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</si>
  <si>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</si>
  <si>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</si>
  <si>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</si>
  <si>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</si>
  <si>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</si>
  <si>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</si>
  <si>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</si>
  <si>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</si>
  <si>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</si>
  <si>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</si>
  <si>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</si>
  <si>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</si>
  <si>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</si>
  <si>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</si>
  <si>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</si>
  <si>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</si>
  <si>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</si>
  <si>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</si>
  <si>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</si>
  <si>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</si>
  <si>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</si>
  <si>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</si>
  <si>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</si>
  <si>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</si>
  <si>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</si>
  <si>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</si>
  <si>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</si>
  <si>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</si>
  <si>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</si>
  <si>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</si>
  <si>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</si>
  <si>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</si>
  <si>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</si>
  <si>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</si>
  <si>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</si>
  <si>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</si>
  <si>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</si>
  <si>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</si>
  <si>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</si>
  <si>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</si>
  <si>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</si>
  <si>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</si>
  <si>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</si>
  <si>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</si>
  <si>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</si>
  <si>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</si>
  <si>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</si>
  <si>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</si>
  <si>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</si>
  <si>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</si>
  <si>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</si>
  <si>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</si>
  <si>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</si>
  <si>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</si>
  <si>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</si>
  <si>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</si>
  <si>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</si>
  <si>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</si>
  <si>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</si>
  <si>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</si>
  <si>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</si>
  <si>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</si>
  <si>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</si>
  <si>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</si>
  <si>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</si>
  <si>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</si>
  <si>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</si>
  <si>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</si>
  <si>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</si>
  <si>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</si>
  <si>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</si>
  <si>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</si>
  <si>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</si>
  <si>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</si>
  <si>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</si>
  <si>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</si>
  <si>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</si>
  <si>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</si>
  <si>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</si>
  <si>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</si>
  <si>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</si>
  <si>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</si>
  <si>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</si>
  <si>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</si>
  <si>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</si>
  <si>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</si>
  <si>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</si>
  <si>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</si>
  <si>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</si>
  <si>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</si>
  <si>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</si>
  <si>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</si>
  <si>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</si>
  <si>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</si>
  <si>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</si>
  <si>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</si>
  <si>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</si>
  <si>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</si>
  <si>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</si>
  <si>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</si>
  <si>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</si>
  <si>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</si>
  <si>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</si>
  <si>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</si>
  <si>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</si>
  <si>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</si>
  <si>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</si>
  <si>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</si>
  <si>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</si>
  <si>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</si>
  <si>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</si>
  <si>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</si>
  <si>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Latina</t>
  </si>
  <si>
    <t>Latina@asteflorio.com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</si>
  <si>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</si>
  <si>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</si>
  <si>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</si>
  <si>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</si>
  <si>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</si>
  <si>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</si>
  <si>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</si>
  <si>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</si>
  <si>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</si>
  <si>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</si>
  <si>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</si>
  <si>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</si>
  <si>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</si>
  <si>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</si>
  <si>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</si>
  <si>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</si>
  <si>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</si>
  <si>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</si>
  <si>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</si>
  <si>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</si>
  <si>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</si>
  <si>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</si>
  <si>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</si>
  <si>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</si>
  <si>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</si>
  <si>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</si>
  <si>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</si>
  <si>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</si>
  <si>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</si>
  <si>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</si>
  <si>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</si>
  <si>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</si>
  <si>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Frosinone</t>
  </si>
  <si>
    <t>Frosinone@asteflorio.com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</si>
  <si>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</si>
  <si>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</si>
  <si>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</si>
  <si>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</si>
  <si>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</si>
  <si>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</si>
  <si>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</si>
  <si>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</si>
  <si>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</si>
  <si>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</si>
  <si>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</si>
  <si>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</si>
  <si>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</si>
  <si>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</si>
  <si>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</si>
  <si>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</si>
  <si>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</si>
  <si>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</si>
  <si>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</si>
  <si>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</si>
  <si>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</si>
  <si>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</si>
  <si>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</si>
  <si>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</si>
  <si>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</si>
  <si>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</si>
  <si>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</si>
  <si>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</si>
  <si>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</si>
  <si>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</si>
  <si>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</si>
  <si>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</si>
  <si>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</si>
  <si>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</si>
  <si>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</si>
  <si>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</si>
  <si>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</si>
  <si>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</si>
  <si>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</si>
  <si>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</si>
  <si>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</si>
  <si>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</si>
  <si>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</si>
  <si>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</si>
  <si>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</si>
  <si>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</si>
  <si>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</si>
  <si>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</si>
  <si>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</si>
  <si>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</si>
  <si>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</si>
  <si>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</si>
  <si>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</si>
  <si>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</si>
  <si>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</si>
  <si>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</si>
  <si>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</si>
  <si>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</si>
  <si>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</si>
  <si>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</si>
  <si>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</si>
  <si>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</si>
  <si>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</si>
  <si>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</si>
  <si>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</si>
  <si>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</si>
  <si>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</si>
  <si>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</si>
  <si>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</si>
  <si>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</si>
  <si>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</si>
  <si>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</si>
  <si>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</si>
  <si>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</si>
  <si>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</si>
  <si>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</si>
  <si>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</si>
  <si>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</si>
  <si>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</si>
  <si>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</si>
  <si>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</si>
  <si>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</si>
  <si>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</si>
  <si>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</si>
  <si>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</si>
  <si>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</si>
  <si>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</si>
  <si>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</si>
  <si>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</si>
  <si>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</si>
  <si>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LAquila</t>
  </si>
  <si>
    <t>LAquila@asteflorio.com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</si>
  <si>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</si>
  <si>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</si>
  <si>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</si>
  <si>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</si>
  <si>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</si>
  <si>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</si>
  <si>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</si>
  <si>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</si>
  <si>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</si>
  <si>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</si>
  <si>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</si>
  <si>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</si>
  <si>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</si>
  <si>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</si>
  <si>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</si>
  <si>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</si>
  <si>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</si>
  <si>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</si>
  <si>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</si>
  <si>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</si>
  <si>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</si>
  <si>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</si>
  <si>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</si>
  <si>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</si>
  <si>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</si>
  <si>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</si>
  <si>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</si>
  <si>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</si>
  <si>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</si>
  <si>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</si>
  <si>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</si>
  <si>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</si>
  <si>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</si>
  <si>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</si>
  <si>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</si>
  <si>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</si>
  <si>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</si>
  <si>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</si>
  <si>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</si>
  <si>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</si>
  <si>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</si>
  <si>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</si>
  <si>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</si>
  <si>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</si>
  <si>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</si>
  <si>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</si>
  <si>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</si>
  <si>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</si>
  <si>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</si>
  <si>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</si>
  <si>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</si>
  <si>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</si>
  <si>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</si>
  <si>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</si>
  <si>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</si>
  <si>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</si>
  <si>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</si>
  <si>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</si>
  <si>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</si>
  <si>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</si>
  <si>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</si>
  <si>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</si>
  <si>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</si>
  <si>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</si>
  <si>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</si>
  <si>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</si>
  <si>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</si>
  <si>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</si>
  <si>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</si>
  <si>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</si>
  <si>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</si>
  <si>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</si>
  <si>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</si>
  <si>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</si>
  <si>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</si>
  <si>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</si>
  <si>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</si>
  <si>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</si>
  <si>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</si>
  <si>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</si>
  <si>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</si>
  <si>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</si>
  <si>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</si>
  <si>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</si>
  <si>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</si>
  <si>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</si>
  <si>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</si>
  <si>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</si>
  <si>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</si>
  <si>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</si>
  <si>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</si>
  <si>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</si>
  <si>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</si>
  <si>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</si>
  <si>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</si>
  <si>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</si>
  <si>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</si>
  <si>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</si>
  <si>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</si>
  <si>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</si>
  <si>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</si>
  <si>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</si>
  <si>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</si>
  <si>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</si>
  <si>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</si>
  <si>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</si>
  <si>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</si>
  <si>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</si>
  <si>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Teramo</t>
  </si>
  <si>
    <t>Teramo@asteflorio.com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</si>
  <si>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</si>
  <si>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</si>
  <si>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</si>
  <si>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</si>
  <si>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</si>
  <si>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</si>
  <si>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</si>
  <si>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</si>
  <si>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</si>
  <si>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</si>
  <si>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</si>
  <si>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</si>
  <si>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</si>
  <si>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</si>
  <si>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</si>
  <si>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</si>
  <si>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</si>
  <si>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</si>
  <si>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</si>
  <si>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</si>
  <si>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</si>
  <si>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</si>
  <si>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</si>
  <si>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</si>
  <si>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</si>
  <si>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</si>
  <si>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</si>
  <si>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</si>
  <si>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</si>
  <si>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</si>
  <si>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</si>
  <si>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</si>
  <si>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</si>
  <si>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</si>
  <si>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</si>
  <si>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</si>
  <si>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</si>
  <si>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</si>
  <si>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</si>
  <si>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</si>
  <si>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</si>
  <si>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</si>
  <si>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</si>
  <si>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</si>
  <si>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</si>
  <si>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</si>
  <si>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Pescara</t>
  </si>
  <si>
    <t>Pescara@asteflorio.com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</si>
  <si>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</si>
  <si>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</si>
  <si>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</si>
  <si>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</si>
  <si>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</si>
  <si>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</si>
  <si>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</si>
  <si>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</si>
  <si>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</si>
  <si>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</si>
  <si>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</si>
  <si>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</si>
  <si>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</si>
  <si>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</si>
  <si>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</si>
  <si>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</si>
  <si>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</si>
  <si>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</si>
  <si>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</si>
  <si>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</si>
  <si>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</si>
  <si>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</si>
  <si>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</si>
  <si>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</si>
  <si>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</si>
  <si>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</si>
  <si>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</si>
  <si>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</si>
  <si>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</si>
  <si>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</si>
  <si>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</si>
  <si>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</si>
  <si>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</si>
  <si>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</si>
  <si>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</si>
  <si>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</si>
  <si>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</si>
  <si>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</si>
  <si>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</si>
  <si>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</si>
  <si>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</si>
  <si>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</si>
  <si>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</si>
  <si>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</si>
  <si>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</si>
  <si>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Chieti</t>
  </si>
  <si>
    <t>Chieti@asteflorio.com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</si>
  <si>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</si>
  <si>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</si>
  <si>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</si>
  <si>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</si>
  <si>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</si>
  <si>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</si>
  <si>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</si>
  <si>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</si>
  <si>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</si>
  <si>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</si>
  <si>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</si>
  <si>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</si>
  <si>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</si>
  <si>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</si>
  <si>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</si>
  <si>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</si>
  <si>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</si>
  <si>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</si>
  <si>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</si>
  <si>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</si>
  <si>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</si>
  <si>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</si>
  <si>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</si>
  <si>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</si>
  <si>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</si>
  <si>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</si>
  <si>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</si>
  <si>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</si>
  <si>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</si>
  <si>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</si>
  <si>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</si>
  <si>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</si>
  <si>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</si>
  <si>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</si>
  <si>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</si>
  <si>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</si>
  <si>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</si>
  <si>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</si>
  <si>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</si>
  <si>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</si>
  <si>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</si>
  <si>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</si>
  <si>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</si>
  <si>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</si>
  <si>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</si>
  <si>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</si>
  <si>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</si>
  <si>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</si>
  <si>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</si>
  <si>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</si>
  <si>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</si>
  <si>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</si>
  <si>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</si>
  <si>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</si>
  <si>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</si>
  <si>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</si>
  <si>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</si>
  <si>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</si>
  <si>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</si>
  <si>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</si>
  <si>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</si>
  <si>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</si>
  <si>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</si>
  <si>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</si>
  <si>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</si>
  <si>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</si>
  <si>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</si>
  <si>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</si>
  <si>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</si>
  <si>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</si>
  <si>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</si>
  <si>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</si>
  <si>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</si>
  <si>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</si>
  <si>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</si>
  <si>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</si>
  <si>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</si>
  <si>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</si>
  <si>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</si>
  <si>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</si>
  <si>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</si>
  <si>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</si>
  <si>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</si>
  <si>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</si>
  <si>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</si>
  <si>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</si>
  <si>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</si>
  <si>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</si>
  <si>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</si>
  <si>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</si>
  <si>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</si>
  <si>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</si>
  <si>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</si>
  <si>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</si>
  <si>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</si>
  <si>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</si>
  <si>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</si>
  <si>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</si>
  <si>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</si>
  <si>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</si>
  <si>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</si>
  <si>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</si>
  <si>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</si>
  <si>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Campobasso</t>
  </si>
  <si>
    <t>Campobasso@asteflorio.com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</si>
  <si>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</si>
  <si>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</si>
  <si>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</si>
  <si>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</si>
  <si>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</si>
  <si>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</si>
  <si>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</si>
  <si>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</si>
  <si>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</si>
  <si>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</si>
  <si>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</si>
  <si>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</si>
  <si>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</si>
  <si>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</si>
  <si>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</si>
  <si>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</si>
  <si>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</si>
  <si>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</si>
  <si>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</si>
  <si>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</si>
  <si>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</si>
  <si>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</si>
  <si>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</si>
  <si>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</si>
  <si>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</si>
  <si>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</si>
  <si>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</si>
  <si>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</si>
  <si>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</si>
  <si>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</si>
  <si>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</si>
  <si>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</si>
  <si>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</si>
  <si>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</si>
  <si>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</si>
  <si>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</si>
  <si>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</si>
  <si>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</si>
  <si>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</si>
  <si>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</si>
  <si>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</si>
  <si>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</si>
  <si>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</si>
  <si>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</si>
  <si>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</si>
  <si>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</si>
  <si>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</si>
  <si>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</si>
  <si>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</si>
  <si>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</si>
  <si>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</si>
  <si>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</si>
  <si>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</si>
  <si>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</si>
  <si>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</si>
  <si>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</si>
  <si>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</si>
  <si>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</si>
  <si>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</si>
  <si>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</si>
  <si>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</si>
  <si>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</si>
  <si>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</si>
  <si>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</si>
  <si>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</si>
  <si>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</si>
  <si>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</si>
  <si>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</si>
  <si>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</si>
  <si>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</si>
  <si>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</si>
  <si>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</si>
  <si>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</si>
  <si>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</si>
  <si>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</si>
  <si>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</si>
  <si>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</si>
  <si>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</si>
  <si>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</si>
  <si>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</si>
  <si>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</si>
  <si>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</si>
  <si>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</si>
  <si>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Isernia</t>
  </si>
  <si>
    <t>Isernia@asteflorio.com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</si>
  <si>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</si>
  <si>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</si>
  <si>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</si>
  <si>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</si>
  <si>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</si>
  <si>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</si>
  <si>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</si>
  <si>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</si>
  <si>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</si>
  <si>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</si>
  <si>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</si>
  <si>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</si>
  <si>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</si>
  <si>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</si>
  <si>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</si>
  <si>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</si>
  <si>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</si>
  <si>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</si>
  <si>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</si>
  <si>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</si>
  <si>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</si>
  <si>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</si>
  <si>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</si>
  <si>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</si>
  <si>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</si>
  <si>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</si>
  <si>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</si>
  <si>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</si>
  <si>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</si>
  <si>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</si>
  <si>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</si>
  <si>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</si>
  <si>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</si>
  <si>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</si>
  <si>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</si>
  <si>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</si>
  <si>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</si>
  <si>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</si>
  <si>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</si>
  <si>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</si>
  <si>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</si>
  <si>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</si>
  <si>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</si>
  <si>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</si>
  <si>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</si>
  <si>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</si>
  <si>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</si>
  <si>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</si>
  <si>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</si>
  <si>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</si>
  <si>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</si>
  <si>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Caserta</t>
  </si>
  <si>
    <t>Caserta@asteflorio.com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</si>
  <si>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</si>
  <si>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</si>
  <si>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</si>
  <si>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</si>
  <si>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</si>
  <si>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</si>
  <si>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</si>
  <si>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</si>
  <si>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</si>
  <si>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</si>
  <si>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</si>
  <si>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</si>
  <si>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</si>
  <si>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</si>
  <si>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</si>
  <si>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</si>
  <si>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</si>
  <si>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</si>
  <si>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</si>
  <si>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</si>
  <si>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</si>
  <si>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</si>
  <si>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</si>
  <si>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</si>
  <si>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</si>
  <si>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</si>
  <si>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</si>
  <si>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</si>
  <si>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</si>
  <si>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</si>
  <si>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</si>
  <si>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</si>
  <si>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</si>
  <si>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</si>
  <si>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</si>
  <si>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</si>
  <si>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</si>
  <si>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</si>
  <si>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</si>
  <si>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</si>
  <si>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</si>
  <si>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</si>
  <si>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</si>
  <si>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</si>
  <si>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</si>
  <si>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</si>
  <si>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</si>
  <si>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</si>
  <si>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</si>
  <si>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</si>
  <si>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</si>
  <si>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</si>
  <si>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</si>
  <si>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</si>
  <si>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</si>
  <si>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</si>
  <si>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</si>
  <si>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</si>
  <si>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</si>
  <si>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</si>
  <si>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</si>
  <si>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</si>
  <si>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</si>
  <si>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</si>
  <si>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</si>
  <si>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</si>
  <si>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</si>
  <si>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</si>
  <si>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</si>
  <si>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</si>
  <si>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</si>
  <si>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</si>
  <si>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</si>
  <si>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</si>
  <si>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</si>
  <si>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</si>
  <si>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</si>
  <si>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</si>
  <si>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</si>
  <si>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</si>
  <si>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</si>
  <si>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</si>
  <si>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</si>
  <si>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</si>
  <si>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</si>
  <si>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</si>
  <si>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</si>
  <si>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</si>
  <si>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</si>
  <si>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</si>
  <si>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</si>
  <si>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</si>
  <si>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</si>
  <si>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</si>
  <si>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</si>
  <si>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</si>
  <si>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</si>
  <si>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</si>
  <si>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</si>
  <si>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</si>
  <si>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</si>
  <si>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</si>
  <si>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</si>
  <si>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Benevento</t>
  </si>
  <si>
    <t>Benevento@asteflorio.com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</si>
  <si>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</si>
  <si>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</si>
  <si>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</si>
  <si>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</si>
  <si>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</si>
  <si>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</si>
  <si>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</si>
  <si>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</si>
  <si>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</si>
  <si>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</si>
  <si>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</si>
  <si>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</si>
  <si>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</si>
  <si>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</si>
  <si>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</si>
  <si>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</si>
  <si>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</si>
  <si>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</si>
  <si>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</si>
  <si>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</si>
  <si>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</si>
  <si>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</si>
  <si>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</si>
  <si>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</si>
  <si>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</si>
  <si>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</si>
  <si>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</si>
  <si>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</si>
  <si>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</si>
  <si>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</si>
  <si>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</si>
  <si>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</si>
  <si>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</si>
  <si>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</si>
  <si>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</si>
  <si>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</si>
  <si>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</si>
  <si>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</si>
  <si>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</si>
  <si>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</si>
  <si>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</si>
  <si>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</si>
  <si>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</si>
  <si>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</si>
  <si>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</si>
  <si>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</si>
  <si>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</si>
  <si>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</si>
  <si>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</si>
  <si>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</si>
  <si>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</si>
  <si>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</si>
  <si>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</si>
  <si>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</si>
  <si>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</si>
  <si>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</si>
  <si>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</si>
  <si>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</si>
  <si>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</si>
  <si>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</si>
  <si>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</si>
  <si>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</si>
  <si>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</si>
  <si>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</si>
  <si>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</si>
  <si>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</si>
  <si>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</si>
  <si>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</si>
  <si>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</si>
  <si>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</si>
  <si>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</si>
  <si>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</si>
  <si>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</si>
  <si>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</si>
  <si>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</si>
  <si>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</si>
  <si>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</si>
  <si>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Napoli</t>
  </si>
  <si>
    <t>Napoli@asteflorio.com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</si>
  <si>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</si>
  <si>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</si>
  <si>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</si>
  <si>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</si>
  <si>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</si>
  <si>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</si>
  <si>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</si>
  <si>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</si>
  <si>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</si>
  <si>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</si>
  <si>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</si>
  <si>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</si>
  <si>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</si>
  <si>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</si>
  <si>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</si>
  <si>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</si>
  <si>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</si>
  <si>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</si>
  <si>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</si>
  <si>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</si>
  <si>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</si>
  <si>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</si>
  <si>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</si>
  <si>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</si>
  <si>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</si>
  <si>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</si>
  <si>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</si>
  <si>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</si>
  <si>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</si>
  <si>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</si>
  <si>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</si>
  <si>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</si>
  <si>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</si>
  <si>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</si>
  <si>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</si>
  <si>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</si>
  <si>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</si>
  <si>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</si>
  <si>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</si>
  <si>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</si>
  <si>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</si>
  <si>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</si>
  <si>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</si>
  <si>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</si>
  <si>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</si>
  <si>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</si>
  <si>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</si>
  <si>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</si>
  <si>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</si>
  <si>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</si>
  <si>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</si>
  <si>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</si>
  <si>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</si>
  <si>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</si>
  <si>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</si>
  <si>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</si>
  <si>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</si>
  <si>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</si>
  <si>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</si>
  <si>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</si>
  <si>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</si>
  <si>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</si>
  <si>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</si>
  <si>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</si>
  <si>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</si>
  <si>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</si>
  <si>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</si>
  <si>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</si>
  <si>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</si>
  <si>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</si>
  <si>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</si>
  <si>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</si>
  <si>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</si>
  <si>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</si>
  <si>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</si>
  <si>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</si>
  <si>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</si>
  <si>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</si>
  <si>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</si>
  <si>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</si>
  <si>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</si>
  <si>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</si>
  <si>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</si>
  <si>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</si>
  <si>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</si>
  <si>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</si>
  <si>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</si>
  <si>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</si>
  <si>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</si>
  <si>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</si>
  <si>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</si>
  <si>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Avellino</t>
  </si>
  <si>
    <t>Avellino@asteflorio.com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</si>
  <si>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</si>
  <si>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</si>
  <si>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</si>
  <si>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</si>
  <si>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</si>
  <si>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</si>
  <si>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</si>
  <si>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</si>
  <si>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</si>
  <si>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</si>
  <si>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</si>
  <si>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</si>
  <si>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</si>
  <si>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</si>
  <si>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</si>
  <si>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</si>
  <si>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</si>
  <si>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</si>
  <si>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</si>
  <si>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</si>
  <si>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</si>
  <si>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</si>
  <si>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</si>
  <si>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</si>
  <si>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</si>
  <si>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</si>
  <si>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</si>
  <si>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</si>
  <si>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</si>
  <si>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</si>
  <si>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</si>
  <si>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</si>
  <si>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</si>
  <si>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</si>
  <si>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</si>
  <si>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</si>
  <si>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</si>
  <si>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</si>
  <si>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</si>
  <si>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</si>
  <si>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</si>
  <si>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</si>
  <si>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</si>
  <si>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</si>
  <si>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</si>
  <si>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</si>
  <si>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</si>
  <si>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</si>
  <si>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</si>
  <si>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</si>
  <si>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</si>
  <si>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</si>
  <si>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</si>
  <si>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</si>
  <si>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</si>
  <si>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</si>
  <si>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</si>
  <si>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</si>
  <si>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</si>
  <si>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</si>
  <si>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</si>
  <si>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</si>
  <si>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</si>
  <si>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</si>
  <si>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</si>
  <si>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</si>
  <si>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</si>
  <si>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</si>
  <si>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</si>
  <si>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</si>
  <si>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</si>
  <si>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</si>
  <si>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</si>
  <si>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</si>
  <si>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</si>
  <si>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</si>
  <si>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</si>
  <si>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</si>
  <si>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</si>
  <si>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</si>
  <si>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</si>
  <si>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</si>
  <si>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</si>
  <si>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</si>
  <si>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</si>
  <si>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</si>
  <si>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</si>
  <si>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</si>
  <si>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</si>
  <si>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</si>
  <si>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</si>
  <si>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</si>
  <si>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</si>
  <si>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</si>
  <si>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</si>
  <si>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</si>
  <si>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</si>
  <si>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</si>
  <si>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</si>
  <si>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</si>
  <si>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</si>
  <si>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</si>
  <si>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</si>
  <si>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</si>
  <si>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</si>
  <si>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</si>
  <si>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</si>
  <si>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</si>
  <si>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</si>
  <si>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</si>
  <si>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</si>
  <si>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</si>
  <si>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</si>
  <si>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</si>
  <si>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</si>
  <si>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</si>
  <si>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</si>
  <si>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Salerno</t>
  </si>
  <si>
    <t>Salerno@asteflorio.com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</si>
  <si>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</si>
  <si>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</si>
  <si>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</si>
  <si>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</si>
  <si>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</si>
  <si>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</si>
  <si>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</si>
  <si>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</si>
  <si>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</si>
  <si>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</si>
  <si>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</si>
  <si>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</si>
  <si>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</si>
  <si>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</si>
  <si>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</si>
  <si>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</si>
  <si>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</si>
  <si>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</si>
  <si>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</si>
  <si>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</si>
  <si>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</si>
  <si>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</si>
  <si>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</si>
  <si>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</si>
  <si>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</si>
  <si>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</si>
  <si>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</si>
  <si>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</si>
  <si>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</si>
  <si>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</si>
  <si>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</si>
  <si>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</si>
  <si>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</si>
  <si>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</si>
  <si>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</si>
  <si>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</si>
  <si>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</si>
  <si>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</si>
  <si>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</si>
  <si>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</si>
  <si>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</si>
  <si>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</si>
  <si>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</si>
  <si>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</si>
  <si>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</si>
  <si>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</si>
  <si>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</si>
  <si>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</si>
  <si>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</si>
  <si>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</si>
  <si>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</si>
  <si>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</si>
  <si>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</si>
  <si>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</si>
  <si>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</si>
  <si>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</si>
  <si>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</si>
  <si>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</si>
  <si>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</si>
  <si>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</si>
  <si>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</si>
  <si>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</si>
  <si>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</si>
  <si>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</si>
  <si>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</si>
  <si>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</si>
  <si>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</si>
  <si>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</si>
  <si>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</si>
  <si>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</si>
  <si>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</si>
  <si>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</si>
  <si>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</si>
  <si>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</si>
  <si>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</si>
  <si>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</si>
  <si>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</si>
  <si>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</si>
  <si>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</si>
  <si>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</si>
  <si>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</si>
  <si>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</si>
  <si>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</si>
  <si>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</si>
  <si>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</si>
  <si>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</si>
  <si>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</si>
  <si>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</si>
  <si>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</si>
  <si>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</si>
  <si>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</si>
  <si>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</si>
  <si>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</si>
  <si>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</si>
  <si>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</si>
  <si>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</si>
  <si>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</si>
  <si>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</si>
  <si>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</si>
  <si>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</si>
  <si>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</si>
  <si>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</si>
  <si>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</si>
  <si>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</si>
  <si>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</si>
  <si>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</si>
  <si>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</si>
  <si>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</si>
  <si>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</si>
  <si>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</si>
  <si>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</si>
  <si>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</si>
  <si>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</si>
  <si>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</si>
  <si>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</si>
  <si>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</si>
  <si>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</si>
  <si>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</si>
  <si>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</si>
  <si>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</si>
  <si>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</si>
  <si>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</si>
  <si>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</si>
  <si>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</si>
  <si>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</si>
  <si>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</si>
  <si>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</si>
  <si>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</si>
  <si>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</si>
  <si>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</si>
  <si>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</si>
  <si>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</si>
  <si>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</si>
  <si>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</si>
  <si>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</si>
  <si>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</si>
  <si>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</si>
  <si>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</si>
  <si>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</si>
  <si>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</si>
  <si>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</si>
  <si>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</si>
  <si>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</si>
  <si>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</si>
  <si>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</si>
  <si>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</si>
  <si>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</si>
  <si>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</si>
  <si>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</si>
  <si>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</si>
  <si>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</si>
  <si>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</si>
  <si>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</si>
  <si>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</si>
  <si>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</si>
  <si>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</si>
  <si>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</si>
  <si>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Foggia</t>
  </si>
  <si>
    <t>Foggia@asteflorio.com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</si>
  <si>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</si>
  <si>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</si>
  <si>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</si>
  <si>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</si>
  <si>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</si>
  <si>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</si>
  <si>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</si>
  <si>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</si>
  <si>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</si>
  <si>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</si>
  <si>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</si>
  <si>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</si>
  <si>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</si>
  <si>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</si>
  <si>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</si>
  <si>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</si>
  <si>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</si>
  <si>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</si>
  <si>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</si>
  <si>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</si>
  <si>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</si>
  <si>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</si>
  <si>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</si>
  <si>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</si>
  <si>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</si>
  <si>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</si>
  <si>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</si>
  <si>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</si>
  <si>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</si>
  <si>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</si>
  <si>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</si>
  <si>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</si>
  <si>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</si>
  <si>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</si>
  <si>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</si>
  <si>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</si>
  <si>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</si>
  <si>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</si>
  <si>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</si>
  <si>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</si>
  <si>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</si>
  <si>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</si>
  <si>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</si>
  <si>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</si>
  <si>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</si>
  <si>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</si>
  <si>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</si>
  <si>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</si>
  <si>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</si>
  <si>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</si>
  <si>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</si>
  <si>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</si>
  <si>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</si>
  <si>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</si>
  <si>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</si>
  <si>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</si>
  <si>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</si>
  <si>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</si>
  <si>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</si>
  <si>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</si>
  <si>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Bari</t>
  </si>
  <si>
    <t>Bari@asteflorio.com</t>
  </si>
  <si>
    <t>Adelfia</t>
  </si>
  <si>
    <t>Alberobello</t>
  </si>
  <si>
    <t>Altamura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</si>
  <si>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</si>
  <si>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</si>
  <si>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</si>
  <si>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</si>
  <si>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</si>
  <si>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</si>
  <si>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</si>
  <si>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</si>
  <si>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</si>
  <si>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</si>
  <si>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</si>
  <si>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</si>
  <si>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</si>
  <si>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</si>
  <si>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</si>
  <si>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</si>
  <si>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</si>
  <si>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</si>
  <si>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</si>
  <si>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</si>
  <si>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</si>
  <si>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</si>
  <si>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</si>
  <si>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</si>
  <si>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</si>
  <si>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</si>
  <si>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</si>
  <si>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</si>
  <si>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</si>
  <si>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</si>
  <si>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</si>
  <si>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</si>
  <si>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</si>
  <si>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</si>
  <si>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</si>
  <si>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</si>
  <si>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</si>
  <si>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Taranto</t>
  </si>
  <si>
    <t>Taranto@asteflorio.com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</si>
  <si>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</si>
  <si>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</si>
  <si>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</si>
  <si>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</si>
  <si>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</si>
  <si>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</si>
  <si>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</si>
  <si>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</si>
  <si>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</si>
  <si>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</si>
  <si>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</si>
  <si>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</si>
  <si>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</si>
  <si>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</si>
  <si>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</si>
  <si>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</si>
  <si>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</si>
  <si>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</si>
  <si>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</si>
  <si>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</si>
  <si>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</si>
  <si>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</si>
  <si>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</si>
  <si>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</si>
  <si>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</si>
  <si>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Torricella</t>
  </si>
  <si>
    <t>Statte</t>
  </si>
  <si>
    <t>Brindisi</t>
  </si>
  <si>
    <t>Brindisi@asteflorio.com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</si>
  <si>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</si>
  <si>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</si>
  <si>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</si>
  <si>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</si>
  <si>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</si>
  <si>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</si>
  <si>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</si>
  <si>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</si>
  <si>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</si>
  <si>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</si>
  <si>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</si>
  <si>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</si>
  <si>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</si>
  <si>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</si>
  <si>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</si>
  <si>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</si>
  <si>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</si>
  <si>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</si>
  <si>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</si>
  <si>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</si>
  <si>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Lecce</t>
  </si>
  <si>
    <t>Lecce@asteflorio.com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</si>
  <si>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</si>
  <si>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</si>
  <si>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</si>
  <si>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</si>
  <si>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</si>
  <si>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</si>
  <si>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</si>
  <si>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</si>
  <si>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</si>
  <si>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</si>
  <si>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</si>
  <si>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</si>
  <si>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</si>
  <si>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</si>
  <si>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</si>
  <si>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</si>
  <si>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</si>
  <si>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</si>
  <si>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</si>
  <si>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</si>
  <si>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</si>
  <si>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</si>
  <si>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</si>
  <si>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</si>
  <si>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</si>
  <si>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</si>
  <si>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</si>
  <si>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</si>
  <si>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</si>
  <si>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</si>
  <si>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</si>
  <si>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</si>
  <si>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</si>
  <si>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</si>
  <si>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</si>
  <si>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</si>
  <si>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</si>
  <si>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</si>
  <si>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</si>
  <si>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</si>
  <si>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</si>
  <si>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</si>
  <si>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</si>
  <si>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</si>
  <si>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</si>
  <si>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</si>
  <si>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</si>
  <si>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</si>
  <si>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</si>
  <si>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</si>
  <si>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</si>
  <si>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</si>
  <si>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</si>
  <si>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</si>
  <si>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</si>
  <si>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</si>
  <si>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</si>
  <si>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</si>
  <si>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</si>
  <si>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</si>
  <si>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</si>
  <si>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</si>
  <si>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</si>
  <si>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</si>
  <si>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</si>
  <si>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</si>
  <si>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</si>
  <si>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</si>
  <si>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</si>
  <si>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</si>
  <si>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</si>
  <si>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</si>
  <si>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</si>
  <si>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</si>
  <si>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</si>
  <si>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</si>
  <si>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</si>
  <si>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</si>
  <si>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</si>
  <si>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</si>
  <si>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</si>
  <si>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</si>
  <si>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</si>
  <si>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</si>
  <si>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</si>
  <si>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</si>
  <si>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</si>
  <si>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</si>
  <si>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</si>
  <si>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</si>
  <si>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</si>
  <si>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</si>
  <si>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</si>
  <si>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</si>
  <si>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Andria</t>
  </si>
  <si>
    <t>BarlettaAndriaTrani</t>
  </si>
  <si>
    <t>BarlettaAndriaTrani@asteflorio.com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</si>
  <si>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</si>
  <si>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</si>
  <si>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</si>
  <si>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</si>
  <si>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</si>
  <si>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</si>
  <si>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</si>
  <si>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</si>
  <si>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</si>
  <si>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</si>
  <si>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Potenza</t>
  </si>
  <si>
    <t>Potenza@asteflorio.com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</si>
  <si>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</si>
  <si>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</si>
  <si>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</si>
  <si>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</si>
  <si>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</si>
  <si>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</si>
  <si>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</si>
  <si>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</si>
  <si>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</si>
  <si>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</si>
  <si>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</si>
  <si>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</si>
  <si>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</si>
  <si>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</si>
  <si>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</si>
  <si>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</si>
  <si>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</si>
  <si>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</si>
  <si>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</si>
  <si>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</si>
  <si>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</si>
  <si>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</si>
  <si>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</si>
  <si>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</si>
  <si>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</si>
  <si>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</si>
  <si>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</si>
  <si>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</si>
  <si>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</si>
  <si>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</si>
  <si>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</si>
  <si>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</si>
  <si>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</si>
  <si>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</si>
  <si>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</si>
  <si>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</si>
  <si>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</si>
  <si>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</si>
  <si>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</si>
  <si>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</si>
  <si>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</si>
  <si>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</si>
  <si>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</si>
  <si>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</si>
  <si>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</si>
  <si>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</si>
  <si>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</si>
  <si>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</si>
  <si>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</si>
  <si>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</si>
  <si>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</si>
  <si>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</si>
  <si>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</si>
  <si>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</si>
  <si>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</si>
  <si>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</si>
  <si>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</si>
  <si>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</si>
  <si>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</si>
  <si>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</si>
  <si>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</si>
  <si>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</si>
  <si>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</si>
  <si>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</si>
  <si>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</si>
  <si>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</si>
  <si>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</si>
  <si>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</si>
  <si>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</si>
  <si>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</si>
  <si>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</si>
  <si>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</si>
  <si>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</si>
  <si>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</si>
  <si>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</si>
  <si>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</si>
  <si>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</si>
  <si>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</si>
  <si>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</si>
  <si>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</si>
  <si>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</si>
  <si>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</si>
  <si>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</si>
  <si>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</si>
  <si>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</si>
  <si>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</si>
  <si>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</si>
  <si>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</si>
  <si>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</si>
  <si>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</si>
  <si>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</si>
  <si>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</si>
  <si>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</si>
  <si>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</si>
  <si>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</si>
  <si>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</si>
  <si>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</si>
  <si>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</si>
  <si>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</si>
  <si>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Matera</t>
  </si>
  <si>
    <t>Matera@asteflorio.com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</si>
  <si>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</si>
  <si>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</si>
  <si>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</si>
  <si>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</si>
  <si>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</si>
  <si>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</si>
  <si>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</si>
  <si>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</si>
  <si>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</si>
  <si>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</si>
  <si>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</si>
  <si>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</si>
  <si>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</si>
  <si>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</si>
  <si>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</si>
  <si>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</si>
  <si>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</si>
  <si>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</si>
  <si>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</si>
  <si>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</si>
  <si>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</si>
  <si>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</si>
  <si>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</si>
  <si>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</si>
  <si>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</si>
  <si>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</si>
  <si>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</si>
  <si>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</si>
  <si>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</si>
  <si>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</si>
  <si>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Cosenza</t>
  </si>
  <si>
    <t>Cosenza@asteflorio.com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</si>
  <si>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</si>
  <si>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</si>
  <si>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</si>
  <si>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</si>
  <si>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</si>
  <si>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</si>
  <si>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</si>
  <si>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</si>
  <si>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</si>
  <si>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</si>
  <si>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</si>
  <si>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</si>
  <si>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</si>
  <si>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</si>
  <si>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</si>
  <si>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</si>
  <si>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</si>
  <si>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</si>
  <si>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</si>
  <si>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</si>
  <si>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</si>
  <si>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</si>
  <si>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</si>
  <si>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</si>
  <si>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</si>
  <si>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</si>
  <si>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</si>
  <si>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</si>
  <si>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</si>
  <si>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</si>
  <si>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</si>
  <si>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</si>
  <si>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</si>
  <si>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</si>
  <si>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</si>
  <si>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</si>
  <si>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</si>
  <si>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</si>
  <si>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</si>
  <si>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</si>
  <si>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</si>
  <si>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</si>
  <si>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</si>
  <si>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</si>
  <si>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</si>
  <si>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</si>
  <si>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</si>
  <si>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</si>
  <si>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</si>
  <si>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</si>
  <si>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</si>
  <si>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</si>
  <si>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</si>
  <si>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</si>
  <si>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</si>
  <si>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</si>
  <si>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</si>
  <si>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</si>
  <si>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</si>
  <si>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</si>
  <si>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</si>
  <si>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</si>
  <si>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</si>
  <si>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</si>
  <si>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</si>
  <si>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</si>
  <si>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</si>
  <si>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</si>
  <si>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</si>
  <si>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</si>
  <si>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</si>
  <si>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</si>
  <si>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</si>
  <si>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</si>
  <si>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</si>
  <si>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</si>
  <si>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</si>
  <si>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</si>
  <si>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</si>
  <si>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</si>
  <si>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</si>
  <si>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</si>
  <si>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</si>
  <si>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</si>
  <si>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</si>
  <si>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</si>
  <si>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</si>
  <si>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</si>
  <si>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</si>
  <si>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</si>
  <si>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</si>
  <si>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</si>
  <si>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</si>
  <si>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</si>
  <si>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</si>
  <si>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</si>
  <si>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</si>
  <si>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</si>
  <si>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</si>
  <si>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</si>
  <si>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</si>
  <si>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</si>
  <si>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</si>
  <si>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</si>
  <si>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</si>
  <si>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</si>
  <si>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</si>
  <si>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</si>
  <si>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</si>
  <si>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</si>
  <si>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</si>
  <si>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</si>
  <si>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</si>
  <si>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</si>
  <si>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</si>
  <si>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</si>
  <si>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</si>
  <si>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</si>
  <si>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</si>
  <si>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</si>
  <si>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</si>
  <si>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</si>
  <si>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</si>
  <si>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</si>
  <si>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</si>
  <si>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</si>
  <si>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</si>
  <si>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</si>
  <si>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</si>
  <si>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</si>
  <si>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</si>
  <si>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</si>
  <si>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</si>
  <si>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</si>
  <si>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</si>
  <si>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</si>
  <si>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</si>
  <si>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</si>
  <si>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</si>
  <si>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</si>
  <si>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</si>
  <si>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</si>
  <si>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</si>
  <si>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</si>
  <si>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</si>
  <si>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</si>
  <si>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</si>
  <si>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CoriglianoRossano</t>
  </si>
  <si>
    <t>Albi</t>
  </si>
  <si>
    <t>Catanzaro</t>
  </si>
  <si>
    <t>Catanzaro@asteflorio.com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</si>
  <si>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</si>
  <si>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</si>
  <si>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</si>
  <si>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</si>
  <si>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</si>
  <si>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</si>
  <si>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</si>
  <si>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</si>
  <si>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</si>
  <si>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</si>
  <si>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</si>
  <si>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</si>
  <si>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</si>
  <si>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</si>
  <si>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</si>
  <si>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</si>
  <si>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</si>
  <si>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</si>
  <si>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</si>
  <si>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</si>
  <si>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</si>
  <si>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</si>
  <si>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</si>
  <si>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</si>
  <si>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</si>
  <si>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</si>
  <si>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</si>
  <si>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</si>
  <si>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</si>
  <si>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</si>
  <si>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</si>
  <si>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</si>
  <si>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</si>
  <si>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</si>
  <si>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</si>
  <si>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</si>
  <si>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</si>
  <si>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</si>
  <si>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</si>
  <si>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</si>
  <si>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</si>
  <si>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</si>
  <si>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</si>
  <si>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</si>
  <si>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</si>
  <si>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</si>
  <si>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</si>
  <si>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</si>
  <si>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</si>
  <si>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</si>
  <si>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</si>
  <si>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</si>
  <si>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</si>
  <si>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</si>
  <si>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</si>
  <si>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</si>
  <si>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</si>
  <si>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</si>
  <si>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</si>
  <si>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</si>
  <si>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</si>
  <si>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</si>
  <si>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</si>
  <si>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</si>
  <si>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</si>
  <si>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</si>
  <si>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</si>
  <si>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</si>
  <si>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</si>
  <si>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</si>
  <si>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</si>
  <si>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</si>
  <si>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</si>
  <si>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</si>
  <si>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</si>
  <si>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</si>
  <si>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</si>
  <si>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</si>
  <si>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</si>
  <si>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ReggiodiCalabria</t>
  </si>
  <si>
    <t>ReggiodiCalabria@asteflorio.com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</si>
  <si>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</si>
  <si>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</si>
  <si>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</si>
  <si>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</si>
  <si>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</si>
  <si>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</si>
  <si>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</si>
  <si>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</si>
  <si>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</si>
  <si>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</si>
  <si>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</si>
  <si>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</si>
  <si>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</si>
  <si>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</si>
  <si>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</si>
  <si>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</si>
  <si>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</si>
  <si>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</si>
  <si>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</si>
  <si>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</si>
  <si>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</si>
  <si>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</si>
  <si>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</si>
  <si>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</si>
  <si>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</si>
  <si>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</si>
  <si>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</si>
  <si>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</si>
  <si>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</si>
  <si>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</si>
  <si>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</si>
  <si>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</si>
  <si>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</si>
  <si>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</si>
  <si>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</si>
  <si>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</si>
  <si>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</si>
  <si>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</si>
  <si>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</si>
  <si>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</si>
  <si>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</si>
  <si>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</si>
  <si>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</si>
  <si>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</si>
  <si>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</si>
  <si>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</si>
  <si>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</si>
  <si>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</si>
  <si>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</si>
  <si>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</si>
  <si>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</si>
  <si>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</si>
  <si>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</si>
  <si>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</si>
  <si>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</si>
  <si>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</si>
  <si>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</si>
  <si>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</si>
  <si>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</si>
  <si>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</si>
  <si>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</si>
  <si>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</si>
  <si>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</si>
  <si>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</si>
  <si>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</si>
  <si>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</si>
  <si>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</si>
  <si>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</si>
  <si>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</si>
  <si>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</si>
  <si>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</si>
  <si>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</si>
  <si>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</si>
  <si>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</si>
  <si>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</si>
  <si>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</si>
  <si>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</si>
  <si>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</si>
  <si>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</si>
  <si>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</si>
  <si>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</si>
  <si>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</si>
  <si>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</si>
  <si>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</si>
  <si>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</si>
  <si>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</si>
  <si>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</si>
  <si>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</si>
  <si>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</si>
  <si>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</si>
  <si>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</si>
  <si>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</si>
  <si>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</si>
  <si>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</si>
  <si>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</si>
  <si>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</si>
  <si>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</si>
  <si>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Crotone</t>
  </si>
  <si>
    <t>Crotone@asteflorio.com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</si>
  <si>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</si>
  <si>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</si>
  <si>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</si>
  <si>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</si>
  <si>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</si>
  <si>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</si>
  <si>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</si>
  <si>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</si>
  <si>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</si>
  <si>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</si>
  <si>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</si>
  <si>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</si>
  <si>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</si>
  <si>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</si>
  <si>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</si>
  <si>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</si>
  <si>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</si>
  <si>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</si>
  <si>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</si>
  <si>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</si>
  <si>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</si>
  <si>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</si>
  <si>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</si>
  <si>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</si>
  <si>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</si>
  <si>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</si>
  <si>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ViboValentia</t>
  </si>
  <si>
    <t>ViboValentia@asteflorio.com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</si>
  <si>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</si>
  <si>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</si>
  <si>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</si>
  <si>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</si>
  <si>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</si>
  <si>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</si>
  <si>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</si>
  <si>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</si>
  <si>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</si>
  <si>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</si>
  <si>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</si>
  <si>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</si>
  <si>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</si>
  <si>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</si>
  <si>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</si>
  <si>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</si>
  <si>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</si>
  <si>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</si>
  <si>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</si>
  <si>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</si>
  <si>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</si>
  <si>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</si>
  <si>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</si>
  <si>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</si>
  <si>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</si>
  <si>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</si>
  <si>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</si>
  <si>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</si>
  <si>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</si>
  <si>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</si>
  <si>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</si>
  <si>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</si>
  <si>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</si>
  <si>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</si>
  <si>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</si>
  <si>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</si>
  <si>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</si>
  <si>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</si>
  <si>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</si>
  <si>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</si>
  <si>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</si>
  <si>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</si>
  <si>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</si>
  <si>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</si>
  <si>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</si>
  <si>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</si>
  <si>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</si>
  <si>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</si>
  <si>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</si>
  <si>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</si>
  <si>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Trapani</t>
  </si>
  <si>
    <t>Trapani@asteflorio.com</t>
  </si>
  <si>
    <t>Buseto Palizzolo</t>
  </si>
  <si>
    <t>CalatafimiSegesta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</si>
  <si>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</si>
  <si>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</si>
  <si>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</si>
  <si>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</si>
  <si>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</si>
  <si>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</si>
  <si>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</si>
  <si>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</si>
  <si>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</si>
  <si>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</si>
  <si>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</si>
  <si>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</si>
  <si>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</si>
  <si>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</si>
  <si>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</si>
  <si>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</si>
  <si>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</si>
  <si>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Valderice</t>
  </si>
  <si>
    <t>Vita</t>
  </si>
  <si>
    <t>Petrosino</t>
  </si>
  <si>
    <t>Alia</t>
  </si>
  <si>
    <t>Palermo</t>
  </si>
  <si>
    <t>Palermo@asteflorio.com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</si>
  <si>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</si>
  <si>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</si>
  <si>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</si>
  <si>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</si>
  <si>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</si>
  <si>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</si>
  <si>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</si>
  <si>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</si>
  <si>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</si>
  <si>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</si>
  <si>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</si>
  <si>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</si>
  <si>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</si>
  <si>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</si>
  <si>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</si>
  <si>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</si>
  <si>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</si>
  <si>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</si>
  <si>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</si>
  <si>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</si>
  <si>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</si>
  <si>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</si>
  <si>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</si>
  <si>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</si>
  <si>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</si>
  <si>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</si>
  <si>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</si>
  <si>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</si>
  <si>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</si>
  <si>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</si>
  <si>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</si>
  <si>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</si>
  <si>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</si>
  <si>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</si>
  <si>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</si>
  <si>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</si>
  <si>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</si>
  <si>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</si>
  <si>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</si>
  <si>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</si>
  <si>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</si>
  <si>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</si>
  <si>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</si>
  <si>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</si>
  <si>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</si>
  <si>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</si>
  <si>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</si>
  <si>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</si>
  <si>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</si>
  <si>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</si>
  <si>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</si>
  <si>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</si>
  <si>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</si>
  <si>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</si>
  <si>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</si>
  <si>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</si>
  <si>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</si>
  <si>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</si>
  <si>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</si>
  <si>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</si>
  <si>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</si>
  <si>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</si>
  <si>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</si>
  <si>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</si>
  <si>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</si>
  <si>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</si>
  <si>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</si>
  <si>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</si>
  <si>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</si>
  <si>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</si>
  <si>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</si>
  <si>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</si>
  <si>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</si>
  <si>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</si>
  <si>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</si>
  <si>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</si>
  <si>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</si>
  <si>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</si>
  <si>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</si>
  <si>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</si>
  <si>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</si>
  <si>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Messina</t>
  </si>
  <si>
    <t>Messina@asteflorio.com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</si>
  <si>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</si>
  <si>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</si>
  <si>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</si>
  <si>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</si>
  <si>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</si>
  <si>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</si>
  <si>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</si>
  <si>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</si>
  <si>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</si>
  <si>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</si>
  <si>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</si>
  <si>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</si>
  <si>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</si>
  <si>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</si>
  <si>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</si>
  <si>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</si>
  <si>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</si>
  <si>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</si>
  <si>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</si>
  <si>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</si>
  <si>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</si>
  <si>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</si>
  <si>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</si>
  <si>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</si>
  <si>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</si>
  <si>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</si>
  <si>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</si>
  <si>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</si>
  <si>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</si>
  <si>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</si>
  <si>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</si>
  <si>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</si>
  <si>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</si>
  <si>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</si>
  <si>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</si>
  <si>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</si>
  <si>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</si>
  <si>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</si>
  <si>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</si>
  <si>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</si>
  <si>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</si>
  <si>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</si>
  <si>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</si>
  <si>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</si>
  <si>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</si>
  <si>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</si>
  <si>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</si>
  <si>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</si>
  <si>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</si>
  <si>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</si>
  <si>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</si>
  <si>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</si>
  <si>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</si>
  <si>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</si>
  <si>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</si>
  <si>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</si>
  <si>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</si>
  <si>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</si>
  <si>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</si>
  <si>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</si>
  <si>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</si>
  <si>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</si>
  <si>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</si>
  <si>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</si>
  <si>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</si>
  <si>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</si>
  <si>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</si>
  <si>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</si>
  <si>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</si>
  <si>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</si>
  <si>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</si>
  <si>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</si>
  <si>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</si>
  <si>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</si>
  <si>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</si>
  <si>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</si>
  <si>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</si>
  <si>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</si>
  <si>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</si>
  <si>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</si>
  <si>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</si>
  <si>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</si>
  <si>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</si>
  <si>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</si>
  <si>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</si>
  <si>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</si>
  <si>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</si>
  <si>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</si>
  <si>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</si>
  <si>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</si>
  <si>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</si>
  <si>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</si>
  <si>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</si>
  <si>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</si>
  <si>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</si>
  <si>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</si>
  <si>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</si>
  <si>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</si>
  <si>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</si>
  <si>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</si>
  <si>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</si>
  <si>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</si>
  <si>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</si>
  <si>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</si>
  <si>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</si>
  <si>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</si>
  <si>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</si>
  <si>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Agrigento@asteflorio.com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</si>
  <si>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</si>
  <si>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</si>
  <si>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</si>
  <si>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</si>
  <si>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</si>
  <si>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</si>
  <si>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</si>
  <si>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</si>
  <si>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</si>
  <si>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</si>
  <si>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</si>
  <si>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</si>
  <si>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</si>
  <si>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</si>
  <si>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</si>
  <si>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</si>
  <si>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</si>
  <si>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</si>
  <si>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</si>
  <si>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</si>
  <si>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</si>
  <si>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</si>
  <si>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</si>
  <si>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</si>
  <si>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</si>
  <si>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</si>
  <si>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</si>
  <si>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</si>
  <si>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</si>
  <si>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</si>
  <si>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</si>
  <si>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</si>
  <si>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</si>
  <si>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</si>
  <si>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</si>
  <si>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</si>
  <si>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</si>
  <si>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</si>
  <si>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</si>
  <si>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</si>
  <si>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</si>
  <si>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</si>
  <si>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</si>
  <si>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Caltanissetta</t>
  </si>
  <si>
    <t>Caltanissetta@asteflorio.com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</si>
  <si>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</si>
  <si>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</si>
  <si>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</si>
  <si>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</si>
  <si>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</si>
  <si>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</si>
  <si>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</si>
  <si>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</si>
  <si>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</si>
  <si>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</si>
  <si>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</si>
  <si>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</si>
  <si>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</si>
  <si>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</si>
  <si>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</si>
  <si>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</si>
  <si>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</si>
  <si>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</si>
  <si>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</si>
  <si>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</si>
  <si>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</si>
  <si>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Enna</t>
  </si>
  <si>
    <t>Enna@asteflorio.com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</si>
  <si>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</si>
  <si>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</si>
  <si>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</si>
  <si>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</si>
  <si>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</si>
  <si>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</si>
  <si>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</si>
  <si>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</si>
  <si>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</si>
  <si>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</si>
  <si>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</si>
  <si>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</si>
  <si>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</si>
  <si>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</si>
  <si>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</si>
  <si>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</si>
  <si>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</si>
  <si>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</si>
  <si>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</si>
  <si>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Catania</t>
  </si>
  <si>
    <t>Catania@asteflorio.com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</si>
  <si>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</si>
  <si>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</si>
  <si>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</si>
  <si>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</si>
  <si>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</si>
  <si>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</si>
  <si>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</si>
  <si>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</si>
  <si>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</si>
  <si>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</si>
  <si>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</si>
  <si>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</si>
  <si>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</si>
  <si>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</si>
  <si>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</si>
  <si>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</si>
  <si>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</si>
  <si>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</si>
  <si>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</si>
  <si>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</si>
  <si>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</si>
  <si>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</si>
  <si>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</si>
  <si>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</si>
  <si>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</si>
  <si>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</si>
  <si>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</si>
  <si>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</si>
  <si>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</si>
  <si>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</si>
  <si>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</si>
  <si>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</si>
  <si>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</si>
  <si>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</si>
  <si>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</si>
  <si>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</si>
  <si>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</si>
  <si>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</si>
  <si>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</si>
  <si>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</si>
  <si>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</si>
  <si>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</si>
  <si>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</si>
  <si>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</si>
  <si>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</si>
  <si>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</si>
  <si>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</si>
  <si>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</si>
  <si>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</si>
  <si>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</si>
  <si>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</si>
  <si>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</si>
  <si>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</si>
  <si>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</si>
  <si>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</si>
  <si>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</si>
  <si>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Ragusa</t>
  </si>
  <si>
    <t>Ragusa@asteflorio.com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</si>
  <si>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</si>
  <si>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</si>
  <si>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</si>
  <si>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</si>
  <si>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</si>
  <si>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</si>
  <si>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</si>
  <si>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</si>
  <si>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</si>
  <si>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</si>
  <si>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Augusta</t>
  </si>
  <si>
    <t>Siracusa</t>
  </si>
  <si>
    <t>Siracusa@asteflorio.com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</si>
  <si>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</si>
  <si>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</si>
  <si>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</si>
  <si>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</si>
  <si>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</si>
  <si>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</si>
  <si>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</si>
  <si>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</si>
  <si>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</si>
  <si>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</si>
  <si>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</si>
  <si>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</si>
  <si>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</si>
  <si>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</si>
  <si>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</si>
  <si>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Solarino</t>
  </si>
  <si>
    <t>Sortino</t>
  </si>
  <si>
    <t>Portopalo di Capo Passero</t>
  </si>
  <si>
    <t>Priolo Gargallo</t>
  </si>
  <si>
    <t>Aggius</t>
  </si>
  <si>
    <t>Sassari</t>
  </si>
  <si>
    <t>Sassari@asteflorio.com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</si>
  <si>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</si>
  <si>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</si>
  <si>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</si>
  <si>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</si>
  <si>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</si>
  <si>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</si>
  <si>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</si>
  <si>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</si>
  <si>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</si>
  <si>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</si>
  <si>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</si>
  <si>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</si>
  <si>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</si>
  <si>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</si>
  <si>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</si>
  <si>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</si>
  <si>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</si>
  <si>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</si>
  <si>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</si>
  <si>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</si>
  <si>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</si>
  <si>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</si>
  <si>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</si>
  <si>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</si>
  <si>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</si>
  <si>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</si>
  <si>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</si>
  <si>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</si>
  <si>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</si>
  <si>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</si>
  <si>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</si>
  <si>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</si>
  <si>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</si>
  <si>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</si>
  <si>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</si>
  <si>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</si>
  <si>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</si>
  <si>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</si>
  <si>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</si>
  <si>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</si>
  <si>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</si>
  <si>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</si>
  <si>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</si>
  <si>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</si>
  <si>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</si>
  <si>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</si>
  <si>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</si>
  <si>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</si>
  <si>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</si>
  <si>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</si>
  <si>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</si>
  <si>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</si>
  <si>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</si>
  <si>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</si>
  <si>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</si>
  <si>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</si>
  <si>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</si>
  <si>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</si>
  <si>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</si>
  <si>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</si>
  <si>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</si>
  <si>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</si>
  <si>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</si>
  <si>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</si>
  <si>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</si>
  <si>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</si>
  <si>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</si>
  <si>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</si>
  <si>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</si>
  <si>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</si>
  <si>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</si>
  <si>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</si>
  <si>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</si>
  <si>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</si>
  <si>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</si>
  <si>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</si>
  <si>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</si>
  <si>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</si>
  <si>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</si>
  <si>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</si>
  <si>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</si>
  <si>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</si>
  <si>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</si>
  <si>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</si>
  <si>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</si>
  <si>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</si>
  <si>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</si>
  <si>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</si>
  <si>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</si>
  <si>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</si>
  <si>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Nuoro</t>
  </si>
  <si>
    <t>Nuoro@asteflorio.com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</si>
  <si>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</si>
  <si>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</si>
  <si>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</si>
  <si>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</si>
  <si>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</si>
  <si>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</si>
  <si>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</si>
  <si>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</si>
  <si>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</si>
  <si>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</si>
  <si>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</si>
  <si>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</si>
  <si>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</si>
  <si>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</si>
  <si>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</si>
  <si>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</si>
  <si>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</si>
  <si>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</si>
  <si>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</si>
  <si>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</si>
  <si>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</si>
  <si>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</si>
  <si>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</si>
  <si>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</si>
  <si>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</si>
  <si>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</si>
  <si>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</si>
  <si>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</si>
  <si>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</si>
  <si>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</si>
  <si>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</si>
  <si>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</si>
  <si>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</si>
  <si>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</si>
  <si>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</si>
  <si>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</si>
  <si>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</si>
  <si>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</si>
  <si>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</si>
  <si>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</si>
  <si>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</si>
  <si>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</si>
  <si>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</si>
  <si>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</si>
  <si>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</si>
  <si>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</si>
  <si>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</si>
  <si>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</si>
  <si>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</si>
  <si>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</si>
  <si>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</si>
  <si>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</si>
  <si>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</si>
  <si>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</si>
  <si>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</si>
  <si>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</si>
  <si>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</si>
  <si>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</si>
  <si>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</si>
  <si>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</si>
  <si>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</si>
  <si>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</si>
  <si>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</si>
  <si>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</si>
  <si>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</si>
  <si>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</si>
  <si>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</si>
  <si>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</si>
  <si>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</si>
  <si>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</si>
  <si>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</si>
  <si>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</si>
  <si>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</si>
  <si>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</si>
  <si>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Cagliari@asteflorio.com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</si>
  <si>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</si>
  <si>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</si>
  <si>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</si>
  <si>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</si>
  <si>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</si>
  <si>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</si>
  <si>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</si>
  <si>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</si>
  <si>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</si>
  <si>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</si>
  <si>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</si>
  <si>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</si>
  <si>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</si>
  <si>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</si>
  <si>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</si>
  <si>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</si>
  <si>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Oristano</t>
  </si>
  <si>
    <t>Oristano@asteflorio.com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</si>
  <si>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</si>
  <si>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</si>
  <si>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</si>
  <si>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</si>
  <si>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</si>
  <si>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</si>
  <si>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</si>
  <si>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</si>
  <si>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</si>
  <si>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</si>
  <si>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</si>
  <si>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</si>
  <si>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</si>
  <si>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</si>
  <si>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</si>
  <si>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</si>
  <si>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</si>
  <si>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</si>
  <si>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</si>
  <si>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</si>
  <si>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</si>
  <si>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</si>
  <si>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</si>
  <si>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</si>
  <si>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</si>
  <si>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</si>
  <si>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</si>
  <si>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</si>
  <si>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</si>
  <si>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</si>
  <si>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</si>
  <si>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</si>
  <si>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</si>
  <si>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</si>
  <si>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</si>
  <si>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</si>
  <si>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</si>
  <si>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</si>
  <si>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</si>
  <si>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</si>
  <si>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</si>
  <si>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</si>
  <si>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</si>
  <si>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</si>
  <si>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</si>
  <si>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</si>
  <si>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</si>
  <si>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</si>
  <si>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</si>
  <si>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</si>
  <si>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</si>
  <si>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</si>
  <si>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</si>
  <si>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</si>
  <si>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</si>
  <si>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</si>
  <si>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</si>
  <si>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</si>
  <si>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</si>
  <si>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</si>
  <si>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</si>
  <si>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</si>
  <si>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</si>
  <si>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</si>
  <si>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</si>
  <si>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</si>
  <si>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</si>
  <si>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</si>
  <si>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</si>
  <si>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</si>
  <si>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</si>
  <si>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</si>
  <si>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</si>
  <si>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</si>
  <si>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</si>
  <si>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</si>
  <si>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</si>
  <si>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</si>
  <si>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</si>
  <si>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</si>
  <si>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</si>
  <si>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</si>
  <si>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</si>
  <si>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</si>
  <si>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</si>
  <si>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</si>
  <si>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SudSardegna</t>
  </si>
  <si>
    <t>SudSardegna@asteflorio.com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</si>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</sst>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sz val="9.0"/>
      <color theme="1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0" fillId="2" fontId="2" numFmtId="0" xfId="0" applyAlignment="1" applyFont="1">
      <alignment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left" readingOrder="0" vertical="bottom"/>
    </xf>
    <xf borderId="0" fillId="2" fontId="3" numFmtId="0" xfId="0" applyAlignment="1" applyFont="1">
      <alignment shrinkToFit="0" vertical="bottom" wrapText="0"/>
    </xf>
    <xf borderId="3" fillId="2" fontId="3" numFmtId="0" xfId="0" applyAlignment="1" applyBorder="1" applyFont="1">
      <alignment readingOrder="0" vertical="bottom"/>
    </xf>
    <xf borderId="0" fillId="2" fontId="3" numFmtId="0" xfId="0" applyAlignment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left" readingOrder="0" vertical="bottom"/>
    </xf>
    <xf borderId="0" fillId="2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3" fillId="2" fontId="4" numFmtId="0" xfId="0" applyAlignment="1" applyBorder="1" applyFont="1">
      <alignment horizontal="left" readingOrder="0" vertical="bottom"/>
    </xf>
    <xf borderId="4" fillId="2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3.88"/>
    <col customWidth="1" min="4" max="4" width="18.0"/>
    <col customWidth="1" min="5" max="5" width="30.75"/>
  </cols>
  <sheetData>
    <row r="1">
      <c r="A1" s="1" t="s">
        <v>0</v>
      </c>
      <c r="B1" s="2" t="s">
        <v>1</v>
      </c>
      <c r="C1" s="2" t="s">
        <v>2</v>
      </c>
      <c r="D1" s="2" t="s">
        <v>2</v>
      </c>
      <c r="E1" s="3" t="str">
        <f t="array" ref="E1:E7955">IF(C:C="",""&amp;D:D&amp;"@asteflorio.com",C:C&amp;"@asteflorio.com")</f>
        <v>DISTRICT@asteflorio.com</v>
      </c>
    </row>
    <row r="2">
      <c r="A2" s="4" t="s">
        <v>3</v>
      </c>
      <c r="B2" s="5" t="str">
        <f>IFERROR(__xludf.DUMMYFUNCTION("IF(A2="""","""",INDEX(SPLIT(A2,"" ""),COUNTA(SPLIT(A2,"" ""))))"),"Agliè")</f>
        <v>Agliè</v>
      </c>
      <c r="C2" s="6" t="s">
        <v>4</v>
      </c>
      <c r="D2" s="6"/>
      <c r="E2" s="7" t="s">
        <v>5</v>
      </c>
    </row>
    <row r="3">
      <c r="A3" s="4" t="s">
        <v>6</v>
      </c>
      <c r="B3" s="5" t="str">
        <f>IFERROR(__xludf.DUMMYFUNCTION("IF(A3="""","""",INDEX(SPLIT(A3,"" ""),COUNTA(SPLIT(A3,"" ""))))"),"Airasca")</f>
        <v>Airasca</v>
      </c>
      <c r="C3" s="6" t="s">
        <v>4</v>
      </c>
      <c r="D3" s="6"/>
      <c r="E3" s="7" t="s">
        <v>5</v>
      </c>
    </row>
    <row r="4">
      <c r="A4" s="4" t="s">
        <v>7</v>
      </c>
      <c r="B4" s="5" t="str">
        <f>IFERROR(__xludf.DUMMYFUNCTION("IF(A4="""","""",INDEX(SPLIT(A4,"" ""),COUNTA(SPLIT(A4,"" ""))))"),"Stura")</f>
        <v>Stura</v>
      </c>
      <c r="C4" s="6" t="s">
        <v>4</v>
      </c>
      <c r="D4" s="6"/>
      <c r="E4" s="7" t="s">
        <v>5</v>
      </c>
    </row>
    <row r="5">
      <c r="A5" s="4" t="s">
        <v>8</v>
      </c>
      <c r="B5" s="5" t="str">
        <f>IFERROR(__xludf.DUMMYFUNCTION("IF(A5="""","""",INDEX(SPLIT(A5,"" ""),COUNTA(SPLIT(A5,"" ""))))"),"d'Ivrea")</f>
        <v>d'Ivrea</v>
      </c>
      <c r="C5" s="6" t="s">
        <v>4</v>
      </c>
      <c r="D5" s="6"/>
      <c r="E5" s="7" t="s">
        <v>5</v>
      </c>
    </row>
    <row r="6">
      <c r="A6" s="4" t="s">
        <v>9</v>
      </c>
      <c r="B6" s="5" t="str">
        <f>IFERROR(__xludf.DUMMYFUNCTION("IF(A6="""","""",INDEX(SPLIT(A6,"" ""),COUNTA(SPLIT(A6,"" ""))))"),"Superiore")</f>
        <v>Superiore</v>
      </c>
      <c r="C6" s="6" t="s">
        <v>4</v>
      </c>
      <c r="D6" s="6"/>
      <c r="E6" s="7" t="s">
        <v>5</v>
      </c>
    </row>
    <row r="7">
      <c r="A7" s="4" t="s">
        <v>10</v>
      </c>
      <c r="B7" s="5" t="str">
        <f>IFERROR(__xludf.DUMMYFUNCTION("IF(A7="""","""",INDEX(SPLIT(A7,"" ""),COUNTA(SPLIT(A7,"" ""))))"),"Almese")</f>
        <v>Almese</v>
      </c>
      <c r="C7" s="6" t="s">
        <v>4</v>
      </c>
      <c r="D7" s="6"/>
      <c r="E7" s="7" t="s">
        <v>5</v>
      </c>
    </row>
    <row r="8">
      <c r="A8" s="4" t="s">
        <v>11</v>
      </c>
      <c r="B8" s="5" t="str">
        <f>IFERROR(__xludf.DUMMYFUNCTION("IF(A8="""","""",INDEX(SPLIT(A8,"" ""),COUNTA(SPLIT(A8,"" ""))))"),"Alpette")</f>
        <v>Alpette</v>
      </c>
      <c r="C8" s="6" t="s">
        <v>4</v>
      </c>
      <c r="D8" s="6"/>
      <c r="E8" s="7" t="s">
        <v>5</v>
      </c>
    </row>
    <row r="9">
      <c r="A9" s="4" t="s">
        <v>12</v>
      </c>
      <c r="B9" s="5" t="str">
        <f>IFERROR(__xludf.DUMMYFUNCTION("IF(A9="""","""",INDEX(SPLIT(A9,"" ""),COUNTA(SPLIT(A9,"" ""))))"),"Alpignano")</f>
        <v>Alpignano</v>
      </c>
      <c r="C9" s="6" t="s">
        <v>4</v>
      </c>
      <c r="D9" s="6"/>
      <c r="E9" s="7" t="s">
        <v>5</v>
      </c>
    </row>
    <row r="10">
      <c r="A10" s="4" t="s">
        <v>13</v>
      </c>
      <c r="B10" s="5" t="str">
        <f>IFERROR(__xludf.DUMMYFUNCTION("IF(A10="""","""",INDEX(SPLIT(A10,"" ""),COUNTA(SPLIT(A10,"" ""))))"),"Andezeno")</f>
        <v>Andezeno</v>
      </c>
      <c r="C10" s="6" t="s">
        <v>4</v>
      </c>
      <c r="D10" s="6"/>
      <c r="E10" s="7" t="s">
        <v>5</v>
      </c>
    </row>
    <row r="11">
      <c r="A11" s="4" t="s">
        <v>14</v>
      </c>
      <c r="B11" s="5" t="str">
        <f>IFERROR(__xludf.DUMMYFUNCTION("IF(A11="""","""",INDEX(SPLIT(A11,"" ""),COUNTA(SPLIT(A11,"" ""))))"),"Andrate")</f>
        <v>Andrate</v>
      </c>
      <c r="C11" s="6" t="s">
        <v>4</v>
      </c>
      <c r="D11" s="6"/>
      <c r="E11" s="7" t="s">
        <v>5</v>
      </c>
    </row>
    <row r="12">
      <c r="A12" s="4" t="s">
        <v>15</v>
      </c>
      <c r="B12" s="5" t="str">
        <f>IFERROR(__xludf.DUMMYFUNCTION("IF(A12="""","""",INDEX(SPLIT(A12,"" ""),COUNTA(SPLIT(A12,"" ""))))"),"Angrogna")</f>
        <v>Angrogna</v>
      </c>
      <c r="C12" s="6" t="s">
        <v>4</v>
      </c>
      <c r="D12" s="6"/>
      <c r="E12" s="7" t="s">
        <v>5</v>
      </c>
    </row>
    <row r="13">
      <c r="A13" s="4" t="s">
        <v>16</v>
      </c>
      <c r="B13" s="5" t="str">
        <f>IFERROR(__xludf.DUMMYFUNCTION("IF(A13="""","""",INDEX(SPLIT(A13,"" ""),COUNTA(SPLIT(A13,"" ""))))"),"Arignano")</f>
        <v>Arignano</v>
      </c>
      <c r="C13" s="6" t="s">
        <v>4</v>
      </c>
      <c r="D13" s="6"/>
      <c r="E13" s="7" t="s">
        <v>5</v>
      </c>
    </row>
    <row r="14">
      <c r="A14" s="4" t="s">
        <v>17</v>
      </c>
      <c r="B14" s="5" t="str">
        <f>IFERROR(__xludf.DUMMYFUNCTION("IF(A14="""","""",INDEX(SPLIT(A14,"" ""),COUNTA(SPLIT(A14,"" ""))))"),"Avigliana")</f>
        <v>Avigliana</v>
      </c>
      <c r="C14" s="6" t="s">
        <v>4</v>
      </c>
      <c r="D14" s="6"/>
      <c r="E14" s="7" t="s">
        <v>5</v>
      </c>
    </row>
    <row r="15">
      <c r="A15" s="4" t="s">
        <v>18</v>
      </c>
      <c r="B15" s="5" t="str">
        <f>IFERROR(__xludf.DUMMYFUNCTION("IF(A15="""","""",INDEX(SPLIT(A15,"" ""),COUNTA(SPLIT(A15,"" ""))))"),"Azeglio")</f>
        <v>Azeglio</v>
      </c>
      <c r="C15" s="6" t="s">
        <v>4</v>
      </c>
      <c r="D15" s="6"/>
      <c r="E15" s="7" t="s">
        <v>5</v>
      </c>
    </row>
    <row r="16">
      <c r="A16" s="4" t="s">
        <v>19</v>
      </c>
      <c r="B16" s="5" t="str">
        <f>IFERROR(__xludf.DUMMYFUNCTION("IF(A16="""","""",INDEX(SPLIT(A16,"" ""),COUNTA(SPLIT(A16,"" ""))))"),"Bairo")</f>
        <v>Bairo</v>
      </c>
      <c r="C16" s="6" t="s">
        <v>4</v>
      </c>
      <c r="D16" s="6"/>
      <c r="E16" s="7" t="s">
        <v>5</v>
      </c>
    </row>
    <row r="17">
      <c r="A17" s="4" t="s">
        <v>20</v>
      </c>
      <c r="B17" s="5" t="str">
        <f>IFERROR(__xludf.DUMMYFUNCTION("IF(A17="""","""",INDEX(SPLIT(A17,"" ""),COUNTA(SPLIT(A17,"" ""))))"),"Balangero")</f>
        <v>Balangero</v>
      </c>
      <c r="C17" s="6" t="s">
        <v>4</v>
      </c>
      <c r="D17" s="6"/>
      <c r="E17" s="7" t="s">
        <v>5</v>
      </c>
    </row>
    <row r="18">
      <c r="A18" s="4" t="s">
        <v>21</v>
      </c>
      <c r="B18" s="5" t="str">
        <f>IFERROR(__xludf.DUMMYFUNCTION("IF(A18="""","""",INDEX(SPLIT(A18,"" ""),COUNTA(SPLIT(A18,"" ""))))"),"Canavese")</f>
        <v>Canavese</v>
      </c>
      <c r="C18" s="6" t="s">
        <v>4</v>
      </c>
      <c r="D18" s="6"/>
      <c r="E18" s="7" t="s">
        <v>5</v>
      </c>
    </row>
    <row r="19">
      <c r="A19" s="4" t="s">
        <v>22</v>
      </c>
      <c r="B19" s="5" t="str">
        <f>IFERROR(__xludf.DUMMYFUNCTION("IF(A19="""","""",INDEX(SPLIT(A19,"" ""),COUNTA(SPLIT(A19,"" ""))))"),"Torinese")</f>
        <v>Torinese</v>
      </c>
      <c r="C19" s="6" t="s">
        <v>4</v>
      </c>
      <c r="D19" s="6"/>
      <c r="E19" s="7" t="s">
        <v>5</v>
      </c>
    </row>
    <row r="20">
      <c r="A20" s="4" t="s">
        <v>23</v>
      </c>
      <c r="B20" s="5" t="str">
        <f>IFERROR(__xludf.DUMMYFUNCTION("IF(A20="""","""",INDEX(SPLIT(A20,"" ""),COUNTA(SPLIT(A20,"" ""))))"),"Balme")</f>
        <v>Balme</v>
      </c>
      <c r="C20" s="6" t="s">
        <v>4</v>
      </c>
      <c r="D20" s="6"/>
      <c r="E20" s="7" t="s">
        <v>5</v>
      </c>
    </row>
    <row r="21">
      <c r="A21" s="4" t="s">
        <v>24</v>
      </c>
      <c r="B21" s="5" t="str">
        <f>IFERROR(__xludf.DUMMYFUNCTION("IF(A21="""","""",INDEX(SPLIT(A21,"" ""),COUNTA(SPLIT(A21,"" ""))))"),"Banchette")</f>
        <v>Banchette</v>
      </c>
      <c r="C21" s="6" t="s">
        <v>4</v>
      </c>
      <c r="D21" s="6"/>
      <c r="E21" s="7" t="s">
        <v>5</v>
      </c>
    </row>
    <row r="22">
      <c r="A22" s="4" t="s">
        <v>25</v>
      </c>
      <c r="B22" s="5" t="str">
        <f>IFERROR(__xludf.DUMMYFUNCTION("IF(A22="""","""",INDEX(SPLIT(A22,"" ""),COUNTA(SPLIT(A22,"" ""))))"),"Barbania")</f>
        <v>Barbania</v>
      </c>
      <c r="C22" s="6" t="s">
        <v>4</v>
      </c>
      <c r="D22" s="6"/>
      <c r="E22" s="7" t="s">
        <v>5</v>
      </c>
    </row>
    <row r="23">
      <c r="A23" s="4" t="s">
        <v>26</v>
      </c>
      <c r="B23" s="5" t="str">
        <f>IFERROR(__xludf.DUMMYFUNCTION("IF(A23="""","""",INDEX(SPLIT(A23,"" ""),COUNTA(SPLIT(A23,"" ""))))"),"Bardonecchia")</f>
        <v>Bardonecchia</v>
      </c>
      <c r="C23" s="6" t="s">
        <v>4</v>
      </c>
      <c r="D23" s="6"/>
      <c r="E23" s="7" t="s">
        <v>5</v>
      </c>
    </row>
    <row r="24">
      <c r="A24" s="4" t="s">
        <v>27</v>
      </c>
      <c r="B24" s="5" t="str">
        <f>IFERROR(__xludf.DUMMYFUNCTION("IF(A24="""","""",INDEX(SPLIT(A24,"" ""),COUNTA(SPLIT(A24,"" ""))))"),"Canavese")</f>
        <v>Canavese</v>
      </c>
      <c r="C24" s="6" t="s">
        <v>4</v>
      </c>
      <c r="D24" s="6"/>
      <c r="E24" s="7" t="s">
        <v>5</v>
      </c>
    </row>
    <row r="25">
      <c r="A25" s="4" t="s">
        <v>28</v>
      </c>
      <c r="B25" s="5" t="str">
        <f>IFERROR(__xludf.DUMMYFUNCTION("IF(A25="""","""",INDEX(SPLIT(A25,"" ""),COUNTA(SPLIT(A25,"" ""))))"),"Beinasco")</f>
        <v>Beinasco</v>
      </c>
      <c r="C25" s="6" t="s">
        <v>4</v>
      </c>
      <c r="D25" s="6"/>
      <c r="E25" s="7" t="s">
        <v>5</v>
      </c>
    </row>
    <row r="26">
      <c r="A26" s="4" t="s">
        <v>29</v>
      </c>
      <c r="B26" s="5" t="str">
        <f>IFERROR(__xludf.DUMMYFUNCTION("IF(A26="""","""",INDEX(SPLIT(A26,"" ""),COUNTA(SPLIT(A26,"" ""))))"),"Bibiana")</f>
        <v>Bibiana</v>
      </c>
      <c r="C26" s="6" t="s">
        <v>4</v>
      </c>
      <c r="D26" s="6"/>
      <c r="E26" s="7" t="s">
        <v>5</v>
      </c>
    </row>
    <row r="27">
      <c r="A27" s="4" t="s">
        <v>30</v>
      </c>
      <c r="B27" s="5" t="str">
        <f>IFERROR(__xludf.DUMMYFUNCTION("IF(A27="""","""",INDEX(SPLIT(A27,"" ""),COUNTA(SPLIT(A27,"" ""))))"),"Pellice")</f>
        <v>Pellice</v>
      </c>
      <c r="C27" s="6" t="s">
        <v>4</v>
      </c>
      <c r="D27" s="6"/>
      <c r="E27" s="7" t="s">
        <v>5</v>
      </c>
    </row>
    <row r="28">
      <c r="A28" s="4" t="s">
        <v>31</v>
      </c>
      <c r="B28" s="5" t="str">
        <f>IFERROR(__xludf.DUMMYFUNCTION("IF(A28="""","""",INDEX(SPLIT(A28,"" ""),COUNTA(SPLIT(A28,"" ""))))"),"Bollengo")</f>
        <v>Bollengo</v>
      </c>
      <c r="C28" s="6" t="s">
        <v>4</v>
      </c>
      <c r="D28" s="6"/>
      <c r="E28" s="7" t="s">
        <v>5</v>
      </c>
    </row>
    <row r="29">
      <c r="A29" s="4" t="s">
        <v>32</v>
      </c>
      <c r="B29" s="5" t="str">
        <f>IFERROR(__xludf.DUMMYFUNCTION("IF(A29="""","""",INDEX(SPLIT(A29,"" ""),COUNTA(SPLIT(A29,"" ""))))"),"Torinese")</f>
        <v>Torinese</v>
      </c>
      <c r="C29" s="6" t="s">
        <v>4</v>
      </c>
      <c r="D29" s="6"/>
      <c r="E29" s="7" t="s">
        <v>5</v>
      </c>
    </row>
    <row r="30">
      <c r="A30" s="4" t="s">
        <v>33</v>
      </c>
      <c r="B30" s="5" t="str">
        <f>IFERROR(__xludf.DUMMYFUNCTION("IF(A30="""","""",INDEX(SPLIT(A30,"" ""),COUNTA(SPLIT(A30,"" ""))))"),"Borgiallo")</f>
        <v>Borgiallo</v>
      </c>
      <c r="C30" s="6" t="s">
        <v>4</v>
      </c>
      <c r="D30" s="6"/>
      <c r="E30" s="7" t="s">
        <v>5</v>
      </c>
    </row>
    <row r="31">
      <c r="A31" s="4" t="s">
        <v>34</v>
      </c>
      <c r="B31" s="5" t="str">
        <f>IFERROR(__xludf.DUMMYFUNCTION("IF(A31="""","""",INDEX(SPLIT(A31,"" ""),COUNTA(SPLIT(A31,"" ""))))"),"d'Ivrea")</f>
        <v>d'Ivrea</v>
      </c>
      <c r="C31" s="6" t="s">
        <v>4</v>
      </c>
      <c r="D31" s="6"/>
      <c r="E31" s="7" t="s">
        <v>5</v>
      </c>
    </row>
    <row r="32">
      <c r="A32" s="4" t="s">
        <v>35</v>
      </c>
      <c r="B32" s="5" t="str">
        <f>IFERROR(__xludf.DUMMYFUNCTION("IF(A32="""","""",INDEX(SPLIT(A32,"" ""),COUNTA(SPLIT(A32,"" ""))))"),"Borgomasino")</f>
        <v>Borgomasino</v>
      </c>
      <c r="C32" s="6" t="s">
        <v>4</v>
      </c>
      <c r="D32" s="6"/>
      <c r="E32" s="7" t="s">
        <v>5</v>
      </c>
    </row>
    <row r="33">
      <c r="A33" s="4" t="s">
        <v>36</v>
      </c>
      <c r="B33" s="5" t="str">
        <f>IFERROR(__xludf.DUMMYFUNCTION("IF(A33="""","""",INDEX(SPLIT(A33,"" ""),COUNTA(SPLIT(A33,"" ""))))"),"Susa")</f>
        <v>Susa</v>
      </c>
      <c r="C33" s="6" t="s">
        <v>4</v>
      </c>
      <c r="D33" s="6"/>
      <c r="E33" s="7" t="s">
        <v>5</v>
      </c>
    </row>
    <row r="34">
      <c r="A34" s="4" t="s">
        <v>37</v>
      </c>
      <c r="B34" s="5" t="str">
        <f>IFERROR(__xludf.DUMMYFUNCTION("IF(A34="""","""",INDEX(SPLIT(A34,"" ""),COUNTA(SPLIT(A34,"" ""))))"),"Bosconero")</f>
        <v>Bosconero</v>
      </c>
      <c r="C34" s="6" t="s">
        <v>4</v>
      </c>
      <c r="D34" s="6"/>
      <c r="E34" s="7" t="s">
        <v>5</v>
      </c>
    </row>
    <row r="35">
      <c r="A35" s="4" t="s">
        <v>38</v>
      </c>
      <c r="B35" s="5" t="str">
        <f>IFERROR(__xludf.DUMMYFUNCTION("IF(A35="""","""",INDEX(SPLIT(A35,"" ""),COUNTA(SPLIT(A35,"" ""))))"),"Brandizzo")</f>
        <v>Brandizzo</v>
      </c>
      <c r="C35" s="6" t="s">
        <v>4</v>
      </c>
      <c r="D35" s="6"/>
      <c r="E35" s="7" t="s">
        <v>5</v>
      </c>
    </row>
    <row r="36">
      <c r="A36" s="4" t="s">
        <v>39</v>
      </c>
      <c r="B36" s="5" t="str">
        <f>IFERROR(__xludf.DUMMYFUNCTION("IF(A36="""","""",INDEX(SPLIT(A36,"" ""),COUNTA(SPLIT(A36,"" ""))))"),"Bricherasio")</f>
        <v>Bricherasio</v>
      </c>
      <c r="C36" s="6" t="s">
        <v>4</v>
      </c>
      <c r="D36" s="6"/>
      <c r="E36" s="7" t="s">
        <v>5</v>
      </c>
    </row>
    <row r="37">
      <c r="A37" s="4" t="s">
        <v>40</v>
      </c>
      <c r="B37" s="5" t="str">
        <f>IFERROR(__xludf.DUMMYFUNCTION("IF(A37="""","""",INDEX(SPLIT(A37,"" ""),COUNTA(SPLIT(A37,"" ""))))"),"Brosso")</f>
        <v>Brosso</v>
      </c>
      <c r="C37" s="6" t="s">
        <v>4</v>
      </c>
      <c r="D37" s="6"/>
      <c r="E37" s="7" t="s">
        <v>5</v>
      </c>
    </row>
    <row r="38">
      <c r="A38" s="4" t="s">
        <v>41</v>
      </c>
      <c r="B38" s="5" t="str">
        <f>IFERROR(__xludf.DUMMYFUNCTION("IF(A38="""","""",INDEX(SPLIT(A38,"" ""),COUNTA(SPLIT(A38,"" ""))))"),"Brozolo")</f>
        <v>Brozolo</v>
      </c>
      <c r="C38" s="6" t="s">
        <v>4</v>
      </c>
      <c r="D38" s="6"/>
      <c r="E38" s="7" t="s">
        <v>5</v>
      </c>
    </row>
    <row r="39">
      <c r="A39" s="4" t="s">
        <v>42</v>
      </c>
      <c r="B39" s="5" t="str">
        <f>IFERROR(__xludf.DUMMYFUNCTION("IF(A39="""","""",INDEX(SPLIT(A39,"" ""),COUNTA(SPLIT(A39,"" ""))))"),"Bruino")</f>
        <v>Bruino</v>
      </c>
      <c r="C39" s="6" t="s">
        <v>4</v>
      </c>
      <c r="D39" s="6"/>
      <c r="E39" s="7" t="s">
        <v>5</v>
      </c>
    </row>
    <row r="40">
      <c r="A40" s="4" t="s">
        <v>43</v>
      </c>
      <c r="B40" s="5" t="str">
        <f>IFERROR(__xludf.DUMMYFUNCTION("IF(A40="""","""",INDEX(SPLIT(A40,"" ""),COUNTA(SPLIT(A40,"" ""))))"),"Brusasco")</f>
        <v>Brusasco</v>
      </c>
      <c r="C40" s="6" t="s">
        <v>4</v>
      </c>
      <c r="D40" s="6"/>
      <c r="E40" s="7" t="s">
        <v>5</v>
      </c>
    </row>
    <row r="41">
      <c r="A41" s="4" t="s">
        <v>44</v>
      </c>
      <c r="B41" s="5" t="str">
        <f>IFERROR(__xludf.DUMMYFUNCTION("IF(A41="""","""",INDEX(SPLIT(A41,"" ""),COUNTA(SPLIT(A41,"" ""))))"),"Bruzolo")</f>
        <v>Bruzolo</v>
      </c>
      <c r="C41" s="6" t="s">
        <v>4</v>
      </c>
      <c r="D41" s="6"/>
      <c r="E41" s="7" t="s">
        <v>5</v>
      </c>
    </row>
    <row r="42">
      <c r="A42" s="4" t="s">
        <v>45</v>
      </c>
      <c r="B42" s="5" t="str">
        <f>IFERROR(__xludf.DUMMYFUNCTION("IF(A42="""","""",INDEX(SPLIT(A42,"" ""),COUNTA(SPLIT(A42,"" ""))))"),"Buriasco")</f>
        <v>Buriasco</v>
      </c>
      <c r="C42" s="6" t="s">
        <v>4</v>
      </c>
      <c r="D42" s="6"/>
      <c r="E42" s="7" t="s">
        <v>5</v>
      </c>
    </row>
    <row r="43">
      <c r="A43" s="4" t="s">
        <v>46</v>
      </c>
      <c r="B43" s="5" t="str">
        <f>IFERROR(__xludf.DUMMYFUNCTION("IF(A43="""","""",INDEX(SPLIT(A43,"" ""),COUNTA(SPLIT(A43,"" ""))))"),"Burolo")</f>
        <v>Burolo</v>
      </c>
      <c r="C43" s="6" t="s">
        <v>4</v>
      </c>
      <c r="D43" s="6"/>
      <c r="E43" s="7" t="s">
        <v>5</v>
      </c>
    </row>
    <row r="44">
      <c r="A44" s="4" t="s">
        <v>47</v>
      </c>
      <c r="B44" s="5" t="str">
        <f>IFERROR(__xludf.DUMMYFUNCTION("IF(A44="""","""",INDEX(SPLIT(A44,"" ""),COUNTA(SPLIT(A44,"" ""))))"),"Busano")</f>
        <v>Busano</v>
      </c>
      <c r="C44" s="6" t="s">
        <v>4</v>
      </c>
      <c r="D44" s="6"/>
      <c r="E44" s="7" t="s">
        <v>5</v>
      </c>
    </row>
    <row r="45">
      <c r="A45" s="4" t="s">
        <v>48</v>
      </c>
      <c r="B45" s="5" t="str">
        <f>IFERROR(__xludf.DUMMYFUNCTION("IF(A45="""","""",INDEX(SPLIT(A45,"" ""),COUNTA(SPLIT(A45,"" ""))))"),"Bussoleno")</f>
        <v>Bussoleno</v>
      </c>
      <c r="C45" s="6" t="s">
        <v>4</v>
      </c>
      <c r="D45" s="6"/>
      <c r="E45" s="7" t="s">
        <v>5</v>
      </c>
    </row>
    <row r="46">
      <c r="A46" s="4" t="s">
        <v>49</v>
      </c>
      <c r="B46" s="5" t="str">
        <f>IFERROR(__xludf.DUMMYFUNCTION("IF(A46="""","""",INDEX(SPLIT(A46,"" ""),COUNTA(SPLIT(A46,"" ""))))"),"Alta")</f>
        <v>Alta</v>
      </c>
      <c r="C46" s="6" t="s">
        <v>4</v>
      </c>
      <c r="D46" s="6"/>
      <c r="E46" s="7" t="s">
        <v>5</v>
      </c>
    </row>
    <row r="47">
      <c r="A47" s="4" t="s">
        <v>50</v>
      </c>
      <c r="B47" s="5" t="str">
        <f>IFERROR(__xludf.DUMMYFUNCTION("IF(A47="""","""",INDEX(SPLIT(A47,"" ""),COUNTA(SPLIT(A47,"" ""))))"),"Cafasse")</f>
        <v>Cafasse</v>
      </c>
      <c r="C47" s="6" t="s">
        <v>4</v>
      </c>
      <c r="D47" s="6"/>
      <c r="E47" s="7" t="s">
        <v>5</v>
      </c>
    </row>
    <row r="48">
      <c r="A48" s="4" t="s">
        <v>51</v>
      </c>
      <c r="B48" s="5" t="str">
        <f>IFERROR(__xludf.DUMMYFUNCTION("IF(A48="""","""",INDEX(SPLIT(A48,"" ""),COUNTA(SPLIT(A48,"" ""))))"),"Caluso")</f>
        <v>Caluso</v>
      </c>
      <c r="C48" s="6" t="s">
        <v>4</v>
      </c>
      <c r="D48" s="6"/>
      <c r="E48" s="7" t="s">
        <v>5</v>
      </c>
    </row>
    <row r="49">
      <c r="A49" s="4" t="s">
        <v>52</v>
      </c>
      <c r="B49" s="5" t="str">
        <f>IFERROR(__xludf.DUMMYFUNCTION("IF(A49="""","""",INDEX(SPLIT(A49,"" ""),COUNTA(SPLIT(A49,"" ""))))"),"Cambiano")</f>
        <v>Cambiano</v>
      </c>
      <c r="C49" s="6" t="s">
        <v>4</v>
      </c>
      <c r="D49" s="6"/>
      <c r="E49" s="7" t="s">
        <v>5</v>
      </c>
    </row>
    <row r="50">
      <c r="A50" s="4" t="s">
        <v>53</v>
      </c>
      <c r="B50" s="5" t="str">
        <f>IFERROR(__xludf.DUMMYFUNCTION("IF(A50="""","""",INDEX(SPLIT(A50,"" ""),COUNTA(SPLIT(A50,"" ""))))"),"Fenile")</f>
        <v>Fenile</v>
      </c>
      <c r="C50" s="6" t="s">
        <v>4</v>
      </c>
      <c r="D50" s="6"/>
      <c r="E50" s="7" t="s">
        <v>5</v>
      </c>
    </row>
    <row r="51">
      <c r="A51" s="4" t="s">
        <v>54</v>
      </c>
      <c r="B51" s="5" t="str">
        <f>IFERROR(__xludf.DUMMYFUNCTION("IF(A51="""","""",INDEX(SPLIT(A51,"" ""),COUNTA(SPLIT(A51,"" ""))))"),"Canavese")</f>
        <v>Canavese</v>
      </c>
      <c r="C51" s="6" t="s">
        <v>4</v>
      </c>
      <c r="D51" s="6"/>
      <c r="E51" s="7" t="s">
        <v>5</v>
      </c>
    </row>
    <row r="52">
      <c r="A52" s="4" t="s">
        <v>55</v>
      </c>
      <c r="B52" s="5" t="str">
        <f>IFERROR(__xludf.DUMMYFUNCTION("IF(A52="""","""",INDEX(SPLIT(A52,"" ""),COUNTA(SPLIT(A52,"" ""))))"),"Candiolo")</f>
        <v>Candiolo</v>
      </c>
      <c r="C52" s="6" t="s">
        <v>4</v>
      </c>
      <c r="D52" s="6"/>
      <c r="E52" s="7" t="s">
        <v>5</v>
      </c>
    </row>
    <row r="53">
      <c r="A53" s="4" t="s">
        <v>56</v>
      </c>
      <c r="B53" s="5" t="str">
        <f>IFERROR(__xludf.DUMMYFUNCTION("IF(A53="""","""",INDEX(SPLIT(A53,"" ""),COUNTA(SPLIT(A53,"" ""))))"),"Canischio")</f>
        <v>Canischio</v>
      </c>
      <c r="C53" s="6" t="s">
        <v>4</v>
      </c>
      <c r="D53" s="6"/>
      <c r="E53" s="7" t="s">
        <v>5</v>
      </c>
    </row>
    <row r="54">
      <c r="A54" s="4" t="s">
        <v>57</v>
      </c>
      <c r="B54" s="5" t="str">
        <f>IFERROR(__xludf.DUMMYFUNCTION("IF(A54="""","""",INDEX(SPLIT(A54,"" ""),COUNTA(SPLIT(A54,"" ""))))"),"Cantalupa")</f>
        <v>Cantalupa</v>
      </c>
      <c r="C54" s="6" t="s">
        <v>4</v>
      </c>
      <c r="D54" s="6"/>
      <c r="E54" s="7" t="s">
        <v>5</v>
      </c>
    </row>
    <row r="55">
      <c r="A55" s="4" t="s">
        <v>58</v>
      </c>
      <c r="B55" s="5" t="str">
        <f>IFERROR(__xludf.DUMMYFUNCTION("IF(A55="""","""",INDEX(SPLIT(A55,"" ""),COUNTA(SPLIT(A55,"" ""))))"),"Cantoira")</f>
        <v>Cantoira</v>
      </c>
      <c r="C55" s="6" t="s">
        <v>4</v>
      </c>
      <c r="D55" s="6"/>
      <c r="E55" s="7" t="s">
        <v>5</v>
      </c>
    </row>
    <row r="56">
      <c r="A56" s="4" t="s">
        <v>59</v>
      </c>
      <c r="B56" s="5" t="str">
        <f>IFERROR(__xludf.DUMMYFUNCTION("IF(A56="""","""",INDEX(SPLIT(A56,"" ""),COUNTA(SPLIT(A56,"" ""))))"),"Caprie")</f>
        <v>Caprie</v>
      </c>
      <c r="C56" s="6" t="s">
        <v>4</v>
      </c>
      <c r="D56" s="6"/>
      <c r="E56" s="7" t="s">
        <v>5</v>
      </c>
    </row>
    <row r="57">
      <c r="A57" s="4" t="s">
        <v>60</v>
      </c>
      <c r="B57" s="5" t="str">
        <f>IFERROR(__xludf.DUMMYFUNCTION("IF(A57="""","""",INDEX(SPLIT(A57,"" ""),COUNTA(SPLIT(A57,"" ""))))"),"Caravino")</f>
        <v>Caravino</v>
      </c>
      <c r="C57" s="6" t="s">
        <v>4</v>
      </c>
      <c r="D57" s="6"/>
      <c r="E57" s="7" t="s">
        <v>5</v>
      </c>
    </row>
    <row r="58">
      <c r="A58" s="4" t="s">
        <v>61</v>
      </c>
      <c r="B58" s="5" t="str">
        <f>IFERROR(__xludf.DUMMYFUNCTION("IF(A58="""","""",INDEX(SPLIT(A58,"" ""),COUNTA(SPLIT(A58,"" ""))))"),"Carema")</f>
        <v>Carema</v>
      </c>
      <c r="C58" s="6" t="s">
        <v>4</v>
      </c>
      <c r="D58" s="6"/>
      <c r="E58" s="7" t="s">
        <v>5</v>
      </c>
    </row>
    <row r="59">
      <c r="A59" s="4" t="s">
        <v>62</v>
      </c>
      <c r="B59" s="5" t="str">
        <f>IFERROR(__xludf.DUMMYFUNCTION("IF(A59="""","""",INDEX(SPLIT(A59,"" ""),COUNTA(SPLIT(A59,"" ""))))"),"Carignano")</f>
        <v>Carignano</v>
      </c>
      <c r="C59" s="6" t="s">
        <v>4</v>
      </c>
      <c r="D59" s="6"/>
      <c r="E59" s="7" t="s">
        <v>5</v>
      </c>
    </row>
    <row r="60">
      <c r="A60" s="4" t="s">
        <v>63</v>
      </c>
      <c r="B60" s="5" t="str">
        <f>IFERROR(__xludf.DUMMYFUNCTION("IF(A60="""","""",INDEX(SPLIT(A60,"" ""),COUNTA(SPLIT(A60,"" ""))))"),"Carmagnola")</f>
        <v>Carmagnola</v>
      </c>
      <c r="C60" s="6" t="s">
        <v>4</v>
      </c>
      <c r="D60" s="6"/>
      <c r="E60" s="7" t="s">
        <v>5</v>
      </c>
    </row>
    <row r="61">
      <c r="A61" s="4" t="s">
        <v>64</v>
      </c>
      <c r="B61" s="5" t="str">
        <f>IFERROR(__xludf.DUMMYFUNCTION("IF(A61="""","""",INDEX(SPLIT(A61,"" ""),COUNTA(SPLIT(A61,"" ""))))"),"Casalborgone")</f>
        <v>Casalborgone</v>
      </c>
      <c r="C61" s="6" t="s">
        <v>4</v>
      </c>
      <c r="D61" s="6"/>
      <c r="E61" s="7" t="s">
        <v>5</v>
      </c>
    </row>
    <row r="62">
      <c r="A62" s="4" t="s">
        <v>65</v>
      </c>
      <c r="B62" s="5" t="str">
        <f>IFERROR(__xludf.DUMMYFUNCTION("IF(A62="""","""",INDEX(SPLIT(A62,"" ""),COUNTA(SPLIT(A62,"" ""))))"),"d'Ivrea")</f>
        <v>d'Ivrea</v>
      </c>
      <c r="C62" s="6" t="s">
        <v>4</v>
      </c>
      <c r="D62" s="6"/>
      <c r="E62" s="7" t="s">
        <v>5</v>
      </c>
    </row>
    <row r="63">
      <c r="A63" s="4" t="s">
        <v>66</v>
      </c>
      <c r="B63" s="5" t="str">
        <f>IFERROR(__xludf.DUMMYFUNCTION("IF(A63="""","""",INDEX(SPLIT(A63,"" ""),COUNTA(SPLIT(A63,"" ""))))"),"Caselette")</f>
        <v>Caselette</v>
      </c>
      <c r="C63" s="6" t="s">
        <v>4</v>
      </c>
      <c r="D63" s="6"/>
      <c r="E63" s="7" t="s">
        <v>5</v>
      </c>
    </row>
    <row r="64">
      <c r="A64" s="4" t="s">
        <v>67</v>
      </c>
      <c r="B64" s="5" t="str">
        <f>IFERROR(__xludf.DUMMYFUNCTION("IF(A64="""","""",INDEX(SPLIT(A64,"" ""),COUNTA(SPLIT(A64,"" ""))))"),"Torinese")</f>
        <v>Torinese</v>
      </c>
      <c r="C64" s="6" t="s">
        <v>4</v>
      </c>
      <c r="D64" s="6"/>
      <c r="E64" s="7" t="s">
        <v>5</v>
      </c>
    </row>
    <row r="65">
      <c r="A65" s="4" t="s">
        <v>68</v>
      </c>
      <c r="B65" s="5" t="str">
        <f>IFERROR(__xludf.DUMMYFUNCTION("IF(A65="""","""",INDEX(SPLIT(A65,"" ""),COUNTA(SPLIT(A65,"" ""))))"),"Po")</f>
        <v>Po</v>
      </c>
      <c r="C65" s="6" t="s">
        <v>4</v>
      </c>
      <c r="D65" s="6"/>
      <c r="E65" s="7" t="s">
        <v>5</v>
      </c>
    </row>
    <row r="66">
      <c r="A66" s="4" t="s">
        <v>69</v>
      </c>
      <c r="B66" s="5" t="str">
        <f>IFERROR(__xludf.DUMMYFUNCTION("IF(A66="""","""",INDEX(SPLIT(A66,"" ""),COUNTA(SPLIT(A66,"" ""))))"),"Piemonte")</f>
        <v>Piemonte</v>
      </c>
      <c r="C66" s="6" t="s">
        <v>4</v>
      </c>
      <c r="D66" s="6"/>
      <c r="E66" s="7" t="s">
        <v>5</v>
      </c>
    </row>
    <row r="67">
      <c r="A67" s="4" t="s">
        <v>70</v>
      </c>
      <c r="B67" s="5" t="str">
        <f>IFERROR(__xludf.DUMMYFUNCTION("IF(A67="""","""",INDEX(SPLIT(A67,"" ""),COUNTA(SPLIT(A67,"" ""))))"),"Castellamonte")</f>
        <v>Castellamonte</v>
      </c>
      <c r="C67" s="6" t="s">
        <v>4</v>
      </c>
      <c r="D67" s="6"/>
      <c r="E67" s="7" t="s">
        <v>5</v>
      </c>
    </row>
    <row r="68">
      <c r="A68" s="4" t="s">
        <v>71</v>
      </c>
      <c r="B68" s="5" t="str">
        <f>IFERROR(__xludf.DUMMYFUNCTION("IF(A68="""","""",INDEX(SPLIT(A68,"" ""),COUNTA(SPLIT(A68,"" ""))))"),"Nigra")</f>
        <v>Nigra</v>
      </c>
      <c r="C68" s="6" t="s">
        <v>4</v>
      </c>
      <c r="D68" s="6"/>
      <c r="E68" s="7" t="s">
        <v>5</v>
      </c>
    </row>
    <row r="69">
      <c r="A69" s="4" t="s">
        <v>72</v>
      </c>
      <c r="B69" s="5" t="str">
        <f>IFERROR(__xludf.DUMMYFUNCTION("IF(A69="""","""",INDEX(SPLIT(A69,"" ""),COUNTA(SPLIT(A69,"" ""))))"),"Torinese")</f>
        <v>Torinese</v>
      </c>
      <c r="C69" s="6" t="s">
        <v>4</v>
      </c>
      <c r="D69" s="6"/>
      <c r="E69" s="7" t="s">
        <v>5</v>
      </c>
    </row>
    <row r="70">
      <c r="A70" s="4" t="s">
        <v>73</v>
      </c>
      <c r="B70" s="5" t="str">
        <f>IFERROR(__xludf.DUMMYFUNCTION("IF(A70="""","""",INDEX(SPLIT(A70,"" ""),COUNTA(SPLIT(A70,"" ""))))"),"Cavagnolo")</f>
        <v>Cavagnolo</v>
      </c>
      <c r="C70" s="6" t="s">
        <v>4</v>
      </c>
      <c r="D70" s="6"/>
      <c r="E70" s="7" t="s">
        <v>5</v>
      </c>
    </row>
    <row r="71">
      <c r="A71" s="4" t="s">
        <v>74</v>
      </c>
      <c r="B71" s="5" t="str">
        <f>IFERROR(__xludf.DUMMYFUNCTION("IF(A71="""","""",INDEX(SPLIT(A71,"" ""),COUNTA(SPLIT(A71,"" ""))))"),"Cavour")</f>
        <v>Cavour</v>
      </c>
      <c r="C71" s="6" t="s">
        <v>4</v>
      </c>
      <c r="D71" s="6"/>
      <c r="E71" s="7" t="s">
        <v>5</v>
      </c>
    </row>
    <row r="72">
      <c r="A72" s="4" t="s">
        <v>75</v>
      </c>
      <c r="B72" s="5" t="str">
        <f>IFERROR(__xludf.DUMMYFUNCTION("IF(A72="""","""",INDEX(SPLIT(A72,"" ""),COUNTA(SPLIT(A72,"" ""))))"),"Cercenasco")</f>
        <v>Cercenasco</v>
      </c>
      <c r="C72" s="6" t="s">
        <v>4</v>
      </c>
      <c r="D72" s="6"/>
      <c r="E72" s="7" t="s">
        <v>5</v>
      </c>
    </row>
    <row r="73">
      <c r="A73" s="4" t="s">
        <v>76</v>
      </c>
      <c r="B73" s="5" t="str">
        <f>IFERROR(__xludf.DUMMYFUNCTION("IF(A73="""","""",INDEX(SPLIT(A73,"" ""),COUNTA(SPLIT(A73,"" ""))))"),"Ceres")</f>
        <v>Ceres</v>
      </c>
      <c r="C73" s="6" t="s">
        <v>4</v>
      </c>
      <c r="D73" s="6"/>
      <c r="E73" s="7" t="s">
        <v>5</v>
      </c>
    </row>
    <row r="74">
      <c r="A74" s="4" t="s">
        <v>77</v>
      </c>
      <c r="B74" s="5" t="str">
        <f>IFERROR(__xludf.DUMMYFUNCTION("IF(A74="""","""",INDEX(SPLIT(A74,"" ""),COUNTA(SPLIT(A74,"" ""))))"),"Reale")</f>
        <v>Reale</v>
      </c>
      <c r="C74" s="6" t="s">
        <v>4</v>
      </c>
      <c r="D74" s="6"/>
      <c r="E74" s="7" t="s">
        <v>5</v>
      </c>
    </row>
    <row r="75">
      <c r="A75" s="4" t="s">
        <v>78</v>
      </c>
      <c r="B75" s="5" t="str">
        <f>IFERROR(__xludf.DUMMYFUNCTION("IF(A75="""","""",INDEX(SPLIT(A75,"" ""),COUNTA(SPLIT(A75,"" ""))))"),"Torinese")</f>
        <v>Torinese</v>
      </c>
      <c r="C75" s="6" t="s">
        <v>4</v>
      </c>
      <c r="D75" s="6"/>
      <c r="E75" s="7" t="s">
        <v>5</v>
      </c>
    </row>
    <row r="76">
      <c r="A76" s="4" t="s">
        <v>79</v>
      </c>
      <c r="B76" s="5" t="str">
        <f>IFERROR(__xludf.DUMMYFUNCTION("IF(A76="""","""",INDEX(SPLIT(A76,"" ""),COUNTA(SPLIT(A76,"" ""))))"),"Chialamberto")</f>
        <v>Chialamberto</v>
      </c>
      <c r="C76" s="6" t="s">
        <v>4</v>
      </c>
      <c r="D76" s="6"/>
      <c r="E76" s="7" t="s">
        <v>5</v>
      </c>
    </row>
    <row r="77">
      <c r="A77" s="4" t="s">
        <v>80</v>
      </c>
      <c r="B77" s="5" t="str">
        <f>IFERROR(__xludf.DUMMYFUNCTION("IF(A77="""","""",INDEX(SPLIT(A77,"" ""),COUNTA(SPLIT(A77,"" ""))))"),"Chianocco")</f>
        <v>Chianocco</v>
      </c>
      <c r="C77" s="6" t="s">
        <v>4</v>
      </c>
      <c r="D77" s="6"/>
      <c r="E77" s="7" t="s">
        <v>5</v>
      </c>
    </row>
    <row r="78">
      <c r="A78" s="4" t="s">
        <v>81</v>
      </c>
      <c r="B78" s="5" t="str">
        <f>IFERROR(__xludf.DUMMYFUNCTION("IF(A78="""","""",INDEX(SPLIT(A78,"" ""),COUNTA(SPLIT(A78,"" ""))))"),"Chiaverano")</f>
        <v>Chiaverano</v>
      </c>
      <c r="C78" s="6" t="s">
        <v>4</v>
      </c>
      <c r="D78" s="6"/>
      <c r="E78" s="7" t="s">
        <v>5</v>
      </c>
    </row>
    <row r="79">
      <c r="A79" s="4" t="s">
        <v>82</v>
      </c>
      <c r="B79" s="5" t="str">
        <f>IFERROR(__xludf.DUMMYFUNCTION("IF(A79="""","""",INDEX(SPLIT(A79,"" ""),COUNTA(SPLIT(A79,"" ""))))"),"Chieri")</f>
        <v>Chieri</v>
      </c>
      <c r="C79" s="6" t="s">
        <v>4</v>
      </c>
      <c r="D79" s="6"/>
      <c r="E79" s="7" t="s">
        <v>5</v>
      </c>
    </row>
    <row r="80">
      <c r="A80" s="4" t="s">
        <v>83</v>
      </c>
      <c r="B80" s="5" t="str">
        <f>IFERROR(__xludf.DUMMYFUNCTION("IF(A80="""","""",INDEX(SPLIT(A80,"" ""),COUNTA(SPLIT(A80,"" ""))))"),"Chiesanuova")</f>
        <v>Chiesanuova</v>
      </c>
      <c r="C80" s="6" t="s">
        <v>4</v>
      </c>
      <c r="D80" s="6"/>
      <c r="E80" s="7" t="s">
        <v>5</v>
      </c>
    </row>
    <row r="81">
      <c r="A81" s="4" t="s">
        <v>84</v>
      </c>
      <c r="B81" s="5" t="str">
        <f>IFERROR(__xludf.DUMMYFUNCTION("IF(A81="""","""",INDEX(SPLIT(A81,"" ""),COUNTA(SPLIT(A81,"" ""))))"),"Chiomonte")</f>
        <v>Chiomonte</v>
      </c>
      <c r="C81" s="6" t="s">
        <v>4</v>
      </c>
      <c r="D81" s="6"/>
      <c r="E81" s="7" t="s">
        <v>5</v>
      </c>
    </row>
    <row r="82">
      <c r="A82" s="4" t="s">
        <v>85</v>
      </c>
      <c r="B82" s="5" t="str">
        <f>IFERROR(__xludf.DUMMYFUNCTION("IF(A82="""","""",INDEX(SPLIT(A82,"" ""),COUNTA(SPLIT(A82,"" ""))))"),"Michele")</f>
        <v>Michele</v>
      </c>
      <c r="C82" s="6" t="s">
        <v>4</v>
      </c>
      <c r="D82" s="6"/>
      <c r="E82" s="7" t="s">
        <v>5</v>
      </c>
    </row>
    <row r="83">
      <c r="A83" s="4" t="s">
        <v>86</v>
      </c>
      <c r="B83" s="5" t="str">
        <f>IFERROR(__xludf.DUMMYFUNCTION("IF(A83="""","""",INDEX(SPLIT(A83,"" ""),COUNTA(SPLIT(A83,"" ""))))"),"Chivasso")</f>
        <v>Chivasso</v>
      </c>
      <c r="C83" s="6" t="s">
        <v>4</v>
      </c>
      <c r="D83" s="6"/>
      <c r="E83" s="7" t="s">
        <v>5</v>
      </c>
    </row>
    <row r="84">
      <c r="A84" s="4" t="s">
        <v>87</v>
      </c>
      <c r="B84" s="5" t="str">
        <f>IFERROR(__xludf.DUMMYFUNCTION("IF(A84="""","""",INDEX(SPLIT(A84,"" ""),COUNTA(SPLIT(A84,"" ""))))"),"Ciconio")</f>
        <v>Ciconio</v>
      </c>
      <c r="C84" s="6" t="s">
        <v>4</v>
      </c>
      <c r="D84" s="6"/>
      <c r="E84" s="7" t="s">
        <v>5</v>
      </c>
    </row>
    <row r="85">
      <c r="A85" s="4" t="s">
        <v>88</v>
      </c>
      <c r="B85" s="5" t="str">
        <f>IFERROR(__xludf.DUMMYFUNCTION("IF(A85="""","""",INDEX(SPLIT(A85,"" ""),COUNTA(SPLIT(A85,"" ""))))"),"Cintano")</f>
        <v>Cintano</v>
      </c>
      <c r="C85" s="6" t="s">
        <v>4</v>
      </c>
      <c r="D85" s="6"/>
      <c r="E85" s="7" t="s">
        <v>5</v>
      </c>
    </row>
    <row r="86">
      <c r="A86" s="4" t="s">
        <v>89</v>
      </c>
      <c r="B86" s="5" t="str">
        <f>IFERROR(__xludf.DUMMYFUNCTION("IF(A86="""","""",INDEX(SPLIT(A86,"" ""),COUNTA(SPLIT(A86,"" ""))))"),"Cinzano")</f>
        <v>Cinzano</v>
      </c>
      <c r="C86" s="6" t="s">
        <v>4</v>
      </c>
      <c r="D86" s="6"/>
      <c r="E86" s="7" t="s">
        <v>5</v>
      </c>
    </row>
    <row r="87">
      <c r="A87" s="4" t="s">
        <v>90</v>
      </c>
      <c r="B87" s="5" t="str">
        <f>IFERROR(__xludf.DUMMYFUNCTION("IF(A87="""","""",INDEX(SPLIT(A87,"" ""),COUNTA(SPLIT(A87,"" ""))))"),"Ciriè")</f>
        <v>Ciriè</v>
      </c>
      <c r="C87" s="6" t="s">
        <v>4</v>
      </c>
      <c r="D87" s="6"/>
      <c r="E87" s="7" t="s">
        <v>5</v>
      </c>
    </row>
    <row r="88">
      <c r="A88" s="4" t="s">
        <v>91</v>
      </c>
      <c r="B88" s="5" t="str">
        <f>IFERROR(__xludf.DUMMYFUNCTION("IF(A88="""","""",INDEX(SPLIT(A88,"" ""),COUNTA(SPLIT(A88,"" ""))))"),"Claviere")</f>
        <v>Claviere</v>
      </c>
      <c r="C88" s="6" t="s">
        <v>4</v>
      </c>
      <c r="D88" s="6"/>
      <c r="E88" s="7" t="s">
        <v>5</v>
      </c>
    </row>
    <row r="89">
      <c r="A89" s="4" t="s">
        <v>92</v>
      </c>
      <c r="B89" s="5" t="str">
        <f>IFERROR(__xludf.DUMMYFUNCTION("IF(A89="""","""",INDEX(SPLIT(A89,"" ""),COUNTA(SPLIT(A89,"" ""))))"),"Torinese")</f>
        <v>Torinese</v>
      </c>
      <c r="C89" s="6" t="s">
        <v>4</v>
      </c>
      <c r="D89" s="6"/>
      <c r="E89" s="7" t="s">
        <v>5</v>
      </c>
    </row>
    <row r="90">
      <c r="A90" s="4" t="s">
        <v>93</v>
      </c>
      <c r="B90" s="5" t="str">
        <f>IFERROR(__xludf.DUMMYFUNCTION("IF(A90="""","""",INDEX(SPLIT(A90,"" ""),COUNTA(SPLIT(A90,"" ""))))"),"Coazze")</f>
        <v>Coazze</v>
      </c>
      <c r="C90" s="6" t="s">
        <v>4</v>
      </c>
      <c r="D90" s="6"/>
      <c r="E90" s="7" t="s">
        <v>5</v>
      </c>
    </row>
    <row r="91">
      <c r="A91" s="4" t="s">
        <v>94</v>
      </c>
      <c r="B91" s="5" t="str">
        <f>IFERROR(__xludf.DUMMYFUNCTION("IF(A91="""","""",INDEX(SPLIT(A91,"" ""),COUNTA(SPLIT(A91,"" ""))))"),"Collegno")</f>
        <v>Collegno</v>
      </c>
      <c r="C91" s="6" t="s">
        <v>4</v>
      </c>
      <c r="D91" s="6"/>
      <c r="E91" s="7" t="s">
        <v>5</v>
      </c>
    </row>
    <row r="92">
      <c r="A92" s="4" t="s">
        <v>95</v>
      </c>
      <c r="B92" s="5" t="str">
        <f>IFERROR(__xludf.DUMMYFUNCTION("IF(A92="""","""",INDEX(SPLIT(A92,"" ""),COUNTA(SPLIT(A92,"" ""))))"),"Castelnuovo")</f>
        <v>Castelnuovo</v>
      </c>
      <c r="C92" s="6" t="s">
        <v>4</v>
      </c>
      <c r="D92" s="6"/>
      <c r="E92" s="7" t="s">
        <v>5</v>
      </c>
    </row>
    <row r="93">
      <c r="A93" s="4" t="s">
        <v>96</v>
      </c>
      <c r="B93" s="5" t="str">
        <f>IFERROR(__xludf.DUMMYFUNCTION("IF(A93="""","""",INDEX(SPLIT(A93,"" ""),COUNTA(SPLIT(A93,"" ""))))"),"Giacosa")</f>
        <v>Giacosa</v>
      </c>
      <c r="C93" s="6" t="s">
        <v>4</v>
      </c>
      <c r="D93" s="6"/>
      <c r="E93" s="7" t="s">
        <v>5</v>
      </c>
    </row>
    <row r="94">
      <c r="A94" s="4" t="s">
        <v>97</v>
      </c>
      <c r="B94" s="5" t="str">
        <f>IFERROR(__xludf.DUMMYFUNCTION("IF(A94="""","""",INDEX(SPLIT(A94,"" ""),COUNTA(SPLIT(A94,"" ""))))"),"Condove")</f>
        <v>Condove</v>
      </c>
      <c r="C94" s="6" t="s">
        <v>4</v>
      </c>
      <c r="D94" s="6"/>
      <c r="E94" s="7" t="s">
        <v>5</v>
      </c>
    </row>
    <row r="95">
      <c r="A95" s="4" t="s">
        <v>98</v>
      </c>
      <c r="B95" s="5" t="str">
        <f>IFERROR(__xludf.DUMMYFUNCTION("IF(A95="""","""",INDEX(SPLIT(A95,"" ""),COUNTA(SPLIT(A95,"" ""))))"),"Corio")</f>
        <v>Corio</v>
      </c>
      <c r="C95" s="6" t="s">
        <v>4</v>
      </c>
      <c r="D95" s="6"/>
      <c r="E95" s="7" t="s">
        <v>5</v>
      </c>
    </row>
    <row r="96">
      <c r="A96" s="4" t="s">
        <v>99</v>
      </c>
      <c r="B96" s="5" t="str">
        <f>IFERROR(__xludf.DUMMYFUNCTION("IF(A96="""","""",INDEX(SPLIT(A96,"" ""),COUNTA(SPLIT(A96,"" ""))))"),"Canavese")</f>
        <v>Canavese</v>
      </c>
      <c r="C96" s="6" t="s">
        <v>4</v>
      </c>
      <c r="D96" s="6"/>
      <c r="E96" s="7" t="s">
        <v>5</v>
      </c>
    </row>
    <row r="97">
      <c r="A97" s="4" t="s">
        <v>100</v>
      </c>
      <c r="B97" s="5" t="str">
        <f>IFERROR(__xludf.DUMMYFUNCTION("IF(A97="""","""",INDEX(SPLIT(A97,"" ""),COUNTA(SPLIT(A97,"" ""))))"),"Cuceglio")</f>
        <v>Cuceglio</v>
      </c>
      <c r="C97" s="6" t="s">
        <v>4</v>
      </c>
      <c r="D97" s="6"/>
      <c r="E97" s="7" t="s">
        <v>5</v>
      </c>
    </row>
    <row r="98">
      <c r="A98" s="4" t="s">
        <v>101</v>
      </c>
      <c r="B98" s="5" t="str">
        <f>IFERROR(__xludf.DUMMYFUNCTION("IF(A98="""","""",INDEX(SPLIT(A98,"" ""),COUNTA(SPLIT(A98,"" ""))))"),"Cumiana")</f>
        <v>Cumiana</v>
      </c>
      <c r="C98" s="6" t="s">
        <v>4</v>
      </c>
      <c r="D98" s="6"/>
      <c r="E98" s="7" t="s">
        <v>5</v>
      </c>
    </row>
    <row r="99">
      <c r="A99" s="4" t="s">
        <v>102</v>
      </c>
      <c r="B99" s="5" t="str">
        <f>IFERROR(__xludf.DUMMYFUNCTION("IF(A99="""","""",INDEX(SPLIT(A99,"" ""),COUNTA(SPLIT(A99,"" ""))))"),"Cuorgnè")</f>
        <v>Cuorgnè</v>
      </c>
      <c r="C99" s="6" t="s">
        <v>4</v>
      </c>
      <c r="D99" s="6"/>
      <c r="E99" s="7" t="s">
        <v>5</v>
      </c>
    </row>
    <row r="100">
      <c r="A100" s="4" t="s">
        <v>103</v>
      </c>
      <c r="B100" s="5" t="str">
        <f>IFERROR(__xludf.DUMMYFUNCTION("IF(A100="""","""",INDEX(SPLIT(A100,"" ""),COUNTA(SPLIT(A100,"" ""))))"),"Druento")</f>
        <v>Druento</v>
      </c>
      <c r="C100" s="6" t="s">
        <v>4</v>
      </c>
      <c r="D100" s="6"/>
      <c r="E100" s="7" t="s">
        <v>5</v>
      </c>
    </row>
    <row r="101">
      <c r="A101" s="4" t="s">
        <v>104</v>
      </c>
      <c r="B101" s="5" t="str">
        <f>IFERROR(__xludf.DUMMYFUNCTION("IF(A101="""","""",INDEX(SPLIT(A101,"" ""),COUNTA(SPLIT(A101,"" ""))))"),"Exilles")</f>
        <v>Exilles</v>
      </c>
      <c r="C101" s="6" t="s">
        <v>4</v>
      </c>
      <c r="D101" s="6"/>
      <c r="E101" s="7" t="s">
        <v>5</v>
      </c>
    </row>
    <row r="102">
      <c r="A102" s="4" t="s">
        <v>105</v>
      </c>
      <c r="B102" s="5" t="str">
        <f>IFERROR(__xludf.DUMMYFUNCTION("IF(A102="""","""",INDEX(SPLIT(A102,"" ""),COUNTA(SPLIT(A102,"" ""))))"),"Favria")</f>
        <v>Favria</v>
      </c>
      <c r="C102" s="6" t="s">
        <v>4</v>
      </c>
      <c r="D102" s="6"/>
      <c r="E102" s="7" t="s">
        <v>5</v>
      </c>
    </row>
    <row r="103">
      <c r="A103" s="4" t="s">
        <v>106</v>
      </c>
      <c r="B103" s="5" t="str">
        <f>IFERROR(__xludf.DUMMYFUNCTION("IF(A103="""","""",INDEX(SPLIT(A103,"" ""),COUNTA(SPLIT(A103,"" ""))))"),"Feletto")</f>
        <v>Feletto</v>
      </c>
      <c r="C103" s="6" t="s">
        <v>4</v>
      </c>
      <c r="D103" s="6"/>
      <c r="E103" s="7" t="s">
        <v>5</v>
      </c>
    </row>
    <row r="104">
      <c r="A104" s="4" t="s">
        <v>107</v>
      </c>
      <c r="B104" s="5" t="str">
        <f>IFERROR(__xludf.DUMMYFUNCTION("IF(A104="""","""",INDEX(SPLIT(A104,"" ""),COUNTA(SPLIT(A104,"" ""))))"),"Fenestrelle")</f>
        <v>Fenestrelle</v>
      </c>
      <c r="C104" s="6" t="s">
        <v>4</v>
      </c>
      <c r="D104" s="6"/>
      <c r="E104" s="7" t="s">
        <v>5</v>
      </c>
    </row>
    <row r="105">
      <c r="A105" s="4" t="s">
        <v>108</v>
      </c>
      <c r="B105" s="5" t="str">
        <f>IFERROR(__xludf.DUMMYFUNCTION("IF(A105="""","""",INDEX(SPLIT(A105,"" ""),COUNTA(SPLIT(A105,"" ""))))"),"Fiano")</f>
        <v>Fiano</v>
      </c>
      <c r="C105" s="6" t="s">
        <v>4</v>
      </c>
      <c r="D105" s="6"/>
      <c r="E105" s="7" t="s">
        <v>5</v>
      </c>
    </row>
    <row r="106">
      <c r="A106" s="4" t="s">
        <v>109</v>
      </c>
      <c r="B106" s="5" t="str">
        <f>IFERROR(__xludf.DUMMYFUNCTION("IF(A106="""","""",INDEX(SPLIT(A106,"" ""),COUNTA(SPLIT(A106,"" ""))))"),"Canavese")</f>
        <v>Canavese</v>
      </c>
      <c r="C106" s="6" t="s">
        <v>4</v>
      </c>
      <c r="D106" s="6"/>
      <c r="E106" s="7" t="s">
        <v>5</v>
      </c>
    </row>
    <row r="107">
      <c r="A107" s="4" t="s">
        <v>110</v>
      </c>
      <c r="B107" s="5" t="str">
        <f>IFERROR(__xludf.DUMMYFUNCTION("IF(A107="""","""",INDEX(SPLIT(A107,"" ""),COUNTA(SPLIT(A107,"" ""))))"),"Foglizzo")</f>
        <v>Foglizzo</v>
      </c>
      <c r="C107" s="6" t="s">
        <v>4</v>
      </c>
      <c r="D107" s="6"/>
      <c r="E107" s="7" t="s">
        <v>5</v>
      </c>
    </row>
    <row r="108">
      <c r="A108" s="4" t="s">
        <v>111</v>
      </c>
      <c r="B108" s="5" t="str">
        <f>IFERROR(__xludf.DUMMYFUNCTION("IF(A108="""","""",INDEX(SPLIT(A108,"" ""),COUNTA(SPLIT(A108,"" ""))))"),"Canavese")</f>
        <v>Canavese</v>
      </c>
      <c r="C108" s="6" t="s">
        <v>4</v>
      </c>
      <c r="D108" s="6"/>
      <c r="E108" s="7" t="s">
        <v>5</v>
      </c>
    </row>
    <row r="109">
      <c r="A109" s="4" t="s">
        <v>112</v>
      </c>
      <c r="B109" s="5" t="str">
        <f>IFERROR(__xludf.DUMMYFUNCTION("IF(A109="""","""",INDEX(SPLIT(A109,"" ""),COUNTA(SPLIT(A109,"" ""))))"),"Frassinetto")</f>
        <v>Frassinetto</v>
      </c>
      <c r="C109" s="6" t="s">
        <v>4</v>
      </c>
      <c r="D109" s="6"/>
      <c r="E109" s="7" t="s">
        <v>5</v>
      </c>
    </row>
    <row r="110">
      <c r="A110" s="4" t="s">
        <v>113</v>
      </c>
      <c r="B110" s="5" t="str">
        <f>IFERROR(__xludf.DUMMYFUNCTION("IF(A110="""","""",INDEX(SPLIT(A110,"" ""),COUNTA(SPLIT(A110,"" ""))))"),"Front")</f>
        <v>Front</v>
      </c>
      <c r="C110" s="6" t="s">
        <v>4</v>
      </c>
      <c r="D110" s="6"/>
      <c r="E110" s="7" t="s">
        <v>5</v>
      </c>
    </row>
    <row r="111">
      <c r="A111" s="4" t="s">
        <v>114</v>
      </c>
      <c r="B111" s="5" t="str">
        <f>IFERROR(__xludf.DUMMYFUNCTION("IF(A111="""","""",INDEX(SPLIT(A111,"" ""),COUNTA(SPLIT(A111,"" ""))))"),"Frossasco")</f>
        <v>Frossasco</v>
      </c>
      <c r="C111" s="6" t="s">
        <v>4</v>
      </c>
      <c r="D111" s="6"/>
      <c r="E111" s="7" t="s">
        <v>5</v>
      </c>
    </row>
    <row r="112">
      <c r="A112" s="4" t="s">
        <v>115</v>
      </c>
      <c r="B112" s="5" t="str">
        <f>IFERROR(__xludf.DUMMYFUNCTION("IF(A112="""","""",INDEX(SPLIT(A112,"" ""),COUNTA(SPLIT(A112,"" ""))))"),"Garzigliana")</f>
        <v>Garzigliana</v>
      </c>
      <c r="C112" s="6" t="s">
        <v>4</v>
      </c>
      <c r="D112" s="6"/>
      <c r="E112" s="7" t="s">
        <v>5</v>
      </c>
    </row>
    <row r="113">
      <c r="A113" s="4" t="s">
        <v>116</v>
      </c>
      <c r="B113" s="5" t="str">
        <f>IFERROR(__xludf.DUMMYFUNCTION("IF(A113="""","""",INDEX(SPLIT(A113,"" ""),COUNTA(SPLIT(A113,"" ""))))"),"Torinese")</f>
        <v>Torinese</v>
      </c>
      <c r="C113" s="6" t="s">
        <v>4</v>
      </c>
      <c r="D113" s="6"/>
      <c r="E113" s="7" t="s">
        <v>5</v>
      </c>
    </row>
    <row r="114">
      <c r="A114" s="4" t="s">
        <v>117</v>
      </c>
      <c r="B114" s="5" t="str">
        <f>IFERROR(__xludf.DUMMYFUNCTION("IF(A114="""","""",INDEX(SPLIT(A114,"" ""),COUNTA(SPLIT(A114,"" ""))))"),"Germagnano")</f>
        <v>Germagnano</v>
      </c>
      <c r="C114" s="6" t="s">
        <v>4</v>
      </c>
      <c r="D114" s="6"/>
      <c r="E114" s="7" t="s">
        <v>5</v>
      </c>
    </row>
    <row r="115">
      <c r="A115" s="4" t="s">
        <v>118</v>
      </c>
      <c r="B115" s="5" t="str">
        <f>IFERROR(__xludf.DUMMYFUNCTION("IF(A115="""","""",INDEX(SPLIT(A115,"" ""),COUNTA(SPLIT(A115,"" ""))))"),"Giaglione")</f>
        <v>Giaglione</v>
      </c>
      <c r="C115" s="6" t="s">
        <v>4</v>
      </c>
      <c r="D115" s="6"/>
      <c r="E115" s="7" t="s">
        <v>5</v>
      </c>
    </row>
    <row r="116">
      <c r="A116" s="4" t="s">
        <v>119</v>
      </c>
      <c r="B116" s="5" t="str">
        <f>IFERROR(__xludf.DUMMYFUNCTION("IF(A116="""","""",INDEX(SPLIT(A116,"" ""),COUNTA(SPLIT(A116,"" ""))))"),"Giaveno")</f>
        <v>Giaveno</v>
      </c>
      <c r="C116" s="6" t="s">
        <v>4</v>
      </c>
      <c r="D116" s="6"/>
      <c r="E116" s="7" t="s">
        <v>5</v>
      </c>
    </row>
    <row r="117">
      <c r="A117" s="4" t="s">
        <v>120</v>
      </c>
      <c r="B117" s="5" t="str">
        <f>IFERROR(__xludf.DUMMYFUNCTION("IF(A117="""","""",INDEX(SPLIT(A117,"" ""),COUNTA(SPLIT(A117,"" ""))))"),"Givoletto")</f>
        <v>Givoletto</v>
      </c>
      <c r="C117" s="6" t="s">
        <v>4</v>
      </c>
      <c r="D117" s="6"/>
      <c r="E117" s="7" t="s">
        <v>5</v>
      </c>
    </row>
    <row r="118">
      <c r="A118" s="4" t="s">
        <v>121</v>
      </c>
      <c r="B118" s="5" t="str">
        <f>IFERROR(__xludf.DUMMYFUNCTION("IF(A118="""","""",INDEX(SPLIT(A118,"" ""),COUNTA(SPLIT(A118,"" ""))))"),"Gravere")</f>
        <v>Gravere</v>
      </c>
      <c r="C118" s="6" t="s">
        <v>4</v>
      </c>
      <c r="D118" s="6"/>
      <c r="E118" s="7" t="s">
        <v>5</v>
      </c>
    </row>
    <row r="119">
      <c r="A119" s="4" t="s">
        <v>122</v>
      </c>
      <c r="B119" s="5" t="str">
        <f>IFERROR(__xludf.DUMMYFUNCTION("IF(A119="""","""",INDEX(SPLIT(A119,"" ""),COUNTA(SPLIT(A119,"" ""))))"),"Groscavallo")</f>
        <v>Groscavallo</v>
      </c>
      <c r="C119" s="6" t="s">
        <v>4</v>
      </c>
      <c r="D119" s="6"/>
      <c r="E119" s="7" t="s">
        <v>5</v>
      </c>
    </row>
    <row r="120">
      <c r="A120" s="4" t="s">
        <v>123</v>
      </c>
      <c r="B120" s="5" t="str">
        <f>IFERROR(__xludf.DUMMYFUNCTION("IF(A120="""","""",INDEX(SPLIT(A120,"" ""),COUNTA(SPLIT(A120,"" ""))))"),"Grosso")</f>
        <v>Grosso</v>
      </c>
      <c r="C120" s="6" t="s">
        <v>4</v>
      </c>
      <c r="D120" s="6"/>
      <c r="E120" s="7" t="s">
        <v>5</v>
      </c>
    </row>
    <row r="121">
      <c r="A121" s="4" t="s">
        <v>124</v>
      </c>
      <c r="B121" s="5" t="str">
        <f>IFERROR(__xludf.DUMMYFUNCTION("IF(A121="""","""",INDEX(SPLIT(A121,"" ""),COUNTA(SPLIT(A121,"" ""))))"),"Grugliasco")</f>
        <v>Grugliasco</v>
      </c>
      <c r="C121" s="6" t="s">
        <v>4</v>
      </c>
      <c r="D121" s="6"/>
      <c r="E121" s="7" t="s">
        <v>5</v>
      </c>
    </row>
    <row r="122">
      <c r="A122" s="4" t="s">
        <v>125</v>
      </c>
      <c r="B122" s="5" t="str">
        <f>IFERROR(__xludf.DUMMYFUNCTION("IF(A122="""","""",INDEX(SPLIT(A122,"" ""),COUNTA(SPLIT(A122,"" ""))))"),"Ingria")</f>
        <v>Ingria</v>
      </c>
      <c r="C122" s="6" t="s">
        <v>4</v>
      </c>
      <c r="D122" s="6"/>
      <c r="E122" s="7" t="s">
        <v>5</v>
      </c>
    </row>
    <row r="123">
      <c r="A123" s="4" t="s">
        <v>126</v>
      </c>
      <c r="B123" s="5" t="str">
        <f>IFERROR(__xludf.DUMMYFUNCTION("IF(A123="""","""",INDEX(SPLIT(A123,"" ""),COUNTA(SPLIT(A123,"" ""))))"),"Pinasca")</f>
        <v>Pinasca</v>
      </c>
      <c r="C123" s="6" t="s">
        <v>4</v>
      </c>
      <c r="D123" s="6"/>
      <c r="E123" s="7" t="s">
        <v>5</v>
      </c>
    </row>
    <row r="124">
      <c r="A124" s="4" t="s">
        <v>127</v>
      </c>
      <c r="B124" s="5" t="str">
        <f>IFERROR(__xludf.DUMMYFUNCTION("IF(A124="""","""",INDEX(SPLIT(A124,"" ""),COUNTA(SPLIT(A124,"" ""))))"),"Isolabella")</f>
        <v>Isolabella</v>
      </c>
      <c r="C124" s="6" t="s">
        <v>4</v>
      </c>
      <c r="D124" s="6"/>
      <c r="E124" s="7" t="s">
        <v>5</v>
      </c>
    </row>
    <row r="125">
      <c r="A125" s="4" t="s">
        <v>128</v>
      </c>
      <c r="B125" s="5" t="str">
        <f>IFERROR(__xludf.DUMMYFUNCTION("IF(A125="""","""",INDEX(SPLIT(A125,"" ""),COUNTA(SPLIT(A125,"" ""))))"),"Issiglio")</f>
        <v>Issiglio</v>
      </c>
      <c r="C125" s="6" t="s">
        <v>4</v>
      </c>
      <c r="D125" s="6"/>
      <c r="E125" s="7" t="s">
        <v>5</v>
      </c>
    </row>
    <row r="126">
      <c r="A126" s="4" t="s">
        <v>129</v>
      </c>
      <c r="B126" s="5" t="str">
        <f>IFERROR(__xludf.DUMMYFUNCTION("IF(A126="""","""",INDEX(SPLIT(A126,"" ""),COUNTA(SPLIT(A126,"" ""))))"),"Ivrea")</f>
        <v>Ivrea</v>
      </c>
      <c r="C126" s="6" t="s">
        <v>4</v>
      </c>
      <c r="D126" s="6"/>
      <c r="E126" s="7" t="s">
        <v>5</v>
      </c>
    </row>
    <row r="127">
      <c r="A127" s="4" t="s">
        <v>130</v>
      </c>
      <c r="B127" s="5" t="str">
        <f>IFERROR(__xludf.DUMMYFUNCTION("IF(A127="""","""",INDEX(SPLIT(A127,"" ""),COUNTA(SPLIT(A127,"" ""))))"),"Cassa")</f>
        <v>Cassa</v>
      </c>
      <c r="C127" s="6" t="s">
        <v>4</v>
      </c>
      <c r="D127" s="6"/>
      <c r="E127" s="7" t="s">
        <v>5</v>
      </c>
    </row>
    <row r="128">
      <c r="A128" s="4" t="s">
        <v>131</v>
      </c>
      <c r="B128" s="5" t="str">
        <f>IFERROR(__xludf.DUMMYFUNCTION("IF(A128="""","""",INDEX(SPLIT(A128,"" ""),COUNTA(SPLIT(A128,"" ""))))"),"Loggia")</f>
        <v>Loggia</v>
      </c>
      <c r="C128" s="6" t="s">
        <v>4</v>
      </c>
      <c r="D128" s="6"/>
      <c r="E128" s="7" t="s">
        <v>5</v>
      </c>
    </row>
    <row r="129">
      <c r="A129" s="4" t="s">
        <v>132</v>
      </c>
      <c r="B129" s="5" t="str">
        <f>IFERROR(__xludf.DUMMYFUNCTION("IF(A129="""","""",INDEX(SPLIT(A129,"" ""),COUNTA(SPLIT(A129,"" ""))))"),"Torinese")</f>
        <v>Torinese</v>
      </c>
      <c r="C129" s="6" t="s">
        <v>4</v>
      </c>
      <c r="D129" s="6"/>
      <c r="E129" s="7" t="s">
        <v>5</v>
      </c>
    </row>
    <row r="130">
      <c r="A130" s="4" t="s">
        <v>133</v>
      </c>
      <c r="B130" s="5" t="str">
        <f>IFERROR(__xludf.DUMMYFUNCTION("IF(A130="""","""",INDEX(SPLIT(A130,"" ""),COUNTA(SPLIT(A130,"" ""))))"),"Lauriano")</f>
        <v>Lauriano</v>
      </c>
      <c r="C130" s="6" t="s">
        <v>4</v>
      </c>
      <c r="D130" s="6"/>
      <c r="E130" s="7" t="s">
        <v>5</v>
      </c>
    </row>
    <row r="131">
      <c r="A131" s="4" t="s">
        <v>134</v>
      </c>
      <c r="B131" s="5" t="str">
        <f>IFERROR(__xludf.DUMMYFUNCTION("IF(A131="""","""",INDEX(SPLIT(A131,"" ""),COUNTA(SPLIT(A131,"" ""))))"),"Leini")</f>
        <v>Leini</v>
      </c>
      <c r="C131" s="6" t="s">
        <v>4</v>
      </c>
      <c r="D131" s="6"/>
      <c r="E131" s="7" t="s">
        <v>5</v>
      </c>
    </row>
    <row r="132">
      <c r="A132" s="4" t="s">
        <v>135</v>
      </c>
      <c r="B132" s="5" t="str">
        <f>IFERROR(__xludf.DUMMYFUNCTION("IF(A132="""","""",INDEX(SPLIT(A132,"" ""),COUNTA(SPLIT(A132,"" ""))))"),"Lemie")</f>
        <v>Lemie</v>
      </c>
      <c r="C132" s="6" t="s">
        <v>4</v>
      </c>
      <c r="D132" s="6"/>
      <c r="E132" s="7" t="s">
        <v>5</v>
      </c>
    </row>
    <row r="133">
      <c r="A133" s="4" t="s">
        <v>136</v>
      </c>
      <c r="B133" s="5" t="str">
        <f>IFERROR(__xludf.DUMMYFUNCTION("IF(A133="""","""",INDEX(SPLIT(A133,"" ""),COUNTA(SPLIT(A133,"" ""))))"),"Lessolo")</f>
        <v>Lessolo</v>
      </c>
      <c r="C133" s="6" t="s">
        <v>4</v>
      </c>
      <c r="D133" s="6"/>
      <c r="E133" s="7" t="s">
        <v>5</v>
      </c>
    </row>
    <row r="134">
      <c r="A134" s="4" t="s">
        <v>137</v>
      </c>
      <c r="B134" s="5" t="str">
        <f>IFERROR(__xludf.DUMMYFUNCTION("IF(A134="""","""",INDEX(SPLIT(A134,"" ""),COUNTA(SPLIT(A134,"" ""))))"),"Levone")</f>
        <v>Levone</v>
      </c>
      <c r="C134" s="6" t="s">
        <v>4</v>
      </c>
      <c r="D134" s="6"/>
      <c r="E134" s="7" t="s">
        <v>5</v>
      </c>
    </row>
    <row r="135">
      <c r="A135" s="4" t="s">
        <v>138</v>
      </c>
      <c r="B135" s="5" t="str">
        <f>IFERROR(__xludf.DUMMYFUNCTION("IF(A135="""","""",INDEX(SPLIT(A135,"" ""),COUNTA(SPLIT(A135,"" ""))))"),"Locana")</f>
        <v>Locana</v>
      </c>
      <c r="C135" s="6" t="s">
        <v>4</v>
      </c>
      <c r="D135" s="6"/>
      <c r="E135" s="7" t="s">
        <v>5</v>
      </c>
    </row>
    <row r="136">
      <c r="A136" s="4" t="s">
        <v>139</v>
      </c>
      <c r="B136" s="5" t="str">
        <f>IFERROR(__xludf.DUMMYFUNCTION("IF(A136="""","""",INDEX(SPLIT(A136,"" ""),COUNTA(SPLIT(A136,"" ""))))"),"Lombardore")</f>
        <v>Lombardore</v>
      </c>
      <c r="C136" s="6" t="s">
        <v>4</v>
      </c>
      <c r="D136" s="6"/>
      <c r="E136" s="7" t="s">
        <v>5</v>
      </c>
    </row>
    <row r="137">
      <c r="A137" s="4" t="s">
        <v>140</v>
      </c>
      <c r="B137" s="5" t="str">
        <f>IFERROR(__xludf.DUMMYFUNCTION("IF(A137="""","""",INDEX(SPLIT(A137,"" ""),COUNTA(SPLIT(A137,"" ""))))"),"Lombriasco")</f>
        <v>Lombriasco</v>
      </c>
      <c r="C137" s="6" t="s">
        <v>4</v>
      </c>
      <c r="D137" s="6"/>
      <c r="E137" s="7" t="s">
        <v>5</v>
      </c>
    </row>
    <row r="138">
      <c r="A138" s="4" t="s">
        <v>141</v>
      </c>
      <c r="B138" s="5" t="str">
        <f>IFERROR(__xludf.DUMMYFUNCTION("IF(A138="""","""",INDEX(SPLIT(A138,"" ""),COUNTA(SPLIT(A138,"" ""))))"),"Loranzè")</f>
        <v>Loranzè</v>
      </c>
      <c r="C138" s="6" t="s">
        <v>4</v>
      </c>
      <c r="D138" s="6"/>
      <c r="E138" s="7" t="s">
        <v>5</v>
      </c>
    </row>
    <row r="139">
      <c r="A139" s="4" t="s">
        <v>142</v>
      </c>
      <c r="B139" s="5" t="str">
        <f>IFERROR(__xludf.DUMMYFUNCTION("IF(A139="""","""",INDEX(SPLIT(A139,"" ""),COUNTA(SPLIT(A139,"" ""))))"),"Lugnacco")</f>
        <v>Lugnacco</v>
      </c>
      <c r="C139" s="6" t="s">
        <v>4</v>
      </c>
      <c r="D139" s="6"/>
      <c r="E139" s="7" t="s">
        <v>5</v>
      </c>
    </row>
    <row r="140">
      <c r="A140" s="4" t="s">
        <v>143</v>
      </c>
      <c r="B140" s="5" t="str">
        <f>IFERROR(__xludf.DUMMYFUNCTION("IF(A140="""","""",INDEX(SPLIT(A140,"" ""),COUNTA(SPLIT(A140,"" ""))))"),"Giovanni")</f>
        <v>Giovanni</v>
      </c>
      <c r="C140" s="6" t="s">
        <v>4</v>
      </c>
      <c r="D140" s="6"/>
      <c r="E140" s="7" t="s">
        <v>5</v>
      </c>
    </row>
    <row r="141">
      <c r="A141" s="4" t="s">
        <v>144</v>
      </c>
      <c r="B141" s="5" t="str">
        <f>IFERROR(__xludf.DUMMYFUNCTION("IF(A141="""","""",INDEX(SPLIT(A141,"" ""),COUNTA(SPLIT(A141,"" ""))))"),"Lusernetta")</f>
        <v>Lusernetta</v>
      </c>
      <c r="C141" s="6" t="s">
        <v>4</v>
      </c>
      <c r="D141" s="6"/>
      <c r="E141" s="7" t="s">
        <v>5</v>
      </c>
    </row>
    <row r="142">
      <c r="A142" s="4" t="s">
        <v>145</v>
      </c>
      <c r="B142" s="5" t="str">
        <f>IFERROR(__xludf.DUMMYFUNCTION("IF(A142="""","""",INDEX(SPLIT(A142,"" ""),COUNTA(SPLIT(A142,"" ""))))"),"Lusigliè")</f>
        <v>Lusigliè</v>
      </c>
      <c r="C142" s="6" t="s">
        <v>4</v>
      </c>
      <c r="D142" s="6"/>
      <c r="E142" s="7" t="s">
        <v>5</v>
      </c>
    </row>
    <row r="143">
      <c r="A143" s="4" t="s">
        <v>146</v>
      </c>
      <c r="B143" s="5" t="str">
        <f>IFERROR(__xludf.DUMMYFUNCTION("IF(A143="""","""",INDEX(SPLIT(A143,"" ""),COUNTA(SPLIT(A143,"" ""))))"),"Macello")</f>
        <v>Macello</v>
      </c>
      <c r="C143" s="6" t="s">
        <v>4</v>
      </c>
      <c r="D143" s="6"/>
      <c r="E143" s="7" t="s">
        <v>5</v>
      </c>
    </row>
    <row r="144">
      <c r="A144" s="4" t="s">
        <v>147</v>
      </c>
      <c r="B144" s="5" t="str">
        <f>IFERROR(__xludf.DUMMYFUNCTION("IF(A144="""","""",INDEX(SPLIT(A144,"" ""),COUNTA(SPLIT(A144,"" ""))))"),"Maglione")</f>
        <v>Maglione</v>
      </c>
      <c r="C144" s="6" t="s">
        <v>4</v>
      </c>
      <c r="D144" s="6"/>
      <c r="E144" s="7" t="s">
        <v>5</v>
      </c>
    </row>
    <row r="145">
      <c r="A145" s="4" t="s">
        <v>148</v>
      </c>
      <c r="B145" s="5" t="str">
        <f>IFERROR(__xludf.DUMMYFUNCTION("IF(A145="""","""",INDEX(SPLIT(A145,"" ""),COUNTA(SPLIT(A145,"" ""))))"),"Marentino")</f>
        <v>Marentino</v>
      </c>
      <c r="C145" s="6" t="s">
        <v>4</v>
      </c>
      <c r="D145" s="6"/>
      <c r="E145" s="7" t="s">
        <v>5</v>
      </c>
    </row>
    <row r="146">
      <c r="A146" s="4" t="s">
        <v>149</v>
      </c>
      <c r="B146" s="5" t="str">
        <f>IFERROR(__xludf.DUMMYFUNCTION("IF(A146="""","""",INDEX(SPLIT(A146,"" ""),COUNTA(SPLIT(A146,"" ""))))"),"Massello")</f>
        <v>Massello</v>
      </c>
      <c r="C146" s="6" t="s">
        <v>4</v>
      </c>
      <c r="D146" s="6"/>
      <c r="E146" s="7" t="s">
        <v>5</v>
      </c>
    </row>
    <row r="147">
      <c r="A147" s="4" t="s">
        <v>150</v>
      </c>
      <c r="B147" s="5" t="str">
        <f>IFERROR(__xludf.DUMMYFUNCTION("IF(A147="""","""",INDEX(SPLIT(A147,"" ""),COUNTA(SPLIT(A147,"" ""))))"),"Mathi")</f>
        <v>Mathi</v>
      </c>
      <c r="C147" s="6" t="s">
        <v>4</v>
      </c>
      <c r="D147" s="6"/>
      <c r="E147" s="7" t="s">
        <v>5</v>
      </c>
    </row>
    <row r="148">
      <c r="A148" s="4" t="s">
        <v>151</v>
      </c>
      <c r="B148" s="5" t="str">
        <f>IFERROR(__xludf.DUMMYFUNCTION("IF(A148="""","""",INDEX(SPLIT(A148,"" ""),COUNTA(SPLIT(A148,"" ""))))"),"Mattie")</f>
        <v>Mattie</v>
      </c>
      <c r="C148" s="6" t="s">
        <v>4</v>
      </c>
      <c r="D148" s="6"/>
      <c r="E148" s="7" t="s">
        <v>5</v>
      </c>
    </row>
    <row r="149">
      <c r="A149" s="4" t="s">
        <v>152</v>
      </c>
      <c r="B149" s="5" t="str">
        <f>IFERROR(__xludf.DUMMYFUNCTION("IF(A149="""","""",INDEX(SPLIT(A149,"" ""),COUNTA(SPLIT(A149,"" ""))))"),"Mazzè")</f>
        <v>Mazzè</v>
      </c>
      <c r="C149" s="6" t="s">
        <v>4</v>
      </c>
      <c r="D149" s="6"/>
      <c r="E149" s="7" t="s">
        <v>5</v>
      </c>
    </row>
    <row r="150">
      <c r="A150" s="4" t="s">
        <v>153</v>
      </c>
      <c r="B150" s="5" t="str">
        <f>IFERROR(__xludf.DUMMYFUNCTION("IF(A150="""","""",INDEX(SPLIT(A150,"" ""),COUNTA(SPLIT(A150,"" ""))))"),"Susa")</f>
        <v>Susa</v>
      </c>
      <c r="C150" s="6" t="s">
        <v>4</v>
      </c>
      <c r="D150" s="6"/>
      <c r="E150" s="7" t="s">
        <v>5</v>
      </c>
    </row>
    <row r="151">
      <c r="A151" s="4" t="s">
        <v>154</v>
      </c>
      <c r="B151" s="5" t="str">
        <f>IFERROR(__xludf.DUMMYFUNCTION("IF(A151="""","""",INDEX(SPLIT(A151,"" ""),COUNTA(SPLIT(A151,"" ""))))"),"Mercenasco")</f>
        <v>Mercenasco</v>
      </c>
      <c r="C151" s="6" t="s">
        <v>4</v>
      </c>
      <c r="D151" s="6"/>
      <c r="E151" s="7" t="s">
        <v>5</v>
      </c>
    </row>
    <row r="152">
      <c r="A152" s="4" t="s">
        <v>155</v>
      </c>
      <c r="B152" s="5" t="str">
        <f>IFERROR(__xludf.DUMMYFUNCTION("IF(A152="""","""",INDEX(SPLIT(A152,"" ""),COUNTA(SPLIT(A152,"" ""))))"),"Meugliano")</f>
        <v>Meugliano</v>
      </c>
      <c r="C152" s="6" t="s">
        <v>4</v>
      </c>
      <c r="D152" s="6"/>
      <c r="E152" s="7" t="s">
        <v>5</v>
      </c>
    </row>
    <row r="153">
      <c r="A153" s="4" t="s">
        <v>156</v>
      </c>
      <c r="B153" s="5" t="str">
        <f>IFERROR(__xludf.DUMMYFUNCTION("IF(A153="""","""",INDEX(SPLIT(A153,"" ""),COUNTA(SPLIT(A153,"" ""))))"),"Mezzenile")</f>
        <v>Mezzenile</v>
      </c>
      <c r="C153" s="6" t="s">
        <v>4</v>
      </c>
      <c r="D153" s="6"/>
      <c r="E153" s="7" t="s">
        <v>5</v>
      </c>
    </row>
    <row r="154">
      <c r="A154" s="4" t="s">
        <v>157</v>
      </c>
      <c r="B154" s="5" t="str">
        <f>IFERROR(__xludf.DUMMYFUNCTION("IF(A154="""","""",INDEX(SPLIT(A154,"" ""),COUNTA(SPLIT(A154,"" ""))))"),"Torino")</f>
        <v>Torino</v>
      </c>
      <c r="C154" s="6" t="s">
        <v>4</v>
      </c>
      <c r="D154" s="6"/>
      <c r="E154" s="7" t="s">
        <v>5</v>
      </c>
    </row>
    <row r="155">
      <c r="A155" s="4" t="s">
        <v>158</v>
      </c>
      <c r="B155" s="5" t="str">
        <f>IFERROR(__xludf.DUMMYFUNCTION("IF(A155="""","""",INDEX(SPLIT(A155,"" ""),COUNTA(SPLIT(A155,"" ""))))"),"Mompantero")</f>
        <v>Mompantero</v>
      </c>
      <c r="C155" s="6" t="s">
        <v>4</v>
      </c>
      <c r="D155" s="6"/>
      <c r="E155" s="7" t="s">
        <v>5</v>
      </c>
    </row>
    <row r="156">
      <c r="A156" s="4" t="s">
        <v>159</v>
      </c>
      <c r="B156" s="5" t="str">
        <f>IFERROR(__xludf.DUMMYFUNCTION("IF(A156="""","""",INDEX(SPLIT(A156,"" ""),COUNTA(SPLIT(A156,"" ""))))"),"Lanzo")</f>
        <v>Lanzo</v>
      </c>
      <c r="C156" s="6" t="s">
        <v>4</v>
      </c>
      <c r="D156" s="6"/>
      <c r="E156" s="7" t="s">
        <v>5</v>
      </c>
    </row>
    <row r="157">
      <c r="A157" s="4" t="s">
        <v>160</v>
      </c>
      <c r="B157" s="5" t="str">
        <f>IFERROR(__xludf.DUMMYFUNCTION("IF(A157="""","""",INDEX(SPLIT(A157,"" ""),COUNTA(SPLIT(A157,"" ""))))"),"Moncalieri")</f>
        <v>Moncalieri</v>
      </c>
      <c r="C157" s="6" t="s">
        <v>4</v>
      </c>
      <c r="D157" s="6"/>
      <c r="E157" s="7" t="s">
        <v>5</v>
      </c>
    </row>
    <row r="158">
      <c r="A158" s="4" t="s">
        <v>161</v>
      </c>
      <c r="B158" s="5" t="str">
        <f>IFERROR(__xludf.DUMMYFUNCTION("IF(A158="""","""",INDEX(SPLIT(A158,"" ""),COUNTA(SPLIT(A158,"" ""))))"),"Moncenisio")</f>
        <v>Moncenisio</v>
      </c>
      <c r="C158" s="6" t="s">
        <v>4</v>
      </c>
      <c r="D158" s="6"/>
      <c r="E158" s="7" t="s">
        <v>5</v>
      </c>
    </row>
    <row r="159">
      <c r="A159" s="4" t="s">
        <v>162</v>
      </c>
      <c r="B159" s="5" t="str">
        <f>IFERROR(__xludf.DUMMYFUNCTION("IF(A159="""","""",INDEX(SPLIT(A159,"" ""),COUNTA(SPLIT(A159,"" ""))))"),"Torinese")</f>
        <v>Torinese</v>
      </c>
      <c r="C159" s="6" t="s">
        <v>4</v>
      </c>
      <c r="D159" s="6"/>
      <c r="E159" s="7" t="s">
        <v>5</v>
      </c>
    </row>
    <row r="160">
      <c r="A160" s="4" t="s">
        <v>163</v>
      </c>
      <c r="B160" s="5" t="str">
        <f>IFERROR(__xludf.DUMMYFUNCTION("IF(A160="""","""",INDEX(SPLIT(A160,"" ""),COUNTA(SPLIT(A160,"" ""))))"),"Montalenghe")</f>
        <v>Montalenghe</v>
      </c>
      <c r="C160" s="6" t="s">
        <v>4</v>
      </c>
      <c r="D160" s="6"/>
      <c r="E160" s="7" t="s">
        <v>5</v>
      </c>
    </row>
    <row r="161">
      <c r="A161" s="4" t="s">
        <v>164</v>
      </c>
      <c r="B161" s="5" t="str">
        <f>IFERROR(__xludf.DUMMYFUNCTION("IF(A161="""","""",INDEX(SPLIT(A161,"" ""),COUNTA(SPLIT(A161,"" ""))))"),"Dora")</f>
        <v>Dora</v>
      </c>
      <c r="C161" s="6" t="s">
        <v>4</v>
      </c>
      <c r="D161" s="6"/>
      <c r="E161" s="7" t="s">
        <v>5</v>
      </c>
    </row>
    <row r="162">
      <c r="A162" s="4" t="s">
        <v>165</v>
      </c>
      <c r="B162" s="5" t="str">
        <f>IFERROR(__xludf.DUMMYFUNCTION("IF(A162="""","""",INDEX(SPLIT(A162,"" ""),COUNTA(SPLIT(A162,"" ""))))"),"Montanaro")</f>
        <v>Montanaro</v>
      </c>
      <c r="C162" s="6" t="s">
        <v>4</v>
      </c>
      <c r="D162" s="6"/>
      <c r="E162" s="7" t="s">
        <v>5</v>
      </c>
    </row>
    <row r="163">
      <c r="A163" s="4" t="s">
        <v>166</v>
      </c>
      <c r="B163" s="5" t="str">
        <f>IFERROR(__xludf.DUMMYFUNCTION("IF(A163="""","""",INDEX(SPLIT(A163,"" ""),COUNTA(SPLIT(A163,"" ""))))"),"Po")</f>
        <v>Po</v>
      </c>
      <c r="C163" s="6" t="s">
        <v>4</v>
      </c>
      <c r="D163" s="6"/>
      <c r="E163" s="7" t="s">
        <v>5</v>
      </c>
    </row>
    <row r="164">
      <c r="A164" s="4" t="s">
        <v>167</v>
      </c>
      <c r="B164" s="5" t="str">
        <f>IFERROR(__xludf.DUMMYFUNCTION("IF(A164="""","""",INDEX(SPLIT(A164,"" ""),COUNTA(SPLIT(A164,"" ""))))"),"Torinese")</f>
        <v>Torinese</v>
      </c>
      <c r="C164" s="6" t="s">
        <v>4</v>
      </c>
      <c r="D164" s="6"/>
      <c r="E164" s="7" t="s">
        <v>5</v>
      </c>
    </row>
    <row r="165">
      <c r="A165" s="4" t="s">
        <v>168</v>
      </c>
      <c r="B165" s="5" t="str">
        <f>IFERROR(__xludf.DUMMYFUNCTION("IF(A165="""","""",INDEX(SPLIT(A165,"" ""),COUNTA(SPLIT(A165,"" ""))))"),"Nichelino")</f>
        <v>Nichelino</v>
      </c>
      <c r="C165" s="6" t="s">
        <v>4</v>
      </c>
      <c r="D165" s="6"/>
      <c r="E165" s="7" t="s">
        <v>5</v>
      </c>
    </row>
    <row r="166">
      <c r="A166" s="4" t="s">
        <v>169</v>
      </c>
      <c r="B166" s="5" t="str">
        <f>IFERROR(__xludf.DUMMYFUNCTION("IF(A166="""","""",INDEX(SPLIT(A166,"" ""),COUNTA(SPLIT(A166,"" ""))))"),"Noasca")</f>
        <v>Noasca</v>
      </c>
      <c r="C166" s="6" t="s">
        <v>4</v>
      </c>
      <c r="D166" s="6"/>
      <c r="E166" s="7" t="s">
        <v>5</v>
      </c>
    </row>
    <row r="167">
      <c r="A167" s="4" t="s">
        <v>170</v>
      </c>
      <c r="B167" s="5" t="str">
        <f>IFERROR(__xludf.DUMMYFUNCTION("IF(A167="""","""",INDEX(SPLIT(A167,"" ""),COUNTA(SPLIT(A167,"" ""))))"),"Nole")</f>
        <v>Nole</v>
      </c>
      <c r="C167" s="6" t="s">
        <v>4</v>
      </c>
      <c r="D167" s="6"/>
      <c r="E167" s="7" t="s">
        <v>5</v>
      </c>
    </row>
    <row r="168">
      <c r="A168" s="4" t="s">
        <v>171</v>
      </c>
      <c r="B168" s="5" t="str">
        <f>IFERROR(__xludf.DUMMYFUNCTION("IF(A168="""","""",INDEX(SPLIT(A168,"" ""),COUNTA(SPLIT(A168,"" ""))))"),"Nomaglio")</f>
        <v>Nomaglio</v>
      </c>
      <c r="C168" s="6" t="s">
        <v>4</v>
      </c>
      <c r="D168" s="6"/>
      <c r="E168" s="7" t="s">
        <v>5</v>
      </c>
    </row>
    <row r="169">
      <c r="A169" s="4" t="s">
        <v>172</v>
      </c>
      <c r="B169" s="5" t="str">
        <f>IFERROR(__xludf.DUMMYFUNCTION("IF(A169="""","""",INDEX(SPLIT(A169,"" ""),COUNTA(SPLIT(A169,"" ""))))"),"None")</f>
        <v>None</v>
      </c>
      <c r="C169" s="6" t="s">
        <v>4</v>
      </c>
      <c r="D169" s="6"/>
      <c r="E169" s="7" t="s">
        <v>5</v>
      </c>
    </row>
    <row r="170">
      <c r="A170" s="4" t="s">
        <v>173</v>
      </c>
      <c r="B170" s="5" t="str">
        <f>IFERROR(__xludf.DUMMYFUNCTION("IF(A170="""","""",INDEX(SPLIT(A170,"" ""),COUNTA(SPLIT(A170,"" ""))))"),"Novalesa")</f>
        <v>Novalesa</v>
      </c>
      <c r="C170" s="6" t="s">
        <v>4</v>
      </c>
      <c r="D170" s="6"/>
      <c r="E170" s="7" t="s">
        <v>5</v>
      </c>
    </row>
    <row r="171">
      <c r="A171" s="4" t="s">
        <v>174</v>
      </c>
      <c r="B171" s="5" t="str">
        <f>IFERROR(__xludf.DUMMYFUNCTION("IF(A171="""","""",INDEX(SPLIT(A171,"" ""),COUNTA(SPLIT(A171,"" ""))))"),"Oglianico")</f>
        <v>Oglianico</v>
      </c>
      <c r="C171" s="6" t="s">
        <v>4</v>
      </c>
      <c r="D171" s="6"/>
      <c r="E171" s="7" t="s">
        <v>5</v>
      </c>
    </row>
    <row r="172">
      <c r="A172" s="4" t="s">
        <v>175</v>
      </c>
      <c r="B172" s="5" t="str">
        <f>IFERROR(__xludf.DUMMYFUNCTION("IF(A172="""","""",INDEX(SPLIT(A172,"" ""),COUNTA(SPLIT(A172,"" ""))))"),"Orbassano")</f>
        <v>Orbassano</v>
      </c>
      <c r="C172" s="6" t="s">
        <v>4</v>
      </c>
      <c r="D172" s="6"/>
      <c r="E172" s="7" t="s">
        <v>5</v>
      </c>
    </row>
    <row r="173">
      <c r="A173" s="4" t="s">
        <v>176</v>
      </c>
      <c r="B173" s="5" t="str">
        <f>IFERROR(__xludf.DUMMYFUNCTION("IF(A173="""","""",INDEX(SPLIT(A173,"" ""),COUNTA(SPLIT(A173,"" ""))))"),"Canavese")</f>
        <v>Canavese</v>
      </c>
      <c r="C173" s="6" t="s">
        <v>4</v>
      </c>
      <c r="D173" s="6"/>
      <c r="E173" s="7" t="s">
        <v>5</v>
      </c>
    </row>
    <row r="174">
      <c r="A174" s="4" t="s">
        <v>177</v>
      </c>
      <c r="B174" s="5" t="str">
        <f>IFERROR(__xludf.DUMMYFUNCTION("IF(A174="""","""",INDEX(SPLIT(A174,"" ""),COUNTA(SPLIT(A174,"" ""))))"),"Osasco")</f>
        <v>Osasco</v>
      </c>
      <c r="C174" s="6" t="s">
        <v>4</v>
      </c>
      <c r="D174" s="6"/>
      <c r="E174" s="7" t="s">
        <v>5</v>
      </c>
    </row>
    <row r="175">
      <c r="A175" s="4" t="s">
        <v>178</v>
      </c>
      <c r="B175" s="5" t="str">
        <f>IFERROR(__xludf.DUMMYFUNCTION("IF(A175="""","""",INDEX(SPLIT(A175,"" ""),COUNTA(SPLIT(A175,"" ""))))"),"Osasio")</f>
        <v>Osasio</v>
      </c>
      <c r="C175" s="6" t="s">
        <v>4</v>
      </c>
      <c r="D175" s="6"/>
      <c r="E175" s="7" t="s">
        <v>5</v>
      </c>
    </row>
    <row r="176">
      <c r="A176" s="4" t="s">
        <v>179</v>
      </c>
      <c r="B176" s="5" t="str">
        <f>IFERROR(__xludf.DUMMYFUNCTION("IF(A176="""","""",INDEX(SPLIT(A176,"" ""),COUNTA(SPLIT(A176,"" ""))))"),"Oulx")</f>
        <v>Oulx</v>
      </c>
      <c r="C176" s="6" t="s">
        <v>4</v>
      </c>
      <c r="D176" s="6"/>
      <c r="E176" s="7" t="s">
        <v>5</v>
      </c>
    </row>
    <row r="177">
      <c r="A177" s="4" t="s">
        <v>180</v>
      </c>
      <c r="B177" s="5" t="str">
        <f>IFERROR(__xludf.DUMMYFUNCTION("IF(A177="""","""",INDEX(SPLIT(A177,"" ""),COUNTA(SPLIT(A177,"" ""))))"),"Ozegna")</f>
        <v>Ozegna</v>
      </c>
      <c r="C177" s="6" t="s">
        <v>4</v>
      </c>
      <c r="D177" s="6"/>
      <c r="E177" s="7" t="s">
        <v>5</v>
      </c>
    </row>
    <row r="178">
      <c r="A178" s="4" t="s">
        <v>181</v>
      </c>
      <c r="B178" s="5" t="str">
        <f>IFERROR(__xludf.DUMMYFUNCTION("IF(A178="""","""",INDEX(SPLIT(A178,"" ""),COUNTA(SPLIT(A178,"" ""))))"),"Canavese")</f>
        <v>Canavese</v>
      </c>
      <c r="C178" s="6" t="s">
        <v>4</v>
      </c>
      <c r="D178" s="6"/>
      <c r="E178" s="7" t="s">
        <v>5</v>
      </c>
    </row>
    <row r="179">
      <c r="A179" s="4" t="s">
        <v>182</v>
      </c>
      <c r="B179" s="5" t="str">
        <f>IFERROR(__xludf.DUMMYFUNCTION("IF(A179="""","""",INDEX(SPLIT(A179,"" ""),COUNTA(SPLIT(A179,"" ""))))"),"Pancalieri")</f>
        <v>Pancalieri</v>
      </c>
      <c r="C179" s="6" t="s">
        <v>4</v>
      </c>
      <c r="D179" s="6"/>
      <c r="E179" s="7" t="s">
        <v>5</v>
      </c>
    </row>
    <row r="180">
      <c r="A180" s="4" t="s">
        <v>183</v>
      </c>
      <c r="B180" s="5" t="str">
        <f>IFERROR(__xludf.DUMMYFUNCTION("IF(A180="""","""",INDEX(SPLIT(A180,"" ""),COUNTA(SPLIT(A180,"" ""))))"),"Parella")</f>
        <v>Parella</v>
      </c>
      <c r="C180" s="6" t="s">
        <v>4</v>
      </c>
      <c r="D180" s="6"/>
      <c r="E180" s="7" t="s">
        <v>5</v>
      </c>
    </row>
    <row r="181">
      <c r="A181" s="4" t="s">
        <v>184</v>
      </c>
      <c r="B181" s="5" t="str">
        <f>IFERROR(__xludf.DUMMYFUNCTION("IF(A181="""","""",INDEX(SPLIT(A181,"" ""),COUNTA(SPLIT(A181,"" ""))))"),"Pavarolo")</f>
        <v>Pavarolo</v>
      </c>
      <c r="C181" s="6" t="s">
        <v>4</v>
      </c>
      <c r="D181" s="6"/>
      <c r="E181" s="7" t="s">
        <v>5</v>
      </c>
    </row>
    <row r="182">
      <c r="A182" s="4" t="s">
        <v>185</v>
      </c>
      <c r="B182" s="5" t="str">
        <f>IFERROR(__xludf.DUMMYFUNCTION("IF(A182="""","""",INDEX(SPLIT(A182,"" ""),COUNTA(SPLIT(A182,"" ""))))"),"Canavese")</f>
        <v>Canavese</v>
      </c>
      <c r="C182" s="6" t="s">
        <v>4</v>
      </c>
      <c r="D182" s="6"/>
      <c r="E182" s="7" t="s">
        <v>5</v>
      </c>
    </row>
    <row r="183">
      <c r="A183" s="4" t="s">
        <v>186</v>
      </c>
      <c r="B183" s="5" t="str">
        <f>IFERROR(__xludf.DUMMYFUNCTION("IF(A183="""","""",INDEX(SPLIT(A183,"" ""),COUNTA(SPLIT(A183,"" ""))))"),"Pecco")</f>
        <v>Pecco</v>
      </c>
      <c r="C183" s="6" t="s">
        <v>4</v>
      </c>
      <c r="D183" s="6"/>
      <c r="E183" s="7" t="s">
        <v>5</v>
      </c>
    </row>
    <row r="184">
      <c r="A184" s="4" t="s">
        <v>187</v>
      </c>
      <c r="B184" s="5" t="str">
        <f>IFERROR(__xludf.DUMMYFUNCTION("IF(A184="""","""",INDEX(SPLIT(A184,"" ""),COUNTA(SPLIT(A184,"" ""))))"),"Torinese")</f>
        <v>Torinese</v>
      </c>
      <c r="C184" s="6" t="s">
        <v>4</v>
      </c>
      <c r="D184" s="6"/>
      <c r="E184" s="7" t="s">
        <v>5</v>
      </c>
    </row>
    <row r="185">
      <c r="A185" s="4" t="s">
        <v>188</v>
      </c>
      <c r="B185" s="5" t="str">
        <f>IFERROR(__xludf.DUMMYFUNCTION("IF(A185="""","""",INDEX(SPLIT(A185,"" ""),COUNTA(SPLIT(A185,"" ""))))"),"Argentina")</f>
        <v>Argentina</v>
      </c>
      <c r="C185" s="6" t="s">
        <v>4</v>
      </c>
      <c r="D185" s="6"/>
      <c r="E185" s="7" t="s">
        <v>5</v>
      </c>
    </row>
    <row r="186">
      <c r="A186" s="4" t="s">
        <v>189</v>
      </c>
      <c r="B186" s="5" t="str">
        <f>IFERROR(__xludf.DUMMYFUNCTION("IF(A186="""","""",INDEX(SPLIT(A186,"" ""),COUNTA(SPLIT(A186,"" ""))))"),"Canavese")</f>
        <v>Canavese</v>
      </c>
      <c r="C186" s="6" t="s">
        <v>4</v>
      </c>
      <c r="D186" s="6"/>
      <c r="E186" s="7" t="s">
        <v>5</v>
      </c>
    </row>
    <row r="187">
      <c r="A187" s="4" t="s">
        <v>190</v>
      </c>
      <c r="B187" s="5" t="str">
        <f>IFERROR(__xludf.DUMMYFUNCTION("IF(A187="""","""",INDEX(SPLIT(A187,"" ""),COUNTA(SPLIT(A187,"" ""))))"),"Perrero")</f>
        <v>Perrero</v>
      </c>
      <c r="C187" s="6" t="s">
        <v>4</v>
      </c>
      <c r="D187" s="6"/>
      <c r="E187" s="7" t="s">
        <v>5</v>
      </c>
    </row>
    <row r="188">
      <c r="A188" s="4" t="s">
        <v>191</v>
      </c>
      <c r="B188" s="5" t="str">
        <f>IFERROR(__xludf.DUMMYFUNCTION("IF(A188="""","""",INDEX(SPLIT(A188,"" ""),COUNTA(SPLIT(A188,"" ""))))"),"Pertusio")</f>
        <v>Pertusio</v>
      </c>
      <c r="C188" s="6" t="s">
        <v>4</v>
      </c>
      <c r="D188" s="6"/>
      <c r="E188" s="7" t="s">
        <v>5</v>
      </c>
    </row>
    <row r="189">
      <c r="A189" s="4" t="s">
        <v>192</v>
      </c>
      <c r="B189" s="5" t="str">
        <f>IFERROR(__xludf.DUMMYFUNCTION("IF(A189="""","""",INDEX(SPLIT(A189,"" ""),COUNTA(SPLIT(A189,"" ""))))"),"Pessinetto")</f>
        <v>Pessinetto</v>
      </c>
      <c r="C189" s="6" t="s">
        <v>4</v>
      </c>
      <c r="D189" s="6"/>
      <c r="E189" s="7" t="s">
        <v>5</v>
      </c>
    </row>
    <row r="190">
      <c r="A190" s="4" t="s">
        <v>193</v>
      </c>
      <c r="B190" s="5" t="str">
        <f>IFERROR(__xludf.DUMMYFUNCTION("IF(A190="""","""",INDEX(SPLIT(A190,"" ""),COUNTA(SPLIT(A190,"" ""))))"),"Pianezza")</f>
        <v>Pianezza</v>
      </c>
      <c r="C190" s="6" t="s">
        <v>4</v>
      </c>
      <c r="D190" s="6"/>
      <c r="E190" s="7" t="s">
        <v>5</v>
      </c>
    </row>
    <row r="191">
      <c r="A191" s="4" t="s">
        <v>194</v>
      </c>
      <c r="B191" s="5" t="str">
        <f>IFERROR(__xludf.DUMMYFUNCTION("IF(A191="""","""",INDEX(SPLIT(A191,"" ""),COUNTA(SPLIT(A191,"" ""))))"),"Pinasca")</f>
        <v>Pinasca</v>
      </c>
      <c r="C191" s="6" t="s">
        <v>4</v>
      </c>
      <c r="D191" s="6"/>
      <c r="E191" s="7" t="s">
        <v>5</v>
      </c>
    </row>
    <row r="192">
      <c r="A192" s="4" t="s">
        <v>195</v>
      </c>
      <c r="B192" s="5" t="str">
        <f>IFERROR(__xludf.DUMMYFUNCTION("IF(A192="""","""",INDEX(SPLIT(A192,"" ""),COUNTA(SPLIT(A192,"" ""))))"),"Pinerolo")</f>
        <v>Pinerolo</v>
      </c>
      <c r="C192" s="6" t="s">
        <v>4</v>
      </c>
      <c r="D192" s="6"/>
      <c r="E192" s="7" t="s">
        <v>5</v>
      </c>
    </row>
    <row r="193">
      <c r="A193" s="4" t="s">
        <v>196</v>
      </c>
      <c r="B193" s="5" t="str">
        <f>IFERROR(__xludf.DUMMYFUNCTION("IF(A193="""","""",INDEX(SPLIT(A193,"" ""),COUNTA(SPLIT(A193,"" ""))))"),"Torinese")</f>
        <v>Torinese</v>
      </c>
      <c r="C193" s="6" t="s">
        <v>4</v>
      </c>
      <c r="D193" s="6"/>
      <c r="E193" s="7" t="s">
        <v>5</v>
      </c>
    </row>
    <row r="194">
      <c r="A194" s="4" t="s">
        <v>197</v>
      </c>
      <c r="B194" s="5" t="str">
        <f>IFERROR(__xludf.DUMMYFUNCTION("IF(A194="""","""",INDEX(SPLIT(A194,"" ""),COUNTA(SPLIT(A194,"" ""))))"),"Torinese")</f>
        <v>Torinese</v>
      </c>
      <c r="C194" s="6" t="s">
        <v>4</v>
      </c>
      <c r="D194" s="6"/>
      <c r="E194" s="7" t="s">
        <v>5</v>
      </c>
    </row>
    <row r="195">
      <c r="A195" s="4" t="s">
        <v>198</v>
      </c>
      <c r="B195" s="5" t="str">
        <f>IFERROR(__xludf.DUMMYFUNCTION("IF(A195="""","""",INDEX(SPLIT(A195,"" ""),COUNTA(SPLIT(A195,"" ""))))"),"Piossasco")</f>
        <v>Piossasco</v>
      </c>
      <c r="C195" s="6" t="s">
        <v>4</v>
      </c>
      <c r="D195" s="6"/>
      <c r="E195" s="7" t="s">
        <v>5</v>
      </c>
    </row>
    <row r="196">
      <c r="A196" s="4" t="s">
        <v>199</v>
      </c>
      <c r="B196" s="5" t="str">
        <f>IFERROR(__xludf.DUMMYFUNCTION("IF(A196="""","""",INDEX(SPLIT(A196,"" ""),COUNTA(SPLIT(A196,"" ""))))"),"Piscina")</f>
        <v>Piscina</v>
      </c>
      <c r="C196" s="6" t="s">
        <v>4</v>
      </c>
      <c r="D196" s="6"/>
      <c r="E196" s="7" t="s">
        <v>5</v>
      </c>
    </row>
    <row r="197">
      <c r="A197" s="4" t="s">
        <v>200</v>
      </c>
      <c r="B197" s="5" t="str">
        <f>IFERROR(__xludf.DUMMYFUNCTION("IF(A197="""","""",INDEX(SPLIT(A197,"" ""),COUNTA(SPLIT(A197,"" ""))))"),"Piverone")</f>
        <v>Piverone</v>
      </c>
      <c r="C197" s="6" t="s">
        <v>4</v>
      </c>
      <c r="D197" s="6"/>
      <c r="E197" s="7" t="s">
        <v>5</v>
      </c>
    </row>
    <row r="198">
      <c r="A198" s="4" t="s">
        <v>201</v>
      </c>
      <c r="B198" s="5" t="str">
        <f>IFERROR(__xludf.DUMMYFUNCTION("IF(A198="""","""",INDEX(SPLIT(A198,"" ""),COUNTA(SPLIT(A198,"" ""))))"),"Poirino")</f>
        <v>Poirino</v>
      </c>
      <c r="C198" s="6" t="s">
        <v>4</v>
      </c>
      <c r="D198" s="6"/>
      <c r="E198" s="7" t="s">
        <v>5</v>
      </c>
    </row>
    <row r="199">
      <c r="A199" s="4" t="s">
        <v>202</v>
      </c>
      <c r="B199" s="5" t="str">
        <f>IFERROR(__xludf.DUMMYFUNCTION("IF(A199="""","""",INDEX(SPLIT(A199,"" ""),COUNTA(SPLIT(A199,"" ""))))"),"Pomaretto")</f>
        <v>Pomaretto</v>
      </c>
      <c r="C199" s="6" t="s">
        <v>4</v>
      </c>
      <c r="D199" s="6"/>
      <c r="E199" s="7" t="s">
        <v>5</v>
      </c>
    </row>
    <row r="200">
      <c r="A200" s="4" t="s">
        <v>203</v>
      </c>
      <c r="B200" s="5" t="str">
        <f>IFERROR(__xludf.DUMMYFUNCTION("IF(A200="""","""",INDEX(SPLIT(A200,"" ""),COUNTA(SPLIT(A200,"" ""))))"),"PontCanavese")</f>
        <v>PontCanavese</v>
      </c>
      <c r="C200" s="6" t="s">
        <v>4</v>
      </c>
      <c r="D200" s="6"/>
      <c r="E200" s="7" t="s">
        <v>5</v>
      </c>
    </row>
    <row r="201">
      <c r="A201" s="4" t="s">
        <v>204</v>
      </c>
      <c r="B201" s="5" t="str">
        <f>IFERROR(__xludf.DUMMYFUNCTION("IF(A201="""","""",INDEX(SPLIT(A201,"" ""),COUNTA(SPLIT(A201,"" ""))))"),"Porte")</f>
        <v>Porte</v>
      </c>
      <c r="C201" s="6" t="s">
        <v>4</v>
      </c>
      <c r="D201" s="6"/>
      <c r="E201" s="7" t="s">
        <v>5</v>
      </c>
    </row>
    <row r="202">
      <c r="A202" s="4" t="s">
        <v>205</v>
      </c>
      <c r="B202" s="5" t="str">
        <f>IFERROR(__xludf.DUMMYFUNCTION("IF(A202="""","""",INDEX(SPLIT(A202,"" ""),COUNTA(SPLIT(A202,"" ""))))"),"Pragelato")</f>
        <v>Pragelato</v>
      </c>
      <c r="C202" s="6" t="s">
        <v>4</v>
      </c>
      <c r="D202" s="6"/>
      <c r="E202" s="7" t="s">
        <v>5</v>
      </c>
    </row>
    <row r="203">
      <c r="A203" s="4" t="s">
        <v>206</v>
      </c>
      <c r="B203" s="5" t="str">
        <f>IFERROR(__xludf.DUMMYFUNCTION("IF(A203="""","""",INDEX(SPLIT(A203,"" ""),COUNTA(SPLIT(A203,"" ""))))"),"Prali")</f>
        <v>Prali</v>
      </c>
      <c r="C203" s="6" t="s">
        <v>4</v>
      </c>
      <c r="D203" s="6"/>
      <c r="E203" s="7" t="s">
        <v>5</v>
      </c>
    </row>
    <row r="204">
      <c r="A204" s="4" t="s">
        <v>207</v>
      </c>
      <c r="B204" s="5" t="str">
        <f>IFERROR(__xludf.DUMMYFUNCTION("IF(A204="""","""",INDEX(SPLIT(A204,"" ""),COUNTA(SPLIT(A204,"" ""))))"),"Pralormo")</f>
        <v>Pralormo</v>
      </c>
      <c r="C204" s="6" t="s">
        <v>4</v>
      </c>
      <c r="D204" s="6"/>
      <c r="E204" s="7" t="s">
        <v>5</v>
      </c>
    </row>
    <row r="205">
      <c r="A205" s="4" t="s">
        <v>208</v>
      </c>
      <c r="B205" s="5" t="str">
        <f>IFERROR(__xludf.DUMMYFUNCTION("IF(A205="""","""",INDEX(SPLIT(A205,"" ""),COUNTA(SPLIT(A205,"" ""))))"),"Pramollo")</f>
        <v>Pramollo</v>
      </c>
      <c r="C205" s="6" t="s">
        <v>4</v>
      </c>
      <c r="D205" s="6"/>
      <c r="E205" s="7" t="s">
        <v>5</v>
      </c>
    </row>
    <row r="206">
      <c r="A206" s="4" t="s">
        <v>209</v>
      </c>
      <c r="B206" s="5" t="str">
        <f>IFERROR(__xludf.DUMMYFUNCTION("IF(A206="""","""",INDEX(SPLIT(A206,"" ""),COUNTA(SPLIT(A206,"" ""))))"),"Prarostino")</f>
        <v>Prarostino</v>
      </c>
      <c r="C206" s="6" t="s">
        <v>4</v>
      </c>
      <c r="D206" s="6"/>
      <c r="E206" s="7" t="s">
        <v>5</v>
      </c>
    </row>
    <row r="207">
      <c r="A207" s="4" t="s">
        <v>210</v>
      </c>
      <c r="B207" s="5" t="str">
        <f>IFERROR(__xludf.DUMMYFUNCTION("IF(A207="""","""",INDEX(SPLIT(A207,"" ""),COUNTA(SPLIT(A207,"" ""))))"),"Prascorsano")</f>
        <v>Prascorsano</v>
      </c>
      <c r="C207" s="6" t="s">
        <v>4</v>
      </c>
      <c r="D207" s="6"/>
      <c r="E207" s="7" t="s">
        <v>5</v>
      </c>
    </row>
    <row r="208">
      <c r="A208" s="4" t="s">
        <v>211</v>
      </c>
      <c r="B208" s="5" t="str">
        <f>IFERROR(__xludf.DUMMYFUNCTION("IF(A208="""","""",INDEX(SPLIT(A208,"" ""),COUNTA(SPLIT(A208,"" ""))))"),"Pratiglione")</f>
        <v>Pratiglione</v>
      </c>
      <c r="C208" s="6" t="s">
        <v>4</v>
      </c>
      <c r="D208" s="6"/>
      <c r="E208" s="7" t="s">
        <v>5</v>
      </c>
    </row>
    <row r="209">
      <c r="A209" s="4" t="s">
        <v>212</v>
      </c>
      <c r="B209" s="5" t="str">
        <f>IFERROR(__xludf.DUMMYFUNCTION("IF(A209="""","""",INDEX(SPLIT(A209,"" ""),COUNTA(SPLIT(A209,"" ""))))"),"Quagliuzzo")</f>
        <v>Quagliuzzo</v>
      </c>
      <c r="C209" s="6" t="s">
        <v>4</v>
      </c>
      <c r="D209" s="6"/>
      <c r="E209" s="7" t="s">
        <v>5</v>
      </c>
    </row>
    <row r="210">
      <c r="A210" s="4" t="s">
        <v>213</v>
      </c>
      <c r="B210" s="5" t="str">
        <f>IFERROR(__xludf.DUMMYFUNCTION("IF(A210="""","""",INDEX(SPLIT(A210,"" ""),COUNTA(SPLIT(A210,"" ""))))"),"Quassolo")</f>
        <v>Quassolo</v>
      </c>
      <c r="C210" s="6" t="s">
        <v>4</v>
      </c>
      <c r="D210" s="6"/>
      <c r="E210" s="7" t="s">
        <v>5</v>
      </c>
    </row>
    <row r="211">
      <c r="A211" s="4" t="s">
        <v>214</v>
      </c>
      <c r="B211" s="5" t="str">
        <f>IFERROR(__xludf.DUMMYFUNCTION("IF(A211="""","""",INDEX(SPLIT(A211,"" ""),COUNTA(SPLIT(A211,"" ""))))"),"Quincinetto")</f>
        <v>Quincinetto</v>
      </c>
      <c r="C211" s="6" t="s">
        <v>4</v>
      </c>
      <c r="D211" s="6"/>
      <c r="E211" s="7" t="s">
        <v>5</v>
      </c>
    </row>
    <row r="212">
      <c r="A212" s="4" t="s">
        <v>215</v>
      </c>
      <c r="B212" s="5" t="str">
        <f>IFERROR(__xludf.DUMMYFUNCTION("IF(A212="""","""",INDEX(SPLIT(A212,"" ""),COUNTA(SPLIT(A212,"" ""))))"),"Reano")</f>
        <v>Reano</v>
      </c>
      <c r="C212" s="6" t="s">
        <v>4</v>
      </c>
      <c r="D212" s="6"/>
      <c r="E212" s="7" t="s">
        <v>5</v>
      </c>
    </row>
    <row r="213">
      <c r="A213" s="4" t="s">
        <v>216</v>
      </c>
      <c r="B213" s="5" t="str">
        <f>IFERROR(__xludf.DUMMYFUNCTION("IF(A213="""","""",INDEX(SPLIT(A213,"" ""),COUNTA(SPLIT(A213,"" ""))))"),"Ribordone")</f>
        <v>Ribordone</v>
      </c>
      <c r="C213" s="6" t="s">
        <v>4</v>
      </c>
      <c r="D213" s="6"/>
      <c r="E213" s="7" t="s">
        <v>5</v>
      </c>
    </row>
    <row r="214">
      <c r="A214" s="4" t="s">
        <v>217</v>
      </c>
      <c r="B214" s="5" t="str">
        <f>IFERROR(__xludf.DUMMYFUNCTION("IF(A214="""","""",INDEX(SPLIT(A214,"" ""),COUNTA(SPLIT(A214,"" ""))))"),"Rivalba")</f>
        <v>Rivalba</v>
      </c>
      <c r="C214" s="6" t="s">
        <v>4</v>
      </c>
      <c r="D214" s="6"/>
      <c r="E214" s="7" t="s">
        <v>5</v>
      </c>
    </row>
    <row r="215">
      <c r="A215" s="4" t="s">
        <v>218</v>
      </c>
      <c r="B215" s="5" t="str">
        <f>IFERROR(__xludf.DUMMYFUNCTION("IF(A215="""","""",INDEX(SPLIT(A215,"" ""),COUNTA(SPLIT(A215,"" ""))))"),"Torino")</f>
        <v>Torino</v>
      </c>
      <c r="C215" s="6" t="s">
        <v>4</v>
      </c>
      <c r="D215" s="6"/>
      <c r="E215" s="7" t="s">
        <v>5</v>
      </c>
    </row>
    <row r="216">
      <c r="A216" s="4" t="s">
        <v>219</v>
      </c>
      <c r="B216" s="5" t="str">
        <f>IFERROR(__xludf.DUMMYFUNCTION("IF(A216="""","""",INDEX(SPLIT(A216,"" ""),COUNTA(SPLIT(A216,"" ""))))"),"Chieri")</f>
        <v>Chieri</v>
      </c>
      <c r="C216" s="6" t="s">
        <v>4</v>
      </c>
      <c r="D216" s="6"/>
      <c r="E216" s="7" t="s">
        <v>5</v>
      </c>
    </row>
    <row r="217">
      <c r="A217" s="4" t="s">
        <v>220</v>
      </c>
      <c r="B217" s="5" t="str">
        <f>IFERROR(__xludf.DUMMYFUNCTION("IF(A217="""","""",INDEX(SPLIT(A217,"" ""),COUNTA(SPLIT(A217,"" ""))))"),"Rivara")</f>
        <v>Rivara</v>
      </c>
      <c r="C217" s="6" t="s">
        <v>4</v>
      </c>
      <c r="D217" s="6"/>
      <c r="E217" s="7" t="s">
        <v>5</v>
      </c>
    </row>
    <row r="218">
      <c r="A218" s="4" t="s">
        <v>221</v>
      </c>
      <c r="B218" s="5" t="str">
        <f>IFERROR(__xludf.DUMMYFUNCTION("IF(A218="""","""",INDEX(SPLIT(A218,"" ""),COUNTA(SPLIT(A218,"" ""))))"),"Canavese")</f>
        <v>Canavese</v>
      </c>
      <c r="C218" s="6" t="s">
        <v>4</v>
      </c>
      <c r="D218" s="6"/>
      <c r="E218" s="7" t="s">
        <v>5</v>
      </c>
    </row>
    <row r="219">
      <c r="A219" s="4" t="s">
        <v>222</v>
      </c>
      <c r="B219" s="5" t="str">
        <f>IFERROR(__xludf.DUMMYFUNCTION("IF(A219="""","""",INDEX(SPLIT(A219,"" ""),COUNTA(SPLIT(A219,"" ""))))"),"Rivarossa")</f>
        <v>Rivarossa</v>
      </c>
      <c r="C219" s="6" t="s">
        <v>4</v>
      </c>
      <c r="D219" s="6"/>
      <c r="E219" s="7" t="s">
        <v>5</v>
      </c>
    </row>
    <row r="220">
      <c r="A220" s="4" t="s">
        <v>223</v>
      </c>
      <c r="B220" s="5" t="str">
        <f>IFERROR(__xludf.DUMMYFUNCTION("IF(A220="""","""",INDEX(SPLIT(A220,"" ""),COUNTA(SPLIT(A220,"" ""))))"),"Rivoli")</f>
        <v>Rivoli</v>
      </c>
      <c r="C220" s="6" t="s">
        <v>4</v>
      </c>
      <c r="D220" s="6"/>
      <c r="E220" s="7" t="s">
        <v>5</v>
      </c>
    </row>
    <row r="221">
      <c r="A221" s="4" t="s">
        <v>224</v>
      </c>
      <c r="B221" s="5" t="str">
        <f>IFERROR(__xludf.DUMMYFUNCTION("IF(A221="""","""",INDEX(SPLIT(A221,"" ""),COUNTA(SPLIT(A221,"" ""))))"),"Robassomero")</f>
        <v>Robassomero</v>
      </c>
      <c r="C221" s="6" t="s">
        <v>4</v>
      </c>
      <c r="D221" s="6"/>
      <c r="E221" s="7" t="s">
        <v>5</v>
      </c>
    </row>
    <row r="222">
      <c r="A222" s="4" t="s">
        <v>225</v>
      </c>
      <c r="B222" s="5" t="str">
        <f>IFERROR(__xludf.DUMMYFUNCTION("IF(A222="""","""",INDEX(SPLIT(A222,"" ""),COUNTA(SPLIT(A222,"" ""))))"),"Canavese")</f>
        <v>Canavese</v>
      </c>
      <c r="C222" s="6" t="s">
        <v>4</v>
      </c>
      <c r="D222" s="6"/>
      <c r="E222" s="7" t="s">
        <v>5</v>
      </c>
    </row>
    <row r="223">
      <c r="A223" s="4" t="s">
        <v>226</v>
      </c>
      <c r="B223" s="5" t="str">
        <f>IFERROR(__xludf.DUMMYFUNCTION("IF(A223="""","""",INDEX(SPLIT(A223,"" ""),COUNTA(SPLIT(A223,"" ""))))"),"Roletto")</f>
        <v>Roletto</v>
      </c>
      <c r="C223" s="6" t="s">
        <v>4</v>
      </c>
      <c r="D223" s="6"/>
      <c r="E223" s="7" t="s">
        <v>5</v>
      </c>
    </row>
    <row r="224">
      <c r="A224" s="4" t="s">
        <v>227</v>
      </c>
      <c r="B224" s="5" t="str">
        <f>IFERROR(__xludf.DUMMYFUNCTION("IF(A224="""","""",INDEX(SPLIT(A224,"" ""),COUNTA(SPLIT(A224,"" ""))))"),"Canavese")</f>
        <v>Canavese</v>
      </c>
      <c r="C224" s="6" t="s">
        <v>4</v>
      </c>
      <c r="D224" s="6"/>
      <c r="E224" s="7" t="s">
        <v>5</v>
      </c>
    </row>
    <row r="225">
      <c r="A225" s="4" t="s">
        <v>228</v>
      </c>
      <c r="B225" s="5" t="str">
        <f>IFERROR(__xludf.DUMMYFUNCTION("IF(A225="""","""",INDEX(SPLIT(A225,"" ""),COUNTA(SPLIT(A225,"" ""))))"),"Canavese")</f>
        <v>Canavese</v>
      </c>
      <c r="C225" s="6" t="s">
        <v>4</v>
      </c>
      <c r="D225" s="6"/>
      <c r="E225" s="7" t="s">
        <v>5</v>
      </c>
    </row>
    <row r="226">
      <c r="A226" s="4" t="s">
        <v>229</v>
      </c>
      <c r="B226" s="5" t="str">
        <f>IFERROR(__xludf.DUMMYFUNCTION("IF(A226="""","""",INDEX(SPLIT(A226,"" ""),COUNTA(SPLIT(A226,"" ""))))"),"Rondissone")</f>
        <v>Rondissone</v>
      </c>
      <c r="C226" s="6" t="s">
        <v>4</v>
      </c>
      <c r="D226" s="6"/>
      <c r="E226" s="7" t="s">
        <v>5</v>
      </c>
    </row>
    <row r="227">
      <c r="A227" s="4" t="s">
        <v>230</v>
      </c>
      <c r="B227" s="5" t="str">
        <f>IFERROR(__xludf.DUMMYFUNCTION("IF(A227="""","""",INDEX(SPLIT(A227,"" ""),COUNTA(SPLIT(A227,"" ""))))"),"Rorà")</f>
        <v>Rorà</v>
      </c>
      <c r="C227" s="6" t="s">
        <v>4</v>
      </c>
      <c r="D227" s="6"/>
      <c r="E227" s="7" t="s">
        <v>5</v>
      </c>
    </row>
    <row r="228">
      <c r="A228" s="4" t="s">
        <v>231</v>
      </c>
      <c r="B228" s="5" t="str">
        <f>IFERROR(__xludf.DUMMYFUNCTION("IF(A228="""","""",INDEX(SPLIT(A228,"" ""),COUNTA(SPLIT(A228,"" ""))))"),"Roure")</f>
        <v>Roure</v>
      </c>
      <c r="C228" s="6" t="s">
        <v>4</v>
      </c>
      <c r="D228" s="6"/>
      <c r="E228" s="7" t="s">
        <v>5</v>
      </c>
    </row>
    <row r="229">
      <c r="A229" s="4" t="s">
        <v>232</v>
      </c>
      <c r="B229" s="5" t="str">
        <f>IFERROR(__xludf.DUMMYFUNCTION("IF(A229="""","""",INDEX(SPLIT(A229,"" ""),COUNTA(SPLIT(A229,"" ""))))"),"Rosta")</f>
        <v>Rosta</v>
      </c>
      <c r="C229" s="6" t="s">
        <v>4</v>
      </c>
      <c r="D229" s="6"/>
      <c r="E229" s="7" t="s">
        <v>5</v>
      </c>
    </row>
    <row r="230">
      <c r="A230" s="4" t="s">
        <v>233</v>
      </c>
      <c r="B230" s="5" t="str">
        <f>IFERROR(__xludf.DUMMYFUNCTION("IF(A230="""","""",INDEX(SPLIT(A230,"" ""),COUNTA(SPLIT(A230,"" ""))))"),"Rubiana")</f>
        <v>Rubiana</v>
      </c>
      <c r="C230" s="6" t="s">
        <v>4</v>
      </c>
      <c r="D230" s="6"/>
      <c r="E230" s="7" t="s">
        <v>5</v>
      </c>
    </row>
    <row r="231">
      <c r="A231" s="4" t="s">
        <v>234</v>
      </c>
      <c r="B231" s="5" t="str">
        <f>IFERROR(__xludf.DUMMYFUNCTION("IF(A231="""","""",INDEX(SPLIT(A231,"" ""),COUNTA(SPLIT(A231,"" ""))))"),"Rueglio")</f>
        <v>Rueglio</v>
      </c>
      <c r="C231" s="6" t="s">
        <v>4</v>
      </c>
      <c r="D231" s="6"/>
      <c r="E231" s="7" t="s">
        <v>5</v>
      </c>
    </row>
    <row r="232">
      <c r="A232" s="4" t="s">
        <v>235</v>
      </c>
      <c r="B232" s="5" t="str">
        <f>IFERROR(__xludf.DUMMYFUNCTION("IF(A232="""","""",INDEX(SPLIT(A232,"" ""),COUNTA(SPLIT(A232,"" ""))))"),"Salassa")</f>
        <v>Salassa</v>
      </c>
      <c r="C232" s="6" t="s">
        <v>4</v>
      </c>
      <c r="D232" s="6"/>
      <c r="E232" s="7" t="s">
        <v>5</v>
      </c>
    </row>
    <row r="233">
      <c r="A233" s="4" t="s">
        <v>236</v>
      </c>
      <c r="B233" s="5" t="str">
        <f>IFERROR(__xludf.DUMMYFUNCTION("IF(A233="""","""",INDEX(SPLIT(A233,"" ""),COUNTA(SPLIT(A233,"" ""))))"),"Salbertrand")</f>
        <v>Salbertrand</v>
      </c>
      <c r="C233" s="6" t="s">
        <v>4</v>
      </c>
      <c r="D233" s="6"/>
      <c r="E233" s="7" t="s">
        <v>5</v>
      </c>
    </row>
    <row r="234">
      <c r="A234" s="4" t="s">
        <v>237</v>
      </c>
      <c r="B234" s="5" t="str">
        <f>IFERROR(__xludf.DUMMYFUNCTION("IF(A234="""","""",INDEX(SPLIT(A234,"" ""),COUNTA(SPLIT(A234,"" ""))))"),"Canavese")</f>
        <v>Canavese</v>
      </c>
      <c r="C234" s="6" t="s">
        <v>4</v>
      </c>
      <c r="D234" s="6"/>
      <c r="E234" s="7" t="s">
        <v>5</v>
      </c>
    </row>
    <row r="235">
      <c r="A235" s="4" t="s">
        <v>238</v>
      </c>
      <c r="B235" s="5" t="str">
        <f>IFERROR(__xludf.DUMMYFUNCTION("IF(A235="""","""",INDEX(SPLIT(A235,"" ""),COUNTA(SPLIT(A235,"" ""))))"),"Pinerolo")</f>
        <v>Pinerolo</v>
      </c>
      <c r="C235" s="6" t="s">
        <v>4</v>
      </c>
      <c r="D235" s="6"/>
      <c r="E235" s="7" t="s">
        <v>5</v>
      </c>
    </row>
    <row r="236">
      <c r="A236" s="4" t="s">
        <v>239</v>
      </c>
      <c r="B236" s="5" t="str">
        <f>IFERROR(__xludf.DUMMYFUNCTION("IF(A236="""","""",INDEX(SPLIT(A236,"" ""),COUNTA(SPLIT(A236,"" ""))))"),"Samone")</f>
        <v>Samone</v>
      </c>
      <c r="C236" s="6" t="s">
        <v>4</v>
      </c>
      <c r="D236" s="6"/>
      <c r="E236" s="7" t="s">
        <v>5</v>
      </c>
    </row>
    <row r="237">
      <c r="A237" s="4" t="s">
        <v>240</v>
      </c>
      <c r="B237" s="5" t="str">
        <f>IFERROR(__xludf.DUMMYFUNCTION("IF(A237="""","""",INDEX(SPLIT(A237,"" ""),COUNTA(SPLIT(A237,"" ""))))"),"Canavese")</f>
        <v>Canavese</v>
      </c>
      <c r="C237" s="6" t="s">
        <v>4</v>
      </c>
      <c r="D237" s="6"/>
      <c r="E237" s="7" t="s">
        <v>5</v>
      </c>
    </row>
    <row r="238">
      <c r="A238" s="4" t="s">
        <v>241</v>
      </c>
      <c r="B238" s="5" t="str">
        <f>IFERROR(__xludf.DUMMYFUNCTION("IF(A238="""","""",INDEX(SPLIT(A238,"" ""),COUNTA(SPLIT(A238,"" ""))))"),"Canavese")</f>
        <v>Canavese</v>
      </c>
      <c r="C238" s="6" t="s">
        <v>4</v>
      </c>
      <c r="D238" s="6"/>
      <c r="E238" s="7" t="s">
        <v>5</v>
      </c>
    </row>
    <row r="239">
      <c r="A239" s="4" t="s">
        <v>242</v>
      </c>
      <c r="B239" s="5" t="str">
        <f>IFERROR(__xludf.DUMMYFUNCTION("IF(A239="""","""",INDEX(SPLIT(A239,"" ""),COUNTA(SPLIT(A239,"" ""))))"),"Belmonte")</f>
        <v>Belmonte</v>
      </c>
      <c r="C239" s="6" t="s">
        <v>4</v>
      </c>
      <c r="D239" s="6"/>
      <c r="E239" s="7" t="s">
        <v>5</v>
      </c>
    </row>
    <row r="240">
      <c r="A240" s="4" t="s">
        <v>243</v>
      </c>
      <c r="B240" s="5" t="str">
        <f>IFERROR(__xludf.DUMMYFUNCTION("IF(A240="""","""",INDEX(SPLIT(A240,"" ""),COUNTA(SPLIT(A240,"" ""))))"),"Didero")</f>
        <v>Didero</v>
      </c>
      <c r="C240" s="6" t="s">
        <v>4</v>
      </c>
      <c r="D240" s="6"/>
      <c r="E240" s="7" t="s">
        <v>5</v>
      </c>
    </row>
    <row r="241">
      <c r="A241" s="4" t="s">
        <v>244</v>
      </c>
      <c r="B241" s="5" t="str">
        <f>IFERROR(__xludf.DUMMYFUNCTION("IF(A241="""","""",INDEX(SPLIT(A241,"" ""),COUNTA(SPLIT(A241,"" ""))))"),"Campo")</f>
        <v>Campo</v>
      </c>
      <c r="C241" s="6" t="s">
        <v>4</v>
      </c>
      <c r="D241" s="6"/>
      <c r="E241" s="7" t="s">
        <v>5</v>
      </c>
    </row>
    <row r="242">
      <c r="A242" s="4" t="s">
        <v>245</v>
      </c>
      <c r="B242" s="5" t="str">
        <f>IFERROR(__xludf.DUMMYFUNCTION("IF(A242="""","""",INDEX(SPLIT(A242,"" ""),COUNTA(SPLIT(A242,"" ""))))"),"Sangano")</f>
        <v>Sangano</v>
      </c>
      <c r="C242" s="6" t="s">
        <v>4</v>
      </c>
      <c r="D242" s="6"/>
      <c r="E242" s="7" t="s">
        <v>5</v>
      </c>
    </row>
    <row r="243">
      <c r="A243" s="4" t="s">
        <v>246</v>
      </c>
      <c r="B243" s="5" t="str">
        <f>IFERROR(__xludf.DUMMYFUNCTION("IF(A243="""","""",INDEX(SPLIT(A243,"" ""),COUNTA(SPLIT(A243,"" ""))))"),"Chisone")</f>
        <v>Chisone</v>
      </c>
      <c r="C243" s="6" t="s">
        <v>4</v>
      </c>
      <c r="D243" s="6"/>
      <c r="E243" s="7" t="s">
        <v>5</v>
      </c>
    </row>
    <row r="244">
      <c r="A244" s="4" t="s">
        <v>247</v>
      </c>
      <c r="B244" s="5" t="str">
        <f>IFERROR(__xludf.DUMMYFUNCTION("IF(A244="""","""",INDEX(SPLIT(A244,"" ""),COUNTA(SPLIT(A244,"" ""))))"),"Gillio")</f>
        <v>Gillio</v>
      </c>
      <c r="C244" s="6" t="s">
        <v>4</v>
      </c>
      <c r="D244" s="6"/>
      <c r="E244" s="7" t="s">
        <v>5</v>
      </c>
    </row>
    <row r="245">
      <c r="A245" s="4" t="s">
        <v>248</v>
      </c>
      <c r="B245" s="5" t="str">
        <f>IFERROR(__xludf.DUMMYFUNCTION("IF(A245="""","""",INDEX(SPLIT(A245,"" ""),COUNTA(SPLIT(A245,"" ""))))"),"Canavese")</f>
        <v>Canavese</v>
      </c>
      <c r="C245" s="6" t="s">
        <v>4</v>
      </c>
      <c r="D245" s="6"/>
      <c r="E245" s="7" t="s">
        <v>5</v>
      </c>
    </row>
    <row r="246">
      <c r="A246" s="4" t="s">
        <v>249</v>
      </c>
      <c r="B246" s="5" t="str">
        <f>IFERROR(__xludf.DUMMYFUNCTION("IF(A246="""","""",INDEX(SPLIT(A246,"" ""),COUNTA(SPLIT(A246,"" ""))))"),"Susa")</f>
        <v>Susa</v>
      </c>
      <c r="C246" s="6" t="s">
        <v>4</v>
      </c>
      <c r="D246" s="6"/>
      <c r="E246" s="7" t="s">
        <v>5</v>
      </c>
    </row>
    <row r="247">
      <c r="A247" s="4" t="s">
        <v>250</v>
      </c>
      <c r="B247" s="5" t="str">
        <f>IFERROR(__xludf.DUMMYFUNCTION("IF(A247="""","""",INDEX(SPLIT(A247,"" ""),COUNTA(SPLIT(A247,"" ""))))"),"Canavese")</f>
        <v>Canavese</v>
      </c>
      <c r="C247" s="6" t="s">
        <v>4</v>
      </c>
      <c r="D247" s="6"/>
      <c r="E247" s="7" t="s">
        <v>5</v>
      </c>
    </row>
    <row r="248">
      <c r="A248" s="4" t="s">
        <v>251</v>
      </c>
      <c r="B248" s="5" t="str">
        <f>IFERROR(__xludf.DUMMYFUNCTION("IF(A248="""","""",INDEX(SPLIT(A248,"" ""),COUNTA(SPLIT(A248,"" ""))))"),"Canavese")</f>
        <v>Canavese</v>
      </c>
      <c r="C248" s="6" t="s">
        <v>4</v>
      </c>
      <c r="D248" s="6"/>
      <c r="E248" s="7" t="s">
        <v>5</v>
      </c>
    </row>
    <row r="249">
      <c r="A249" s="4" t="s">
        <v>252</v>
      </c>
      <c r="B249" s="5" t="str">
        <f>IFERROR(__xludf.DUMMYFUNCTION("IF(A249="""","""",INDEX(SPLIT(A249,"" ""),COUNTA(SPLIT(A249,"" ""))))"),"Canavese")</f>
        <v>Canavese</v>
      </c>
      <c r="C249" s="6" t="s">
        <v>4</v>
      </c>
      <c r="D249" s="6"/>
      <c r="E249" s="7" t="s">
        <v>5</v>
      </c>
    </row>
    <row r="250">
      <c r="A250" s="4" t="s">
        <v>253</v>
      </c>
      <c r="B250" s="5" t="str">
        <f>IFERROR(__xludf.DUMMYFUNCTION("IF(A250="""","""",INDEX(SPLIT(A250,"" ""),COUNTA(SPLIT(A250,"" ""))))"),"Torinese")</f>
        <v>Torinese</v>
      </c>
      <c r="C250" s="6" t="s">
        <v>4</v>
      </c>
      <c r="D250" s="6"/>
      <c r="E250" s="7" t="s">
        <v>5</v>
      </c>
    </row>
    <row r="251">
      <c r="A251" s="4" t="s">
        <v>254</v>
      </c>
      <c r="B251" s="5" t="str">
        <f>IFERROR(__xludf.DUMMYFUNCTION("IF(A251="""","""",INDEX(SPLIT(A251,"" ""),COUNTA(SPLIT(A251,"" ""))))"),"Lemina")</f>
        <v>Lemina</v>
      </c>
      <c r="C251" s="6" t="s">
        <v>4</v>
      </c>
      <c r="D251" s="6"/>
      <c r="E251" s="7" t="s">
        <v>5</v>
      </c>
    </row>
    <row r="252">
      <c r="A252" s="4" t="s">
        <v>255</v>
      </c>
      <c r="B252" s="5" t="str">
        <f>IFERROR(__xludf.DUMMYFUNCTION("IF(A252="""","""",INDEX(SPLIT(A252,"" ""),COUNTA(SPLIT(A252,"" ""))))"),"Ponso")</f>
        <v>Ponso</v>
      </c>
      <c r="C252" s="6" t="s">
        <v>4</v>
      </c>
      <c r="D252" s="6"/>
      <c r="E252" s="7" t="s">
        <v>5</v>
      </c>
    </row>
    <row r="253">
      <c r="A253" s="4" t="s">
        <v>256</v>
      </c>
      <c r="B253" s="5" t="str">
        <f>IFERROR(__xludf.DUMMYFUNCTION("IF(A253="""","""",INDEX(SPLIT(A253,"" ""),COUNTA(SPLIT(A253,"" ""))))"),"Cimena")</f>
        <v>Cimena</v>
      </c>
      <c r="C253" s="6" t="s">
        <v>4</v>
      </c>
      <c r="D253" s="6"/>
      <c r="E253" s="7" t="s">
        <v>5</v>
      </c>
    </row>
    <row r="254">
      <c r="A254" s="4" t="s">
        <v>257</v>
      </c>
      <c r="B254" s="5" t="str">
        <f>IFERROR(__xludf.DUMMYFUNCTION("IF(A254="""","""",INDEX(SPLIT(A254,"" ""),COUNTA(SPLIT(A254,"" ""))))"),"Po")</f>
        <v>Po</v>
      </c>
      <c r="C254" s="6" t="s">
        <v>4</v>
      </c>
      <c r="D254" s="6"/>
      <c r="E254" s="7" t="s">
        <v>5</v>
      </c>
    </row>
    <row r="255">
      <c r="A255" s="4" t="s">
        <v>258</v>
      </c>
      <c r="B255" s="5" t="str">
        <f>IFERROR(__xludf.DUMMYFUNCTION("IF(A255="""","""",INDEX(SPLIT(A255,"" ""),COUNTA(SPLIT(A255,"" ""))))"),"Pinerolo")</f>
        <v>Pinerolo</v>
      </c>
      <c r="C255" s="6" t="s">
        <v>4</v>
      </c>
      <c r="D255" s="6"/>
      <c r="E255" s="7" t="s">
        <v>5</v>
      </c>
    </row>
    <row r="256">
      <c r="A256" s="4" t="s">
        <v>259</v>
      </c>
      <c r="B256" s="5" t="str">
        <f>IFERROR(__xludf.DUMMYFUNCTION("IF(A256="""","""",INDEX(SPLIT(A256,"" ""),COUNTA(SPLIT(A256,"" ""))))"),"Torino")</f>
        <v>Torino</v>
      </c>
      <c r="C256" s="6" t="s">
        <v>4</v>
      </c>
      <c r="D256" s="6"/>
      <c r="E256" s="7" t="s">
        <v>5</v>
      </c>
    </row>
    <row r="257">
      <c r="A257" s="4" t="s">
        <v>260</v>
      </c>
      <c r="B257" s="5" t="str">
        <f>IFERROR(__xludf.DUMMYFUNCTION("IF(A257="""","""",INDEX(SPLIT(A257,"" ""),COUNTA(SPLIT(A257,"" ""))))"),"Susa")</f>
        <v>Susa</v>
      </c>
      <c r="C257" s="6" t="s">
        <v>4</v>
      </c>
      <c r="D257" s="6"/>
      <c r="E257" s="7" t="s">
        <v>5</v>
      </c>
    </row>
    <row r="258">
      <c r="A258" s="4" t="s">
        <v>261</v>
      </c>
      <c r="B258" s="5" t="str">
        <f>IFERROR(__xludf.DUMMYFUNCTION("IF(A258="""","""",INDEX(SPLIT(A258,"" ""),COUNTA(SPLIT(A258,"" ""))))"),"Santena")</f>
        <v>Santena</v>
      </c>
      <c r="C258" s="6" t="s">
        <v>4</v>
      </c>
      <c r="D258" s="6"/>
      <c r="E258" s="7" t="s">
        <v>5</v>
      </c>
    </row>
    <row r="259">
      <c r="A259" s="4" t="s">
        <v>262</v>
      </c>
      <c r="B259" s="5" t="str">
        <f>IFERROR(__xludf.DUMMYFUNCTION("IF(A259="""","""",INDEX(SPLIT(A259,"" ""),COUNTA(SPLIT(A259,"" ""))))"),"Cesana")</f>
        <v>Cesana</v>
      </c>
      <c r="C259" s="6" t="s">
        <v>4</v>
      </c>
      <c r="D259" s="6"/>
      <c r="E259" s="7" t="s">
        <v>5</v>
      </c>
    </row>
    <row r="260">
      <c r="A260" s="4" t="s">
        <v>263</v>
      </c>
      <c r="B260" s="5" t="str">
        <f>IFERROR(__xludf.DUMMYFUNCTION("IF(A260="""","""",INDEX(SPLIT(A260,"" ""),COUNTA(SPLIT(A260,"" ""))))"),"d'Oulx")</f>
        <v>d'Oulx</v>
      </c>
      <c r="C260" s="6" t="s">
        <v>4</v>
      </c>
      <c r="D260" s="6"/>
      <c r="E260" s="7" t="s">
        <v>5</v>
      </c>
    </row>
    <row r="261">
      <c r="A261" s="4" t="s">
        <v>264</v>
      </c>
      <c r="B261" s="5" t="str">
        <f>IFERROR(__xludf.DUMMYFUNCTION("IF(A261="""","""",INDEX(SPLIT(A261,"" ""),COUNTA(SPLIT(A261,"" ""))))"),"Scalenghe")</f>
        <v>Scalenghe</v>
      </c>
      <c r="C261" s="6" t="s">
        <v>4</v>
      </c>
      <c r="D261" s="6"/>
      <c r="E261" s="7" t="s">
        <v>5</v>
      </c>
    </row>
    <row r="262">
      <c r="A262" s="4" t="s">
        <v>265</v>
      </c>
      <c r="B262" s="5" t="str">
        <f>IFERROR(__xludf.DUMMYFUNCTION("IF(A262="""","""",INDEX(SPLIT(A262,"" ""),COUNTA(SPLIT(A262,"" ""))))"),"Scarmagno")</f>
        <v>Scarmagno</v>
      </c>
      <c r="C262" s="6" t="s">
        <v>4</v>
      </c>
      <c r="D262" s="6"/>
      <c r="E262" s="7" t="s">
        <v>5</v>
      </c>
    </row>
    <row r="263">
      <c r="A263" s="4" t="s">
        <v>266</v>
      </c>
      <c r="B263" s="5" t="str">
        <f>IFERROR(__xludf.DUMMYFUNCTION("IF(A263="""","""",INDEX(SPLIT(A263,"" ""),COUNTA(SPLIT(A263,"" ""))))"),"Sciolze")</f>
        <v>Sciolze</v>
      </c>
      <c r="C263" s="6" t="s">
        <v>4</v>
      </c>
      <c r="D263" s="6"/>
      <c r="E263" s="7" t="s">
        <v>5</v>
      </c>
    </row>
    <row r="264">
      <c r="A264" s="4" t="s">
        <v>267</v>
      </c>
      <c r="B264" s="5" t="str">
        <f>IFERROR(__xludf.DUMMYFUNCTION("IF(A264="""","""",INDEX(SPLIT(A264,"" ""),COUNTA(SPLIT(A264,"" ""))))"),"Sestriere")</f>
        <v>Sestriere</v>
      </c>
      <c r="C264" s="6" t="s">
        <v>4</v>
      </c>
      <c r="D264" s="6"/>
      <c r="E264" s="7" t="s">
        <v>5</v>
      </c>
    </row>
    <row r="265">
      <c r="A265" s="4" t="s">
        <v>268</v>
      </c>
      <c r="B265" s="5" t="str">
        <f>IFERROR(__xludf.DUMMYFUNCTION("IF(A265="""","""",INDEX(SPLIT(A265,"" ""),COUNTA(SPLIT(A265,"" ""))))"),"Rottaro")</f>
        <v>Rottaro</v>
      </c>
      <c r="C265" s="6" t="s">
        <v>4</v>
      </c>
      <c r="D265" s="6"/>
      <c r="E265" s="7" t="s">
        <v>5</v>
      </c>
    </row>
    <row r="266">
      <c r="A266" s="4" t="s">
        <v>269</v>
      </c>
      <c r="B266" s="5" t="str">
        <f>IFERROR(__xludf.DUMMYFUNCTION("IF(A266="""","""",INDEX(SPLIT(A266,"" ""),COUNTA(SPLIT(A266,"" ""))))"),"Torinese")</f>
        <v>Torinese</v>
      </c>
      <c r="C266" s="6" t="s">
        <v>4</v>
      </c>
      <c r="D266" s="6"/>
      <c r="E266" s="7" t="s">
        <v>5</v>
      </c>
    </row>
    <row r="267">
      <c r="A267" s="4" t="s">
        <v>270</v>
      </c>
      <c r="B267" s="5" t="str">
        <f>IFERROR(__xludf.DUMMYFUNCTION("IF(A267="""","""",INDEX(SPLIT(A267,"" ""),COUNTA(SPLIT(A267,"" ""))))"),"Vittone")</f>
        <v>Vittone</v>
      </c>
      <c r="C267" s="6" t="s">
        <v>4</v>
      </c>
      <c r="D267" s="6"/>
      <c r="E267" s="7" t="s">
        <v>5</v>
      </c>
    </row>
    <row r="268">
      <c r="A268" s="4" t="s">
        <v>271</v>
      </c>
      <c r="B268" s="5" t="str">
        <f>IFERROR(__xludf.DUMMYFUNCTION("IF(A268="""","""",INDEX(SPLIT(A268,"" ""),COUNTA(SPLIT(A268,"" ""))))"),"Sparone")</f>
        <v>Sparone</v>
      </c>
      <c r="C268" s="6" t="s">
        <v>4</v>
      </c>
      <c r="D268" s="6"/>
      <c r="E268" s="7" t="s">
        <v>5</v>
      </c>
    </row>
    <row r="269">
      <c r="A269" s="4" t="s">
        <v>272</v>
      </c>
      <c r="B269" s="5" t="str">
        <f>IFERROR(__xludf.DUMMYFUNCTION("IF(A269="""","""",INDEX(SPLIT(A269,"" ""),COUNTA(SPLIT(A269,"" ""))))"),"Strambinello")</f>
        <v>Strambinello</v>
      </c>
      <c r="C269" s="6" t="s">
        <v>4</v>
      </c>
      <c r="D269" s="6"/>
      <c r="E269" s="7" t="s">
        <v>5</v>
      </c>
    </row>
    <row r="270">
      <c r="A270" s="4" t="s">
        <v>273</v>
      </c>
      <c r="B270" s="5" t="str">
        <f>IFERROR(__xludf.DUMMYFUNCTION("IF(A270="""","""",INDEX(SPLIT(A270,"" ""),COUNTA(SPLIT(A270,"" ""))))"),"Strambino")</f>
        <v>Strambino</v>
      </c>
      <c r="C270" s="6" t="s">
        <v>4</v>
      </c>
      <c r="D270" s="6"/>
      <c r="E270" s="7" t="s">
        <v>5</v>
      </c>
    </row>
    <row r="271">
      <c r="A271" s="4" t="s">
        <v>274</v>
      </c>
      <c r="B271" s="5" t="str">
        <f>IFERROR(__xludf.DUMMYFUNCTION("IF(A271="""","""",INDEX(SPLIT(A271,"" ""),COUNTA(SPLIT(A271,"" ""))))"),"Susa")</f>
        <v>Susa</v>
      </c>
      <c r="C271" s="6" t="s">
        <v>4</v>
      </c>
      <c r="D271" s="6"/>
      <c r="E271" s="7" t="s">
        <v>5</v>
      </c>
    </row>
    <row r="272">
      <c r="A272" s="4" t="s">
        <v>275</v>
      </c>
      <c r="B272" s="5" t="str">
        <f>IFERROR(__xludf.DUMMYFUNCTION("IF(A272="""","""",INDEX(SPLIT(A272,"" ""),COUNTA(SPLIT(A272,"" ""))))"),"Tavagnasco")</f>
        <v>Tavagnasco</v>
      </c>
      <c r="C272" s="6" t="s">
        <v>4</v>
      </c>
      <c r="D272" s="6"/>
      <c r="E272" s="7" t="s">
        <v>5</v>
      </c>
    </row>
    <row r="273">
      <c r="A273" s="4" t="s">
        <v>4</v>
      </c>
      <c r="B273" s="5" t="str">
        <f>IFERROR(__xludf.DUMMYFUNCTION("IF(A273="""","""",INDEX(SPLIT(A273,"" ""),COUNTA(SPLIT(A273,"" ""))))"),"Torino")</f>
        <v>Torino</v>
      </c>
      <c r="C273" s="6" t="s">
        <v>4</v>
      </c>
      <c r="D273" s="6"/>
      <c r="E273" s="7" t="s">
        <v>5</v>
      </c>
    </row>
    <row r="274">
      <c r="A274" s="4" t="s">
        <v>276</v>
      </c>
      <c r="B274" s="5" t="str">
        <f>IFERROR(__xludf.DUMMYFUNCTION("IF(A274="""","""",INDEX(SPLIT(A274,"" ""),COUNTA(SPLIT(A274,"" ""))))"),"Piemonte")</f>
        <v>Piemonte</v>
      </c>
      <c r="C274" s="6" t="s">
        <v>4</v>
      </c>
      <c r="D274" s="6"/>
      <c r="E274" s="7" t="s">
        <v>5</v>
      </c>
    </row>
    <row r="275">
      <c r="A275" s="4" t="s">
        <v>277</v>
      </c>
      <c r="B275" s="5" t="str">
        <f>IFERROR(__xludf.DUMMYFUNCTION("IF(A275="""","""",INDEX(SPLIT(A275,"" ""),COUNTA(SPLIT(A275,"" ""))))"),"Canavese")</f>
        <v>Canavese</v>
      </c>
      <c r="C275" s="6" t="s">
        <v>4</v>
      </c>
      <c r="D275" s="6"/>
      <c r="E275" s="7" t="s">
        <v>5</v>
      </c>
    </row>
    <row r="276">
      <c r="A276" s="4" t="s">
        <v>278</v>
      </c>
      <c r="B276" s="5" t="str">
        <f>IFERROR(__xludf.DUMMYFUNCTION("IF(A276="""","""",INDEX(SPLIT(A276,"" ""),COUNTA(SPLIT(A276,"" ""))))"),"Pellice")</f>
        <v>Pellice</v>
      </c>
      <c r="C276" s="6" t="s">
        <v>4</v>
      </c>
      <c r="D276" s="6"/>
      <c r="E276" s="7" t="s">
        <v>5</v>
      </c>
    </row>
    <row r="277">
      <c r="A277" s="4" t="s">
        <v>279</v>
      </c>
      <c r="B277" s="5" t="str">
        <f>IFERROR(__xludf.DUMMYFUNCTION("IF(A277="""","""",INDEX(SPLIT(A277,"" ""),COUNTA(SPLIT(A277,"" ""))))"),"Trana")</f>
        <v>Trana</v>
      </c>
      <c r="C277" s="6" t="s">
        <v>4</v>
      </c>
      <c r="D277" s="6"/>
      <c r="E277" s="7" t="s">
        <v>5</v>
      </c>
    </row>
    <row r="278">
      <c r="A278" s="4" t="s">
        <v>280</v>
      </c>
      <c r="B278" s="5" t="str">
        <f>IFERROR(__xludf.DUMMYFUNCTION("IF(A278="""","""",INDEX(SPLIT(A278,"" ""),COUNTA(SPLIT(A278,"" ""))))"),"Trausella")</f>
        <v>Trausella</v>
      </c>
      <c r="C278" s="6" t="s">
        <v>4</v>
      </c>
      <c r="D278" s="6"/>
      <c r="E278" s="7" t="s">
        <v>5</v>
      </c>
    </row>
    <row r="279">
      <c r="A279" s="4" t="s">
        <v>281</v>
      </c>
      <c r="B279" s="5" t="str">
        <f>IFERROR(__xludf.DUMMYFUNCTION("IF(A279="""","""",INDEX(SPLIT(A279,"" ""),COUNTA(SPLIT(A279,"" ""))))"),"Traversella")</f>
        <v>Traversella</v>
      </c>
      <c r="C279" s="6" t="s">
        <v>4</v>
      </c>
      <c r="D279" s="6"/>
      <c r="E279" s="7" t="s">
        <v>5</v>
      </c>
    </row>
    <row r="280">
      <c r="A280" s="4" t="s">
        <v>282</v>
      </c>
      <c r="B280" s="5" t="str">
        <f>IFERROR(__xludf.DUMMYFUNCTION("IF(A280="""","""",INDEX(SPLIT(A280,"" ""),COUNTA(SPLIT(A280,"" ""))))"),"Traves")</f>
        <v>Traves</v>
      </c>
      <c r="C280" s="6" t="s">
        <v>4</v>
      </c>
      <c r="D280" s="6"/>
      <c r="E280" s="7" t="s">
        <v>5</v>
      </c>
    </row>
    <row r="281">
      <c r="A281" s="4" t="s">
        <v>283</v>
      </c>
      <c r="B281" s="5" t="str">
        <f>IFERROR(__xludf.DUMMYFUNCTION("IF(A281="""","""",INDEX(SPLIT(A281,"" ""),COUNTA(SPLIT(A281,"" ""))))"),"Trofarello")</f>
        <v>Trofarello</v>
      </c>
      <c r="C281" s="6" t="s">
        <v>4</v>
      </c>
      <c r="D281" s="6"/>
      <c r="E281" s="7" t="s">
        <v>5</v>
      </c>
    </row>
    <row r="282">
      <c r="A282" s="4" t="s">
        <v>284</v>
      </c>
      <c r="B282" s="5" t="str">
        <f>IFERROR(__xludf.DUMMYFUNCTION("IF(A282="""","""",INDEX(SPLIT(A282,"" ""),COUNTA(SPLIT(A282,"" ""))))"),"Usseaux")</f>
        <v>Usseaux</v>
      </c>
      <c r="C282" s="6" t="s">
        <v>4</v>
      </c>
      <c r="D282" s="6"/>
      <c r="E282" s="7" t="s">
        <v>5</v>
      </c>
    </row>
    <row r="283">
      <c r="A283" s="4" t="s">
        <v>285</v>
      </c>
      <c r="B283" s="5" t="str">
        <f>IFERROR(__xludf.DUMMYFUNCTION("IF(A283="""","""",INDEX(SPLIT(A283,"" ""),COUNTA(SPLIT(A283,"" ""))))"),"Usseglio")</f>
        <v>Usseglio</v>
      </c>
      <c r="C283" s="6" t="s">
        <v>4</v>
      </c>
      <c r="D283" s="6"/>
      <c r="E283" s="7" t="s">
        <v>5</v>
      </c>
    </row>
    <row r="284">
      <c r="A284" s="4" t="s">
        <v>286</v>
      </c>
      <c r="B284" s="5" t="str">
        <f>IFERROR(__xludf.DUMMYFUNCTION("IF(A284="""","""",INDEX(SPLIT(A284,"" ""),COUNTA(SPLIT(A284,"" ""))))"),"Vaie")</f>
        <v>Vaie</v>
      </c>
      <c r="C284" s="6" t="s">
        <v>4</v>
      </c>
      <c r="D284" s="6"/>
      <c r="E284" s="7" t="s">
        <v>5</v>
      </c>
    </row>
    <row r="285">
      <c r="A285" s="4" t="s">
        <v>287</v>
      </c>
      <c r="B285" s="5" t="str">
        <f>IFERROR(__xludf.DUMMYFUNCTION("IF(A285="""","""",INDEX(SPLIT(A285,"" ""),COUNTA(SPLIT(A285,"" ""))))"),"Torre")</f>
        <v>Torre</v>
      </c>
      <c r="C285" s="6" t="s">
        <v>4</v>
      </c>
      <c r="D285" s="6"/>
      <c r="E285" s="7" t="s">
        <v>5</v>
      </c>
    </row>
    <row r="286">
      <c r="A286" s="4" t="s">
        <v>288</v>
      </c>
      <c r="B286" s="5" t="str">
        <f>IFERROR(__xludf.DUMMYFUNCTION("IF(A286="""","""",INDEX(SPLIT(A286,"" ""),COUNTA(SPLIT(A286,"" ""))))"),"Valgioie")</f>
        <v>Valgioie</v>
      </c>
      <c r="C286" s="6" t="s">
        <v>4</v>
      </c>
      <c r="D286" s="6"/>
      <c r="E286" s="7" t="s">
        <v>5</v>
      </c>
    </row>
    <row r="287">
      <c r="A287" s="4" t="s">
        <v>289</v>
      </c>
      <c r="B287" s="5" t="str">
        <f>IFERROR(__xludf.DUMMYFUNCTION("IF(A287="""","""",INDEX(SPLIT(A287,"" ""),COUNTA(SPLIT(A287,"" ""))))"),"Torinese")</f>
        <v>Torinese</v>
      </c>
      <c r="C287" s="6" t="s">
        <v>4</v>
      </c>
      <c r="D287" s="6"/>
      <c r="E287" s="7" t="s">
        <v>5</v>
      </c>
    </row>
    <row r="288">
      <c r="A288" s="4" t="s">
        <v>290</v>
      </c>
      <c r="B288" s="5" t="str">
        <f>IFERROR(__xludf.DUMMYFUNCTION("IF(A288="""","""",INDEX(SPLIT(A288,"" ""),COUNTA(SPLIT(A288,"" ""))))"),"Valperga")</f>
        <v>Valperga</v>
      </c>
      <c r="C288" s="6" t="s">
        <v>4</v>
      </c>
      <c r="D288" s="6"/>
      <c r="E288" s="7" t="s">
        <v>5</v>
      </c>
    </row>
    <row r="289">
      <c r="A289" s="4" t="s">
        <v>291</v>
      </c>
      <c r="B289" s="5" t="str">
        <f>IFERROR(__xludf.DUMMYFUNCTION("IF(A289="""","""",INDEX(SPLIT(A289,"" ""),COUNTA(SPLIT(A289,"" ""))))"),"Soana")</f>
        <v>Soana</v>
      </c>
      <c r="C289" s="6" t="s">
        <v>4</v>
      </c>
      <c r="D289" s="6"/>
      <c r="E289" s="7" t="s">
        <v>5</v>
      </c>
    </row>
    <row r="290">
      <c r="A290" s="4" t="s">
        <v>292</v>
      </c>
      <c r="B290" s="5" t="str">
        <f>IFERROR(__xludf.DUMMYFUNCTION("IF(A290="""","""",INDEX(SPLIT(A290,"" ""),COUNTA(SPLIT(A290,"" ""))))"),"Varisella")</f>
        <v>Varisella</v>
      </c>
      <c r="C290" s="6" t="s">
        <v>4</v>
      </c>
      <c r="D290" s="6"/>
      <c r="E290" s="7" t="s">
        <v>5</v>
      </c>
    </row>
    <row r="291">
      <c r="A291" s="4" t="s">
        <v>293</v>
      </c>
      <c r="B291" s="5" t="str">
        <f>IFERROR(__xludf.DUMMYFUNCTION("IF(A291="""","""",INDEX(SPLIT(A291,"" ""),COUNTA(SPLIT(A291,"" ""))))"),"Canavese")</f>
        <v>Canavese</v>
      </c>
      <c r="C291" s="6" t="s">
        <v>4</v>
      </c>
      <c r="D291" s="6"/>
      <c r="E291" s="7" t="s">
        <v>5</v>
      </c>
    </row>
    <row r="292">
      <c r="A292" s="4" t="s">
        <v>294</v>
      </c>
      <c r="B292" s="5" t="str">
        <f>IFERROR(__xludf.DUMMYFUNCTION("IF(A292="""","""",INDEX(SPLIT(A292,"" ""),COUNTA(SPLIT(A292,"" ""))))"),"Venaus")</f>
        <v>Venaus</v>
      </c>
      <c r="C292" s="6" t="s">
        <v>4</v>
      </c>
      <c r="D292" s="6"/>
      <c r="E292" s="7" t="s">
        <v>5</v>
      </c>
    </row>
    <row r="293">
      <c r="A293" s="4" t="s">
        <v>295</v>
      </c>
      <c r="B293" s="5" t="str">
        <f>IFERROR(__xludf.DUMMYFUNCTION("IF(A293="""","""",INDEX(SPLIT(A293,"" ""),COUNTA(SPLIT(A293,"" ""))))"),"Reale")</f>
        <v>Reale</v>
      </c>
      <c r="C293" s="6" t="s">
        <v>4</v>
      </c>
      <c r="D293" s="6"/>
      <c r="E293" s="7" t="s">
        <v>5</v>
      </c>
    </row>
    <row r="294">
      <c r="A294" s="4" t="s">
        <v>296</v>
      </c>
      <c r="B294" s="5" t="str">
        <f>IFERROR(__xludf.DUMMYFUNCTION("IF(A294="""","""",INDEX(SPLIT(A294,"" ""),COUNTA(SPLIT(A294,"" ""))))"),"Verolengo")</f>
        <v>Verolengo</v>
      </c>
      <c r="C294" s="6" t="s">
        <v>4</v>
      </c>
      <c r="D294" s="6"/>
      <c r="E294" s="7" t="s">
        <v>5</v>
      </c>
    </row>
    <row r="295">
      <c r="A295" s="4" t="s">
        <v>297</v>
      </c>
      <c r="B295" s="5" t="str">
        <f>IFERROR(__xludf.DUMMYFUNCTION("IF(A295="""","""",INDEX(SPLIT(A295,"" ""),COUNTA(SPLIT(A295,"" ""))))"),"Savoia")</f>
        <v>Savoia</v>
      </c>
      <c r="C295" s="6" t="s">
        <v>4</v>
      </c>
      <c r="D295" s="6"/>
      <c r="E295" s="7" t="s">
        <v>5</v>
      </c>
    </row>
    <row r="296">
      <c r="A296" s="4" t="s">
        <v>298</v>
      </c>
      <c r="B296" s="5" t="str">
        <f>IFERROR(__xludf.DUMMYFUNCTION("IF(A296="""","""",INDEX(SPLIT(A296,"" ""),COUNTA(SPLIT(A296,"" ""))))"),"Vestignè")</f>
        <v>Vestignè</v>
      </c>
      <c r="C296" s="6" t="s">
        <v>4</v>
      </c>
      <c r="D296" s="6"/>
      <c r="E296" s="7" t="s">
        <v>5</v>
      </c>
    </row>
    <row r="297">
      <c r="A297" s="4" t="s">
        <v>299</v>
      </c>
      <c r="B297" s="5" t="str">
        <f>IFERROR(__xludf.DUMMYFUNCTION("IF(A297="""","""",INDEX(SPLIT(A297,"" ""),COUNTA(SPLIT(A297,"" ""))))"),"Vialfrè")</f>
        <v>Vialfrè</v>
      </c>
      <c r="C297" s="6" t="s">
        <v>4</v>
      </c>
      <c r="D297" s="6"/>
      <c r="E297" s="7" t="s">
        <v>5</v>
      </c>
    </row>
    <row r="298">
      <c r="A298" s="4" t="s">
        <v>300</v>
      </c>
      <c r="B298" s="5" t="str">
        <f>IFERROR(__xludf.DUMMYFUNCTION("IF(A298="""","""",INDEX(SPLIT(A298,"" ""),COUNTA(SPLIT(A298,"" ""))))"),"Canavese")</f>
        <v>Canavese</v>
      </c>
      <c r="C298" s="6" t="s">
        <v>4</v>
      </c>
      <c r="D298" s="6"/>
      <c r="E298" s="7" t="s">
        <v>5</v>
      </c>
    </row>
    <row r="299">
      <c r="A299" s="4" t="s">
        <v>301</v>
      </c>
      <c r="B299" s="5" t="str">
        <f>IFERROR(__xludf.DUMMYFUNCTION("IF(A299="""","""",INDEX(SPLIT(A299,"" ""),COUNTA(SPLIT(A299,"" ""))))"),"Vidracco")</f>
        <v>Vidracco</v>
      </c>
      <c r="C299" s="6" t="s">
        <v>4</v>
      </c>
      <c r="D299" s="6"/>
      <c r="E299" s="7" t="s">
        <v>5</v>
      </c>
    </row>
    <row r="300">
      <c r="A300" s="4" t="s">
        <v>302</v>
      </c>
      <c r="B300" s="5" t="str">
        <f>IFERROR(__xludf.DUMMYFUNCTION("IF(A300="""","""",INDEX(SPLIT(A300,"" ""),COUNTA(SPLIT(A300,"" ""))))"),"Vigone")</f>
        <v>Vigone</v>
      </c>
      <c r="C300" s="6" t="s">
        <v>4</v>
      </c>
      <c r="D300" s="6"/>
      <c r="E300" s="7" t="s">
        <v>5</v>
      </c>
    </row>
    <row r="301">
      <c r="A301" s="4" t="s">
        <v>303</v>
      </c>
      <c r="B301" s="5" t="str">
        <f>IFERROR(__xludf.DUMMYFUNCTION("IF(A301="""","""",INDEX(SPLIT(A301,"" ""),COUNTA(SPLIT(A301,"" ""))))"),"Piemonte")</f>
        <v>Piemonte</v>
      </c>
      <c r="C301" s="6" t="s">
        <v>4</v>
      </c>
      <c r="D301" s="6"/>
      <c r="E301" s="7" t="s">
        <v>5</v>
      </c>
    </row>
    <row r="302">
      <c r="A302" s="4" t="s">
        <v>304</v>
      </c>
      <c r="B302" s="5" t="str">
        <f>IFERROR(__xludf.DUMMYFUNCTION("IF(A302="""","""",INDEX(SPLIT(A302,"" ""),COUNTA(SPLIT(A302,"" ""))))"),"Canavese")</f>
        <v>Canavese</v>
      </c>
      <c r="C302" s="6" t="s">
        <v>4</v>
      </c>
      <c r="D302" s="6"/>
      <c r="E302" s="7" t="s">
        <v>5</v>
      </c>
    </row>
    <row r="303">
      <c r="A303" s="4" t="s">
        <v>305</v>
      </c>
      <c r="B303" s="5" t="str">
        <f>IFERROR(__xludf.DUMMYFUNCTION("IF(A303="""","""",INDEX(SPLIT(A303,"" ""),COUNTA(SPLIT(A303,"" ""))))"),"Villarbasse")</f>
        <v>Villarbasse</v>
      </c>
      <c r="C303" s="6" t="s">
        <v>4</v>
      </c>
      <c r="D303" s="6"/>
      <c r="E303" s="7" t="s">
        <v>5</v>
      </c>
    </row>
    <row r="304">
      <c r="A304" s="4" t="s">
        <v>306</v>
      </c>
      <c r="B304" s="5" t="str">
        <f>IFERROR(__xludf.DUMMYFUNCTION("IF(A304="""","""",INDEX(SPLIT(A304,"" ""),COUNTA(SPLIT(A304,"" ""))))"),"Dora")</f>
        <v>Dora</v>
      </c>
      <c r="C304" s="6" t="s">
        <v>4</v>
      </c>
      <c r="D304" s="6"/>
      <c r="E304" s="7" t="s">
        <v>5</v>
      </c>
    </row>
    <row r="305">
      <c r="A305" s="4" t="s">
        <v>307</v>
      </c>
      <c r="B305" s="5" t="str">
        <f>IFERROR(__xludf.DUMMYFUNCTION("IF(A305="""","""",INDEX(SPLIT(A305,"" ""),COUNTA(SPLIT(A305,"" ""))))"),"Villareggia")</f>
        <v>Villareggia</v>
      </c>
      <c r="C305" s="6" t="s">
        <v>4</v>
      </c>
      <c r="D305" s="6"/>
      <c r="E305" s="7" t="s">
        <v>5</v>
      </c>
    </row>
    <row r="306">
      <c r="A306" s="4" t="s">
        <v>308</v>
      </c>
      <c r="B306" s="5" t="str">
        <f>IFERROR(__xludf.DUMMYFUNCTION("IF(A306="""","""",INDEX(SPLIT(A306,"" ""),COUNTA(SPLIT(A306,"" ""))))"),"Focchiardo")</f>
        <v>Focchiardo</v>
      </c>
      <c r="C306" s="6" t="s">
        <v>4</v>
      </c>
      <c r="D306" s="6"/>
      <c r="E306" s="7" t="s">
        <v>5</v>
      </c>
    </row>
    <row r="307">
      <c r="A307" s="4" t="s">
        <v>309</v>
      </c>
      <c r="B307" s="5" t="str">
        <f>IFERROR(__xludf.DUMMYFUNCTION("IF(A307="""","""",INDEX(SPLIT(A307,"" ""),COUNTA(SPLIT(A307,"" ""))))"),"Pellice")</f>
        <v>Pellice</v>
      </c>
      <c r="C307" s="6" t="s">
        <v>4</v>
      </c>
      <c r="D307" s="6"/>
      <c r="E307" s="7" t="s">
        <v>5</v>
      </c>
    </row>
    <row r="308">
      <c r="A308" s="4" t="s">
        <v>310</v>
      </c>
      <c r="B308" s="5" t="str">
        <f>IFERROR(__xludf.DUMMYFUNCTION("IF(A308="""","""",INDEX(SPLIT(A308,"" ""),COUNTA(SPLIT(A308,"" ""))))"),"Perosa")</f>
        <v>Perosa</v>
      </c>
      <c r="C308" s="6" t="s">
        <v>4</v>
      </c>
      <c r="D308" s="6"/>
      <c r="E308" s="7" t="s">
        <v>5</v>
      </c>
    </row>
    <row r="309">
      <c r="A309" s="4" t="s">
        <v>311</v>
      </c>
      <c r="B309" s="5" t="str">
        <f>IFERROR(__xludf.DUMMYFUNCTION("IF(A309="""","""",INDEX(SPLIT(A309,"" ""),COUNTA(SPLIT(A309,"" ""))))"),"Villastellone")</f>
        <v>Villastellone</v>
      </c>
      <c r="C309" s="6" t="s">
        <v>4</v>
      </c>
      <c r="D309" s="6"/>
      <c r="E309" s="7" t="s">
        <v>5</v>
      </c>
    </row>
    <row r="310">
      <c r="A310" s="4" t="s">
        <v>312</v>
      </c>
      <c r="B310" s="5" t="str">
        <f>IFERROR(__xludf.DUMMYFUNCTION("IF(A310="""","""",INDEX(SPLIT(A310,"" ""),COUNTA(SPLIT(A310,"" ""))))"),"Vinovo")</f>
        <v>Vinovo</v>
      </c>
      <c r="C310" s="6" t="s">
        <v>4</v>
      </c>
      <c r="D310" s="6"/>
      <c r="E310" s="7" t="s">
        <v>5</v>
      </c>
    </row>
    <row r="311">
      <c r="A311" s="4" t="s">
        <v>313</v>
      </c>
      <c r="B311" s="5" t="str">
        <f>IFERROR(__xludf.DUMMYFUNCTION("IF(A311="""","""",INDEX(SPLIT(A311,"" ""),COUNTA(SPLIT(A311,"" ""))))"),"Piemonte")</f>
        <v>Piemonte</v>
      </c>
      <c r="C311" s="6" t="s">
        <v>4</v>
      </c>
      <c r="D311" s="6"/>
      <c r="E311" s="7" t="s">
        <v>5</v>
      </c>
    </row>
    <row r="312">
      <c r="A312" s="4" t="s">
        <v>314</v>
      </c>
      <c r="B312" s="5" t="str">
        <f>IFERROR(__xludf.DUMMYFUNCTION("IF(A312="""","""",INDEX(SPLIT(A312,"" ""),COUNTA(SPLIT(A312,"" ""))))"),"Vische")</f>
        <v>Vische</v>
      </c>
      <c r="C312" s="6" t="s">
        <v>4</v>
      </c>
      <c r="D312" s="6"/>
      <c r="E312" s="7" t="s">
        <v>5</v>
      </c>
    </row>
    <row r="313">
      <c r="A313" s="4" t="s">
        <v>315</v>
      </c>
      <c r="B313" s="5" t="str">
        <f>IFERROR(__xludf.DUMMYFUNCTION("IF(A313="""","""",INDEX(SPLIT(A313,"" ""),COUNTA(SPLIT(A313,"" ""))))"),"Vistrorio")</f>
        <v>Vistrorio</v>
      </c>
      <c r="C313" s="6" t="s">
        <v>4</v>
      </c>
      <c r="D313" s="6"/>
      <c r="E313" s="7" t="s">
        <v>5</v>
      </c>
    </row>
    <row r="314">
      <c r="A314" s="4" t="s">
        <v>316</v>
      </c>
      <c r="B314" s="5" t="str">
        <f>IFERROR(__xludf.DUMMYFUNCTION("IF(A314="""","""",INDEX(SPLIT(A314,"" ""),COUNTA(SPLIT(A314,"" ""))))"),"Viù")</f>
        <v>Viù</v>
      </c>
      <c r="C314" s="6" t="s">
        <v>4</v>
      </c>
      <c r="D314" s="6"/>
      <c r="E314" s="7" t="s">
        <v>5</v>
      </c>
    </row>
    <row r="315">
      <c r="A315" s="4" t="s">
        <v>317</v>
      </c>
      <c r="B315" s="5" t="str">
        <f>IFERROR(__xludf.DUMMYFUNCTION("IF(A315="""","""",INDEX(SPLIT(A315,"" ""),COUNTA(SPLIT(A315,"" ""))))"),"Volpiano")</f>
        <v>Volpiano</v>
      </c>
      <c r="C315" s="6" t="s">
        <v>4</v>
      </c>
      <c r="D315" s="6"/>
      <c r="E315" s="7" t="s">
        <v>5</v>
      </c>
    </row>
    <row r="316">
      <c r="A316" s="4" t="s">
        <v>318</v>
      </c>
      <c r="B316" s="5" t="str">
        <f>IFERROR(__xludf.DUMMYFUNCTION("IF(A316="""","""",INDEX(SPLIT(A316,"" ""),COUNTA(SPLIT(A316,"" ""))))"),"Volvera")</f>
        <v>Volvera</v>
      </c>
      <c r="C316" s="6" t="s">
        <v>4</v>
      </c>
      <c r="D316" s="6"/>
      <c r="E316" s="7" t="s">
        <v>5</v>
      </c>
    </row>
    <row r="317">
      <c r="A317" s="4" t="s">
        <v>319</v>
      </c>
      <c r="B317" s="5" t="str">
        <f>IFERROR(__xludf.DUMMYFUNCTION("IF(A317="""","""",INDEX(SPLIT(A317,"" ""),COUNTA(SPLIT(A317,"" ""))))"),"Mappano")</f>
        <v>Mappano</v>
      </c>
      <c r="C317" s="6" t="s">
        <v>4</v>
      </c>
      <c r="D317" s="6"/>
      <c r="E317" s="7" t="s">
        <v>5</v>
      </c>
    </row>
    <row r="318">
      <c r="A318" s="4" t="s">
        <v>320</v>
      </c>
      <c r="B318" s="5" t="str">
        <f>IFERROR(__xludf.DUMMYFUNCTION("IF(A318="""","""",INDEX(SPLIT(A318,"" ""),COUNTA(SPLIT(A318,"" ""))))"),"Valsesia")</f>
        <v>Valsesia</v>
      </c>
      <c r="C318" s="6"/>
      <c r="D318" s="6" t="s">
        <v>321</v>
      </c>
      <c r="E318" s="7" t="s">
        <v>322</v>
      </c>
    </row>
    <row r="319">
      <c r="A319" s="4" t="s">
        <v>323</v>
      </c>
      <c r="B319" s="5" t="str">
        <f>IFERROR(__xludf.DUMMYFUNCTION("IF(A319="""","""",INDEX(SPLIT(A319,"" ""),COUNTA(SPLIT(A319,"" ""))))"),"Vercellese")</f>
        <v>Vercellese</v>
      </c>
      <c r="C319" s="6"/>
      <c r="D319" s="6" t="s">
        <v>321</v>
      </c>
      <c r="E319" s="7" t="s">
        <v>322</v>
      </c>
    </row>
    <row r="320">
      <c r="A320" s="4" t="s">
        <v>324</v>
      </c>
      <c r="B320" s="5" t="str">
        <f>IFERROR(__xludf.DUMMYFUNCTION("IF(A320="""","""",INDEX(SPLIT(A320,"" ""),COUNTA(SPLIT(A320,"" ""))))"),"Castello")</f>
        <v>Castello</v>
      </c>
      <c r="C320" s="6"/>
      <c r="D320" s="6" t="s">
        <v>321</v>
      </c>
      <c r="E320" s="7" t="s">
        <v>322</v>
      </c>
    </row>
    <row r="321">
      <c r="A321" s="4" t="s">
        <v>325</v>
      </c>
      <c r="B321" s="5" t="str">
        <f>IFERROR(__xludf.DUMMYFUNCTION("IF(A321="""","""",INDEX(SPLIT(A321,"" ""),COUNTA(SPLIT(A321,"" ""))))"),"Arborio")</f>
        <v>Arborio</v>
      </c>
      <c r="C321" s="6"/>
      <c r="D321" s="6" t="s">
        <v>321</v>
      </c>
      <c r="E321" s="7" t="s">
        <v>322</v>
      </c>
    </row>
    <row r="322">
      <c r="A322" s="4" t="s">
        <v>326</v>
      </c>
      <c r="B322" s="5" t="str">
        <f>IFERROR(__xludf.DUMMYFUNCTION("IF(A322="""","""",INDEX(SPLIT(A322,"" ""),COUNTA(SPLIT(A322,"" ""))))"),"Vercellese")</f>
        <v>Vercellese</v>
      </c>
      <c r="C322" s="6"/>
      <c r="D322" s="6" t="s">
        <v>321</v>
      </c>
      <c r="E322" s="7" t="s">
        <v>322</v>
      </c>
    </row>
    <row r="323">
      <c r="A323" s="4" t="s">
        <v>327</v>
      </c>
      <c r="B323" s="5" t="str">
        <f>IFERROR(__xludf.DUMMYFUNCTION("IF(A323="""","""",INDEX(SPLIT(A323,"" ""),COUNTA(SPLIT(A323,"" ""))))"),"Balmuccia")</f>
        <v>Balmuccia</v>
      </c>
      <c r="C323" s="6"/>
      <c r="D323" s="6" t="s">
        <v>321</v>
      </c>
      <c r="E323" s="7" t="s">
        <v>322</v>
      </c>
    </row>
    <row r="324">
      <c r="A324" s="4" t="s">
        <v>328</v>
      </c>
      <c r="B324" s="5" t="str">
        <f>IFERROR(__xludf.DUMMYFUNCTION("IF(A324="""","""",INDEX(SPLIT(A324,"" ""),COUNTA(SPLIT(A324,"" ""))))"),"Balocco")</f>
        <v>Balocco</v>
      </c>
      <c r="C324" s="6"/>
      <c r="D324" s="6" t="s">
        <v>321</v>
      </c>
      <c r="E324" s="7" t="s">
        <v>322</v>
      </c>
    </row>
    <row r="325">
      <c r="A325" s="4" t="s">
        <v>329</v>
      </c>
      <c r="B325" s="5" t="str">
        <f>IFERROR(__xludf.DUMMYFUNCTION("IF(A325="""","""",INDEX(SPLIT(A325,"" ""),COUNTA(SPLIT(A325,"" ""))))"),"Bianzè")</f>
        <v>Bianzè</v>
      </c>
      <c r="C325" s="6"/>
      <c r="D325" s="6" t="s">
        <v>321</v>
      </c>
      <c r="E325" s="7" t="s">
        <v>322</v>
      </c>
    </row>
    <row r="326">
      <c r="A326" s="4" t="s">
        <v>330</v>
      </c>
      <c r="B326" s="5" t="str">
        <f>IFERROR(__xludf.DUMMYFUNCTION("IF(A326="""","""",INDEX(SPLIT(A326,"" ""),COUNTA(SPLIT(A326,"" ""))))"),"Boccioleto")</f>
        <v>Boccioleto</v>
      </c>
      <c r="C326" s="6"/>
      <c r="D326" s="6" t="s">
        <v>321</v>
      </c>
      <c r="E326" s="7" t="s">
        <v>322</v>
      </c>
    </row>
    <row r="327">
      <c r="A327" s="4" t="s">
        <v>331</v>
      </c>
      <c r="B327" s="5" t="str">
        <f>IFERROR(__xludf.DUMMYFUNCTION("IF(A327="""","""",INDEX(SPLIT(A327,"" ""),COUNTA(SPLIT(A327,"" ""))))"),"d'Ale")</f>
        <v>d'Ale</v>
      </c>
      <c r="C327" s="6"/>
      <c r="D327" s="6" t="s">
        <v>321</v>
      </c>
      <c r="E327" s="7" t="s">
        <v>322</v>
      </c>
    </row>
    <row r="328">
      <c r="A328" s="4" t="s">
        <v>332</v>
      </c>
      <c r="B328" s="5" t="str">
        <f>IFERROR(__xludf.DUMMYFUNCTION("IF(A328="""","""",INDEX(SPLIT(A328,"" ""),COUNTA(SPLIT(A328,"" ""))))"),"Borgosesia")</f>
        <v>Borgosesia</v>
      </c>
      <c r="C328" s="6"/>
      <c r="D328" s="6" t="s">
        <v>321</v>
      </c>
      <c r="E328" s="7" t="s">
        <v>322</v>
      </c>
    </row>
    <row r="329">
      <c r="A329" s="4" t="s">
        <v>333</v>
      </c>
      <c r="B329" s="5" t="str">
        <f>IFERROR(__xludf.DUMMYFUNCTION("IF(A329="""","""",INDEX(SPLIT(A329,"" ""),COUNTA(SPLIT(A329,"" ""))))"),"Vercelli")</f>
        <v>Vercelli</v>
      </c>
      <c r="C329" s="6"/>
      <c r="D329" s="6" t="s">
        <v>321</v>
      </c>
      <c r="E329" s="7" t="s">
        <v>322</v>
      </c>
    </row>
    <row r="330">
      <c r="A330" s="4" t="s">
        <v>334</v>
      </c>
      <c r="B330" s="5" t="str">
        <f>IFERROR(__xludf.DUMMYFUNCTION("IF(A330="""","""",INDEX(SPLIT(A330,"" ""),COUNTA(SPLIT(A330,"" ""))))"),"Buronzo")</f>
        <v>Buronzo</v>
      </c>
      <c r="C330" s="6"/>
      <c r="D330" s="6" t="s">
        <v>321</v>
      </c>
      <c r="E330" s="7" t="s">
        <v>322</v>
      </c>
    </row>
    <row r="331">
      <c r="A331" s="4" t="s">
        <v>335</v>
      </c>
      <c r="B331" s="5" t="str">
        <f>IFERROR(__xludf.DUMMYFUNCTION("IF(A331="""","""",INDEX(SPLIT(A331,"" ""),COUNTA(SPLIT(A331,"" ""))))"),"Campertogno")</f>
        <v>Campertogno</v>
      </c>
      <c r="C331" s="6"/>
      <c r="D331" s="6" t="s">
        <v>321</v>
      </c>
      <c r="E331" s="7" t="s">
        <v>322</v>
      </c>
    </row>
    <row r="332">
      <c r="A332" s="4" t="s">
        <v>336</v>
      </c>
      <c r="B332" s="5" t="str">
        <f>IFERROR(__xludf.DUMMYFUNCTION("IF(A332="""","""",INDEX(SPLIT(A332,"" ""),COUNTA(SPLIT(A332,"" ""))))"),"Carcoforo")</f>
        <v>Carcoforo</v>
      </c>
      <c r="C332" s="6"/>
      <c r="D332" s="6" t="s">
        <v>321</v>
      </c>
      <c r="E332" s="7" t="s">
        <v>322</v>
      </c>
    </row>
    <row r="333">
      <c r="A333" s="4" t="s">
        <v>337</v>
      </c>
      <c r="B333" s="5" t="str">
        <f>IFERROR(__xludf.DUMMYFUNCTION("IF(A333="""","""",INDEX(SPLIT(A333,"" ""),COUNTA(SPLIT(A333,"" ""))))"),"Caresana")</f>
        <v>Caresana</v>
      </c>
      <c r="C333" s="6"/>
      <c r="D333" s="6" t="s">
        <v>321</v>
      </c>
      <c r="E333" s="7" t="s">
        <v>322</v>
      </c>
    </row>
    <row r="334">
      <c r="A334" s="4" t="s">
        <v>338</v>
      </c>
      <c r="B334" s="5" t="str">
        <f>IFERROR(__xludf.DUMMYFUNCTION("IF(A334="""","""",INDEX(SPLIT(A334,"" ""),COUNTA(SPLIT(A334,"" ""))))"),"Caresanablot")</f>
        <v>Caresanablot</v>
      </c>
      <c r="C334" s="6"/>
      <c r="D334" s="6" t="s">
        <v>321</v>
      </c>
      <c r="E334" s="7" t="s">
        <v>322</v>
      </c>
    </row>
    <row r="335">
      <c r="A335" s="4" t="s">
        <v>339</v>
      </c>
      <c r="B335" s="5" t="str">
        <f>IFERROR(__xludf.DUMMYFUNCTION("IF(A335="""","""",INDEX(SPLIT(A335,"" ""),COUNTA(SPLIT(A335,"" ""))))"),"Carisio")</f>
        <v>Carisio</v>
      </c>
      <c r="C335" s="6"/>
      <c r="D335" s="6" t="s">
        <v>321</v>
      </c>
      <c r="E335" s="7" t="s">
        <v>322</v>
      </c>
    </row>
    <row r="336">
      <c r="A336" s="4" t="s">
        <v>340</v>
      </c>
      <c r="B336" s="5" t="str">
        <f>IFERROR(__xludf.DUMMYFUNCTION("IF(A336="""","""",INDEX(SPLIT(A336,"" ""),COUNTA(SPLIT(A336,"" ""))))"),"Elvo")</f>
        <v>Elvo</v>
      </c>
      <c r="C336" s="6"/>
      <c r="D336" s="6" t="s">
        <v>321</v>
      </c>
      <c r="E336" s="7" t="s">
        <v>322</v>
      </c>
    </row>
    <row r="337">
      <c r="A337" s="4" t="s">
        <v>341</v>
      </c>
      <c r="B337" s="5" t="str">
        <f>IFERROR(__xludf.DUMMYFUNCTION("IF(A337="""","""",INDEX(SPLIT(A337,"" ""),COUNTA(SPLIT(A337,"" ""))))"),"Vercellese")</f>
        <v>Vercellese</v>
      </c>
      <c r="C337" s="6"/>
      <c r="D337" s="6" t="s">
        <v>321</v>
      </c>
      <c r="E337" s="7" t="s">
        <v>322</v>
      </c>
    </row>
    <row r="338">
      <c r="A338" s="4" t="s">
        <v>342</v>
      </c>
      <c r="B338" s="5" t="str">
        <f>IFERROR(__xludf.DUMMYFUNCTION("IF(A338="""","""",INDEX(SPLIT(A338,"" ""),COUNTA(SPLIT(A338,"" ""))))"),"Cervatto")</f>
        <v>Cervatto</v>
      </c>
      <c r="C338" s="6"/>
      <c r="D338" s="6" t="s">
        <v>321</v>
      </c>
      <c r="E338" s="7" t="s">
        <v>322</v>
      </c>
    </row>
    <row r="339">
      <c r="A339" s="4" t="s">
        <v>343</v>
      </c>
      <c r="B339" s="5" t="str">
        <f>IFERROR(__xludf.DUMMYFUNCTION("IF(A339="""","""",INDEX(SPLIT(A339,"" ""),COUNTA(SPLIT(A339,"" ""))))"),"Cigliano")</f>
        <v>Cigliano</v>
      </c>
      <c r="C339" s="6"/>
      <c r="D339" s="6" t="s">
        <v>321</v>
      </c>
      <c r="E339" s="7" t="s">
        <v>322</v>
      </c>
    </row>
    <row r="340">
      <c r="A340" s="4" t="s">
        <v>344</v>
      </c>
      <c r="B340" s="5" t="str">
        <f>IFERROR(__xludf.DUMMYFUNCTION("IF(A340="""","""",INDEX(SPLIT(A340,"" ""),COUNTA(SPLIT(A340,"" ""))))"),"Civiasco")</f>
        <v>Civiasco</v>
      </c>
      <c r="C340" s="6"/>
      <c r="D340" s="6" t="s">
        <v>321</v>
      </c>
      <c r="E340" s="7" t="s">
        <v>322</v>
      </c>
    </row>
    <row r="341">
      <c r="A341" s="4" t="s">
        <v>345</v>
      </c>
      <c r="B341" s="5" t="str">
        <f>IFERROR(__xludf.DUMMYFUNCTION("IF(A341="""","""",INDEX(SPLIT(A341,"" ""),COUNTA(SPLIT(A341,"" ""))))"),"Collobiano")</f>
        <v>Collobiano</v>
      </c>
      <c r="C341" s="6"/>
      <c r="D341" s="6" t="s">
        <v>321</v>
      </c>
      <c r="E341" s="7" t="s">
        <v>322</v>
      </c>
    </row>
    <row r="342">
      <c r="A342" s="4" t="s">
        <v>346</v>
      </c>
      <c r="B342" s="5" t="str">
        <f>IFERROR(__xludf.DUMMYFUNCTION("IF(A342="""","""",INDEX(SPLIT(A342,"" ""),COUNTA(SPLIT(A342,"" ""))))"),"Costanzana")</f>
        <v>Costanzana</v>
      </c>
      <c r="C342" s="6"/>
      <c r="D342" s="6" t="s">
        <v>321</v>
      </c>
      <c r="E342" s="7" t="s">
        <v>322</v>
      </c>
    </row>
    <row r="343">
      <c r="A343" s="4" t="s">
        <v>347</v>
      </c>
      <c r="B343" s="5" t="str">
        <f>IFERROR(__xludf.DUMMYFUNCTION("IF(A343="""","""",INDEX(SPLIT(A343,"" ""),COUNTA(SPLIT(A343,"" ""))))"),"Cravagliana")</f>
        <v>Cravagliana</v>
      </c>
      <c r="C343" s="6"/>
      <c r="D343" s="6" t="s">
        <v>321</v>
      </c>
      <c r="E343" s="7" t="s">
        <v>322</v>
      </c>
    </row>
    <row r="344">
      <c r="A344" s="4" t="s">
        <v>348</v>
      </c>
      <c r="B344" s="5" t="str">
        <f>IFERROR(__xludf.DUMMYFUNCTION("IF(A344="""","""",INDEX(SPLIT(A344,"" ""),COUNTA(SPLIT(A344,"" ""))))"),"Crescentino")</f>
        <v>Crescentino</v>
      </c>
      <c r="C344" s="6"/>
      <c r="D344" s="6" t="s">
        <v>321</v>
      </c>
      <c r="E344" s="7" t="s">
        <v>322</v>
      </c>
    </row>
    <row r="345">
      <c r="A345" s="4" t="s">
        <v>349</v>
      </c>
      <c r="B345" s="5" t="str">
        <f>IFERROR(__xludf.DUMMYFUNCTION("IF(A345="""","""",INDEX(SPLIT(A345,"" ""),COUNTA(SPLIT(A345,"" ""))))"),"Crova")</f>
        <v>Crova</v>
      </c>
      <c r="C345" s="6"/>
      <c r="D345" s="6" t="s">
        <v>321</v>
      </c>
      <c r="E345" s="7" t="s">
        <v>322</v>
      </c>
    </row>
    <row r="346">
      <c r="A346" s="4" t="s">
        <v>350</v>
      </c>
      <c r="B346" s="5" t="str">
        <f>IFERROR(__xludf.DUMMYFUNCTION("IF(A346="""","""",INDEX(SPLIT(A346,"" ""),COUNTA(SPLIT(A346,"" ""))))"),"Desana")</f>
        <v>Desana</v>
      </c>
      <c r="C346" s="6"/>
      <c r="D346" s="6" t="s">
        <v>321</v>
      </c>
      <c r="E346" s="7" t="s">
        <v>322</v>
      </c>
    </row>
    <row r="347">
      <c r="A347" s="4" t="s">
        <v>351</v>
      </c>
      <c r="B347" s="5" t="str">
        <f>IFERROR(__xludf.DUMMYFUNCTION("IF(A347="""","""",INDEX(SPLIT(A347,"" ""),COUNTA(SPLIT(A347,"" ""))))"),"Fobello")</f>
        <v>Fobello</v>
      </c>
      <c r="C347" s="6"/>
      <c r="D347" s="6" t="s">
        <v>321</v>
      </c>
      <c r="E347" s="7" t="s">
        <v>322</v>
      </c>
    </row>
    <row r="348">
      <c r="A348" s="4" t="s">
        <v>352</v>
      </c>
      <c r="B348" s="5" t="str">
        <f>IFERROR(__xludf.DUMMYFUNCTION("IF(A348="""","""",INDEX(SPLIT(A348,"" ""),COUNTA(SPLIT(A348,"" ""))))"),"Po")</f>
        <v>Po</v>
      </c>
      <c r="C348" s="6"/>
      <c r="D348" s="6" t="s">
        <v>321</v>
      </c>
      <c r="E348" s="7" t="s">
        <v>322</v>
      </c>
    </row>
    <row r="349">
      <c r="A349" s="4" t="s">
        <v>353</v>
      </c>
      <c r="B349" s="5" t="str">
        <f>IFERROR(__xludf.DUMMYFUNCTION("IF(A349="""","""",INDEX(SPLIT(A349,"" ""),COUNTA(SPLIT(A349,"" ""))))"),"Formigliana")</f>
        <v>Formigliana</v>
      </c>
      <c r="C349" s="6"/>
      <c r="D349" s="6" t="s">
        <v>321</v>
      </c>
      <c r="E349" s="7" t="s">
        <v>322</v>
      </c>
    </row>
    <row r="350">
      <c r="A350" s="4" t="s">
        <v>354</v>
      </c>
      <c r="B350" s="5" t="str">
        <f>IFERROR(__xludf.DUMMYFUNCTION("IF(A350="""","""",INDEX(SPLIT(A350,"" ""),COUNTA(SPLIT(A350,"" ""))))"),"Gattinara")</f>
        <v>Gattinara</v>
      </c>
      <c r="C350" s="6"/>
      <c r="D350" s="6" t="s">
        <v>321</v>
      </c>
      <c r="E350" s="7" t="s">
        <v>322</v>
      </c>
    </row>
    <row r="351">
      <c r="A351" s="4" t="s">
        <v>355</v>
      </c>
      <c r="B351" s="5" t="str">
        <f>IFERROR(__xludf.DUMMYFUNCTION("IF(A351="""","""",INDEX(SPLIT(A351,"" ""),COUNTA(SPLIT(A351,"" ""))))"),"Ghislarengo")</f>
        <v>Ghislarengo</v>
      </c>
      <c r="C351" s="6"/>
      <c r="D351" s="6" t="s">
        <v>321</v>
      </c>
      <c r="E351" s="7" t="s">
        <v>322</v>
      </c>
    </row>
    <row r="352">
      <c r="A352" s="4" t="s">
        <v>356</v>
      </c>
      <c r="B352" s="5" t="str">
        <f>IFERROR(__xludf.DUMMYFUNCTION("IF(A352="""","""",INDEX(SPLIT(A352,"" ""),COUNTA(SPLIT(A352,"" ""))))"),"Greggio")</f>
        <v>Greggio</v>
      </c>
      <c r="C352" s="6"/>
      <c r="D352" s="6" t="s">
        <v>321</v>
      </c>
      <c r="E352" s="7" t="s">
        <v>322</v>
      </c>
    </row>
    <row r="353">
      <c r="A353" s="4" t="s">
        <v>357</v>
      </c>
      <c r="B353" s="5" t="str">
        <f>IFERROR(__xludf.DUMMYFUNCTION("IF(A353="""","""",INDEX(SPLIT(A353,"" ""),COUNTA(SPLIT(A353,"" ""))))"),"Guardabosone")</f>
        <v>Guardabosone</v>
      </c>
      <c r="C353" s="6"/>
      <c r="D353" s="6" t="s">
        <v>321</v>
      </c>
      <c r="E353" s="7" t="s">
        <v>322</v>
      </c>
    </row>
    <row r="354">
      <c r="A354" s="4" t="s">
        <v>358</v>
      </c>
      <c r="B354" s="5" t="str">
        <f>IFERROR(__xludf.DUMMYFUNCTION("IF(A354="""","""",INDEX(SPLIT(A354,"" ""),COUNTA(SPLIT(A354,"" ""))))"),"Lamporo")</f>
        <v>Lamporo</v>
      </c>
      <c r="C354" s="6"/>
      <c r="D354" s="6" t="s">
        <v>321</v>
      </c>
      <c r="E354" s="7" t="s">
        <v>322</v>
      </c>
    </row>
    <row r="355">
      <c r="A355" s="4" t="s">
        <v>359</v>
      </c>
      <c r="B355" s="5" t="str">
        <f>IFERROR(__xludf.DUMMYFUNCTION("IF(A355="""","""",INDEX(SPLIT(A355,"" ""),COUNTA(SPLIT(A355,"" ""))))"),"Lenta")</f>
        <v>Lenta</v>
      </c>
      <c r="C355" s="6"/>
      <c r="D355" s="6" t="s">
        <v>321</v>
      </c>
      <c r="E355" s="7" t="s">
        <v>322</v>
      </c>
    </row>
    <row r="356">
      <c r="A356" s="4" t="s">
        <v>360</v>
      </c>
      <c r="B356" s="5" t="str">
        <f>IFERROR(__xludf.DUMMYFUNCTION("IF(A356="""","""",INDEX(SPLIT(A356,"" ""),COUNTA(SPLIT(A356,"" ""))))"),"Lignana")</f>
        <v>Lignana</v>
      </c>
      <c r="C356" s="6"/>
      <c r="D356" s="6" t="s">
        <v>321</v>
      </c>
      <c r="E356" s="7" t="s">
        <v>322</v>
      </c>
    </row>
    <row r="357">
      <c r="A357" s="4" t="s">
        <v>361</v>
      </c>
      <c r="B357" s="5" t="str">
        <f>IFERROR(__xludf.DUMMYFUNCTION("IF(A357="""","""",INDEX(SPLIT(A357,"" ""),COUNTA(SPLIT(A357,"" ""))))"),"Ferraris")</f>
        <v>Ferraris</v>
      </c>
      <c r="C357" s="6"/>
      <c r="D357" s="6" t="s">
        <v>321</v>
      </c>
      <c r="E357" s="7" t="s">
        <v>322</v>
      </c>
    </row>
    <row r="358">
      <c r="A358" s="4" t="s">
        <v>362</v>
      </c>
      <c r="B358" s="5" t="str">
        <f>IFERROR(__xludf.DUMMYFUNCTION("IF(A358="""","""",INDEX(SPLIT(A358,"" ""),COUNTA(SPLIT(A358,"" ""))))"),"Lozzolo")</f>
        <v>Lozzolo</v>
      </c>
      <c r="C358" s="6"/>
      <c r="D358" s="6" t="s">
        <v>321</v>
      </c>
      <c r="E358" s="7" t="s">
        <v>322</v>
      </c>
    </row>
    <row r="359">
      <c r="A359" s="4" t="s">
        <v>363</v>
      </c>
      <c r="B359" s="5" t="str">
        <f>IFERROR(__xludf.DUMMYFUNCTION("IF(A359="""","""",INDEX(SPLIT(A359,"" ""),COUNTA(SPLIT(A359,"" ""))))"),"Mollia")</f>
        <v>Mollia</v>
      </c>
      <c r="C359" s="6"/>
      <c r="D359" s="6" t="s">
        <v>321</v>
      </c>
      <c r="E359" s="7" t="s">
        <v>322</v>
      </c>
    </row>
    <row r="360">
      <c r="A360" s="4" t="s">
        <v>364</v>
      </c>
      <c r="B360" s="5" t="str">
        <f>IFERROR(__xludf.DUMMYFUNCTION("IF(A360="""","""",INDEX(SPLIT(A360,"" ""),COUNTA(SPLIT(A360,"" ""))))"),"Moncrivello")</f>
        <v>Moncrivello</v>
      </c>
      <c r="C360" s="6"/>
      <c r="D360" s="6" t="s">
        <v>321</v>
      </c>
      <c r="E360" s="7" t="s">
        <v>322</v>
      </c>
    </row>
    <row r="361">
      <c r="A361" s="4" t="s">
        <v>365</v>
      </c>
      <c r="B361" s="5" t="str">
        <f>IFERROR(__xludf.DUMMYFUNCTION("IF(A361="""","""",INDEX(SPLIT(A361,"" ""),COUNTA(SPLIT(A361,"" ""))))"),"Conti")</f>
        <v>Conti</v>
      </c>
      <c r="C361" s="6"/>
      <c r="D361" s="6" t="s">
        <v>321</v>
      </c>
      <c r="E361" s="7" t="s">
        <v>322</v>
      </c>
    </row>
    <row r="362">
      <c r="A362" s="4" t="s">
        <v>366</v>
      </c>
      <c r="B362" s="5" t="str">
        <f>IFERROR(__xludf.DUMMYFUNCTION("IF(A362="""","""",INDEX(SPLIT(A362,"" ""),COUNTA(SPLIT(A362,"" ""))))"),"Olcenengo")</f>
        <v>Olcenengo</v>
      </c>
      <c r="C362" s="6"/>
      <c r="D362" s="6" t="s">
        <v>321</v>
      </c>
      <c r="E362" s="7" t="s">
        <v>322</v>
      </c>
    </row>
    <row r="363">
      <c r="A363" s="4" t="s">
        <v>367</v>
      </c>
      <c r="B363" s="5" t="str">
        <f>IFERROR(__xludf.DUMMYFUNCTION("IF(A363="""","""",INDEX(SPLIT(A363,"" ""),COUNTA(SPLIT(A363,"" ""))))"),"Oldenico")</f>
        <v>Oldenico</v>
      </c>
      <c r="C363" s="6"/>
      <c r="D363" s="6" t="s">
        <v>321</v>
      </c>
      <c r="E363" s="7" t="s">
        <v>322</v>
      </c>
    </row>
    <row r="364">
      <c r="A364" s="4" t="s">
        <v>368</v>
      </c>
      <c r="B364" s="5" t="str">
        <f>IFERROR(__xludf.DUMMYFUNCTION("IF(A364="""","""",INDEX(SPLIT(A364,"" ""),COUNTA(SPLIT(A364,"" ""))))"),"Vercellese")</f>
        <v>Vercellese</v>
      </c>
      <c r="C364" s="6"/>
      <c r="D364" s="6" t="s">
        <v>321</v>
      </c>
      <c r="E364" s="7" t="s">
        <v>322</v>
      </c>
    </row>
    <row r="365">
      <c r="A365" s="4" t="s">
        <v>369</v>
      </c>
      <c r="B365" s="5" t="str">
        <f>IFERROR(__xludf.DUMMYFUNCTION("IF(A365="""","""",INDEX(SPLIT(A365,"" ""),COUNTA(SPLIT(A365,"" ""))))"),"Pertengo")</f>
        <v>Pertengo</v>
      </c>
      <c r="C365" s="6"/>
      <c r="D365" s="6" t="s">
        <v>321</v>
      </c>
      <c r="E365" s="7" t="s">
        <v>322</v>
      </c>
    </row>
    <row r="366">
      <c r="A366" s="4" t="s">
        <v>370</v>
      </c>
      <c r="B366" s="5" t="str">
        <f>IFERROR(__xludf.DUMMYFUNCTION("IF(A366="""","""",INDEX(SPLIT(A366,"" ""),COUNTA(SPLIT(A366,"" ""))))"),"Pezzana")</f>
        <v>Pezzana</v>
      </c>
      <c r="C366" s="6"/>
      <c r="D366" s="6" t="s">
        <v>321</v>
      </c>
      <c r="E366" s="7" t="s">
        <v>322</v>
      </c>
    </row>
    <row r="367">
      <c r="A367" s="4" t="s">
        <v>371</v>
      </c>
      <c r="B367" s="5" t="str">
        <f>IFERROR(__xludf.DUMMYFUNCTION("IF(A367="""","""",INDEX(SPLIT(A367,"" ""),COUNTA(SPLIT(A367,"" ""))))"),"Pila")</f>
        <v>Pila</v>
      </c>
      <c r="C367" s="6"/>
      <c r="D367" s="6" t="s">
        <v>321</v>
      </c>
      <c r="E367" s="7" t="s">
        <v>322</v>
      </c>
    </row>
    <row r="368">
      <c r="A368" s="4" t="s">
        <v>372</v>
      </c>
      <c r="B368" s="5" t="str">
        <f>IFERROR(__xludf.DUMMYFUNCTION("IF(A368="""","""",INDEX(SPLIT(A368,"" ""),COUNTA(SPLIT(A368,"" ""))))"),"Piode")</f>
        <v>Piode</v>
      </c>
      <c r="C368" s="6"/>
      <c r="D368" s="6" t="s">
        <v>321</v>
      </c>
      <c r="E368" s="7" t="s">
        <v>322</v>
      </c>
    </row>
    <row r="369">
      <c r="A369" s="4" t="s">
        <v>373</v>
      </c>
      <c r="B369" s="5" t="str">
        <f>IFERROR(__xludf.DUMMYFUNCTION("IF(A369="""","""",INDEX(SPLIT(A369,"" ""),COUNTA(SPLIT(A369,"" ""))))"),"Postua")</f>
        <v>Postua</v>
      </c>
      <c r="C369" s="6"/>
      <c r="D369" s="6" t="s">
        <v>321</v>
      </c>
      <c r="E369" s="7" t="s">
        <v>322</v>
      </c>
    </row>
    <row r="370">
      <c r="A370" s="4" t="s">
        <v>374</v>
      </c>
      <c r="B370" s="5" t="str">
        <f>IFERROR(__xludf.DUMMYFUNCTION("IF(A370="""","""",INDEX(SPLIT(A370,"" ""),COUNTA(SPLIT(A370,"" ""))))"),"Prarolo")</f>
        <v>Prarolo</v>
      </c>
      <c r="C370" s="6"/>
      <c r="D370" s="6" t="s">
        <v>321</v>
      </c>
      <c r="E370" s="7" t="s">
        <v>322</v>
      </c>
    </row>
    <row r="371">
      <c r="A371" s="4" t="s">
        <v>375</v>
      </c>
      <c r="B371" s="5" t="str">
        <f>IFERROR(__xludf.DUMMYFUNCTION("IF(A371="""","""",INDEX(SPLIT(A371,"" ""),COUNTA(SPLIT(A371,"" ""))))"),"Quarona")</f>
        <v>Quarona</v>
      </c>
      <c r="C371" s="6"/>
      <c r="D371" s="6" t="s">
        <v>321</v>
      </c>
      <c r="E371" s="7" t="s">
        <v>322</v>
      </c>
    </row>
    <row r="372">
      <c r="A372" s="4" t="s">
        <v>376</v>
      </c>
      <c r="B372" s="5" t="str">
        <f>IFERROR(__xludf.DUMMYFUNCTION("IF(A372="""","""",INDEX(SPLIT(A372,"" ""),COUNTA(SPLIT(A372,"" ""))))"),"Vercellese")</f>
        <v>Vercellese</v>
      </c>
      <c r="C372" s="6"/>
      <c r="D372" s="6" t="s">
        <v>321</v>
      </c>
      <c r="E372" s="7" t="s">
        <v>322</v>
      </c>
    </row>
    <row r="373">
      <c r="A373" s="4" t="s">
        <v>377</v>
      </c>
      <c r="B373" s="5" t="str">
        <f>IFERROR(__xludf.DUMMYFUNCTION("IF(A373="""","""",INDEX(SPLIT(A373,"" ""),COUNTA(SPLIT(A373,"" ""))))"),"Rassa")</f>
        <v>Rassa</v>
      </c>
      <c r="C373" s="6"/>
      <c r="D373" s="6" t="s">
        <v>321</v>
      </c>
      <c r="E373" s="7" t="s">
        <v>322</v>
      </c>
    </row>
    <row r="374">
      <c r="A374" s="4" t="s">
        <v>378</v>
      </c>
      <c r="B374" s="5" t="str">
        <f>IFERROR(__xludf.DUMMYFUNCTION("IF(A374="""","""",INDEX(SPLIT(A374,"" ""),COUNTA(SPLIT(A374,"" ""))))"),"Rimella")</f>
        <v>Rimella</v>
      </c>
      <c r="C374" s="6"/>
      <c r="D374" s="6" t="s">
        <v>321</v>
      </c>
      <c r="E374" s="7" t="s">
        <v>322</v>
      </c>
    </row>
    <row r="375">
      <c r="A375" s="4" t="s">
        <v>379</v>
      </c>
      <c r="B375" s="5" t="str">
        <f>IFERROR(__xludf.DUMMYFUNCTION("IF(A375="""","""",INDEX(SPLIT(A375,"" ""),COUNTA(SPLIT(A375,"" ""))))"),"Valdobbia")</f>
        <v>Valdobbia</v>
      </c>
      <c r="C375" s="6"/>
      <c r="D375" s="6" t="s">
        <v>321</v>
      </c>
      <c r="E375" s="7" t="s">
        <v>322</v>
      </c>
    </row>
    <row r="376">
      <c r="A376" s="4" t="s">
        <v>380</v>
      </c>
      <c r="B376" s="5" t="str">
        <f>IFERROR(__xludf.DUMMYFUNCTION("IF(A376="""","""",INDEX(SPLIT(A376,"" ""),COUNTA(SPLIT(A376,"" ""))))"),"Rive")</f>
        <v>Rive</v>
      </c>
      <c r="C376" s="6"/>
      <c r="D376" s="6" t="s">
        <v>321</v>
      </c>
      <c r="E376" s="7" t="s">
        <v>322</v>
      </c>
    </row>
    <row r="377">
      <c r="A377" s="4" t="s">
        <v>381</v>
      </c>
      <c r="B377" s="5" t="str">
        <f>IFERROR(__xludf.DUMMYFUNCTION("IF(A377="""","""",INDEX(SPLIT(A377,"" ""),COUNTA(SPLIT(A377,"" ""))))"),"Roasio")</f>
        <v>Roasio</v>
      </c>
      <c r="C377" s="6"/>
      <c r="D377" s="6" t="s">
        <v>321</v>
      </c>
      <c r="E377" s="7" t="s">
        <v>322</v>
      </c>
    </row>
    <row r="378">
      <c r="A378" s="4" t="s">
        <v>382</v>
      </c>
      <c r="B378" s="5" t="str">
        <f>IFERROR(__xludf.DUMMYFUNCTION("IF(A378="""","""",INDEX(SPLIT(A378,"" ""),COUNTA(SPLIT(A378,"" ""))))"),"Ronsecco")</f>
        <v>Ronsecco</v>
      </c>
      <c r="C378" s="6"/>
      <c r="D378" s="6" t="s">
        <v>321</v>
      </c>
      <c r="E378" s="7" t="s">
        <v>322</v>
      </c>
    </row>
    <row r="379">
      <c r="A379" s="4" t="s">
        <v>383</v>
      </c>
      <c r="B379" s="5" t="str">
        <f>IFERROR(__xludf.DUMMYFUNCTION("IF(A379="""","""",INDEX(SPLIT(A379,"" ""),COUNTA(SPLIT(A379,"" ""))))"),"Rossa")</f>
        <v>Rossa</v>
      </c>
      <c r="C379" s="6"/>
      <c r="D379" s="6" t="s">
        <v>321</v>
      </c>
      <c r="E379" s="7" t="s">
        <v>322</v>
      </c>
    </row>
    <row r="380">
      <c r="A380" s="4" t="s">
        <v>384</v>
      </c>
      <c r="B380" s="5" t="str">
        <f>IFERROR(__xludf.DUMMYFUNCTION("IF(A380="""","""",INDEX(SPLIT(A380,"" ""),COUNTA(SPLIT(A380,"" ""))))"),"Rovasenda")</f>
        <v>Rovasenda</v>
      </c>
      <c r="C380" s="6"/>
      <c r="D380" s="6" t="s">
        <v>321</v>
      </c>
      <c r="E380" s="7" t="s">
        <v>322</v>
      </c>
    </row>
    <row r="381">
      <c r="A381" s="4" t="s">
        <v>385</v>
      </c>
      <c r="B381" s="5" t="str">
        <f>IFERROR(__xludf.DUMMYFUNCTION("IF(A381="""","""",INDEX(SPLIT(A381,"" ""),COUNTA(SPLIT(A381,"" ""))))"),"Salasco")</f>
        <v>Salasco</v>
      </c>
      <c r="C381" s="6"/>
      <c r="D381" s="6" t="s">
        <v>321</v>
      </c>
      <c r="E381" s="7" t="s">
        <v>322</v>
      </c>
    </row>
    <row r="382">
      <c r="A382" s="4" t="s">
        <v>386</v>
      </c>
      <c r="B382" s="5" t="str">
        <f>IFERROR(__xludf.DUMMYFUNCTION("IF(A382="""","""",INDEX(SPLIT(A382,"" ""),COUNTA(SPLIT(A382,"" ""))))"),"Vercellese")</f>
        <v>Vercellese</v>
      </c>
      <c r="C382" s="6"/>
      <c r="D382" s="6" t="s">
        <v>321</v>
      </c>
      <c r="E382" s="7" t="s">
        <v>322</v>
      </c>
    </row>
    <row r="383">
      <c r="A383" s="4" t="s">
        <v>387</v>
      </c>
      <c r="B383" s="5" t="str">
        <f>IFERROR(__xludf.DUMMYFUNCTION("IF(A383="""","""",INDEX(SPLIT(A383,"" ""),COUNTA(SPLIT(A383,"" ""))))"),"Saluggia")</f>
        <v>Saluggia</v>
      </c>
      <c r="C383" s="6"/>
      <c r="D383" s="6" t="s">
        <v>321</v>
      </c>
      <c r="E383" s="7" t="s">
        <v>322</v>
      </c>
    </row>
    <row r="384">
      <c r="A384" s="4" t="s">
        <v>388</v>
      </c>
      <c r="B384" s="5" t="str">
        <f>IFERROR(__xludf.DUMMYFUNCTION("IF(A384="""","""",INDEX(SPLIT(A384,"" ""),COUNTA(SPLIT(A384,"" ""))))"),"Vercellese")</f>
        <v>Vercellese</v>
      </c>
      <c r="C384" s="6"/>
      <c r="D384" s="6" t="s">
        <v>321</v>
      </c>
      <c r="E384" s="7" t="s">
        <v>322</v>
      </c>
    </row>
    <row r="385">
      <c r="A385" s="4" t="s">
        <v>389</v>
      </c>
      <c r="B385" s="5" t="str">
        <f>IFERROR(__xludf.DUMMYFUNCTION("IF(A385="""","""",INDEX(SPLIT(A385,"" ""),COUNTA(SPLIT(A385,"" ""))))"),"Santhià")</f>
        <v>Santhià</v>
      </c>
      <c r="C385" s="6"/>
      <c r="D385" s="6" t="s">
        <v>321</v>
      </c>
      <c r="E385" s="7" t="s">
        <v>322</v>
      </c>
    </row>
    <row r="386">
      <c r="A386" s="4" t="s">
        <v>390</v>
      </c>
      <c r="B386" s="5" t="str">
        <f>IFERROR(__xludf.DUMMYFUNCTION("IF(A386="""","""",INDEX(SPLIT(A386,"" ""),COUNTA(SPLIT(A386,"" ""))))"),"Scopa")</f>
        <v>Scopa</v>
      </c>
      <c r="C386" s="6"/>
      <c r="D386" s="6" t="s">
        <v>321</v>
      </c>
      <c r="E386" s="7" t="s">
        <v>322</v>
      </c>
    </row>
    <row r="387">
      <c r="A387" s="4" t="s">
        <v>391</v>
      </c>
      <c r="B387" s="5" t="str">
        <f>IFERROR(__xludf.DUMMYFUNCTION("IF(A387="""","""",INDEX(SPLIT(A387,"" ""),COUNTA(SPLIT(A387,"" ""))))"),"Scopello")</f>
        <v>Scopello</v>
      </c>
      <c r="C387" s="6"/>
      <c r="D387" s="6" t="s">
        <v>321</v>
      </c>
      <c r="E387" s="7" t="s">
        <v>322</v>
      </c>
    </row>
    <row r="388">
      <c r="A388" s="4" t="s">
        <v>392</v>
      </c>
      <c r="B388" s="5" t="str">
        <f>IFERROR(__xludf.DUMMYFUNCTION("IF(A388="""","""",INDEX(SPLIT(A388,"" ""),COUNTA(SPLIT(A388,"" ""))))"),"Sesia")</f>
        <v>Sesia</v>
      </c>
      <c r="C388" s="6"/>
      <c r="D388" s="6" t="s">
        <v>321</v>
      </c>
      <c r="E388" s="7" t="s">
        <v>322</v>
      </c>
    </row>
    <row r="389">
      <c r="A389" s="4" t="s">
        <v>393</v>
      </c>
      <c r="B389" s="5" t="str">
        <f>IFERROR(__xludf.DUMMYFUNCTION("IF(A389="""","""",INDEX(SPLIT(A389,"" ""),COUNTA(SPLIT(A389,"" ""))))"),"Stroppiana")</f>
        <v>Stroppiana</v>
      </c>
      <c r="C389" s="6"/>
      <c r="D389" s="6" t="s">
        <v>321</v>
      </c>
      <c r="E389" s="7" t="s">
        <v>322</v>
      </c>
    </row>
    <row r="390">
      <c r="A390" s="4" t="s">
        <v>394</v>
      </c>
      <c r="B390" s="5" t="str">
        <f>IFERROR(__xludf.DUMMYFUNCTION("IF(A390="""","""",INDEX(SPLIT(A390,"" ""),COUNTA(SPLIT(A390,"" ""))))"),"Tricerro")</f>
        <v>Tricerro</v>
      </c>
      <c r="C390" s="6"/>
      <c r="D390" s="6" t="s">
        <v>321</v>
      </c>
      <c r="E390" s="7" t="s">
        <v>322</v>
      </c>
    </row>
    <row r="391">
      <c r="A391" s="4" t="s">
        <v>395</v>
      </c>
      <c r="B391" s="5" t="str">
        <f>IFERROR(__xludf.DUMMYFUNCTION("IF(A391="""","""",INDEX(SPLIT(A391,"" ""),COUNTA(SPLIT(A391,"" ""))))"),"Trino")</f>
        <v>Trino</v>
      </c>
      <c r="C391" s="6"/>
      <c r="D391" s="6" t="s">
        <v>321</v>
      </c>
      <c r="E391" s="7" t="s">
        <v>322</v>
      </c>
    </row>
    <row r="392">
      <c r="A392" s="4" t="s">
        <v>396</v>
      </c>
      <c r="B392" s="5" t="str">
        <f>IFERROR(__xludf.DUMMYFUNCTION("IF(A392="""","""",INDEX(SPLIT(A392,"" ""),COUNTA(SPLIT(A392,"" ""))))"),"Vercellese")</f>
        <v>Vercellese</v>
      </c>
      <c r="C392" s="6"/>
      <c r="D392" s="6" t="s">
        <v>321</v>
      </c>
      <c r="E392" s="7" t="s">
        <v>322</v>
      </c>
    </row>
    <row r="393">
      <c r="A393" s="4" t="s">
        <v>397</v>
      </c>
      <c r="B393" s="5" t="str">
        <f>IFERROR(__xludf.DUMMYFUNCTION("IF(A393="""","""",INDEX(SPLIT(A393,"" ""),COUNTA(SPLIT(A393,"" ""))))"),"Valduggia")</f>
        <v>Valduggia</v>
      </c>
      <c r="C393" s="6"/>
      <c r="D393" s="6" t="s">
        <v>321</v>
      </c>
      <c r="E393" s="7" t="s">
        <v>322</v>
      </c>
    </row>
    <row r="394">
      <c r="A394" s="4" t="s">
        <v>398</v>
      </c>
      <c r="B394" s="5" t="str">
        <f>IFERROR(__xludf.DUMMYFUNCTION("IF(A394="""","""",INDEX(SPLIT(A394,"" ""),COUNTA(SPLIT(A394,"" ""))))"),"Varallo")</f>
        <v>Varallo</v>
      </c>
      <c r="C394" s="6"/>
      <c r="D394" s="6" t="s">
        <v>321</v>
      </c>
      <c r="E394" s="7" t="s">
        <v>322</v>
      </c>
    </row>
    <row r="395">
      <c r="A395" s="4" t="s">
        <v>321</v>
      </c>
      <c r="B395" s="5" t="str">
        <f>IFERROR(__xludf.DUMMYFUNCTION("IF(A395="""","""",INDEX(SPLIT(A395,"" ""),COUNTA(SPLIT(A395,"" ""))))"),"Vercelli")</f>
        <v>Vercelli</v>
      </c>
      <c r="C395" s="6"/>
      <c r="D395" s="6" t="s">
        <v>321</v>
      </c>
      <c r="E395" s="7" t="s">
        <v>322</v>
      </c>
    </row>
    <row r="396">
      <c r="A396" s="4" t="s">
        <v>399</v>
      </c>
      <c r="B396" s="5" t="str">
        <f>IFERROR(__xludf.DUMMYFUNCTION("IF(A396="""","""",INDEX(SPLIT(A396,"" ""),COUNTA(SPLIT(A396,"" ""))))"),"Villarboit")</f>
        <v>Villarboit</v>
      </c>
      <c r="C396" s="6"/>
      <c r="D396" s="6" t="s">
        <v>321</v>
      </c>
      <c r="E396" s="7" t="s">
        <v>322</v>
      </c>
    </row>
    <row r="397">
      <c r="A397" s="4" t="s">
        <v>400</v>
      </c>
      <c r="B397" s="5" t="str">
        <f>IFERROR(__xludf.DUMMYFUNCTION("IF(A397="""","""",INDEX(SPLIT(A397,"" ""),COUNTA(SPLIT(A397,"" ""))))"),"Villata")</f>
        <v>Villata</v>
      </c>
      <c r="C397" s="6"/>
      <c r="D397" s="6" t="s">
        <v>321</v>
      </c>
      <c r="E397" s="7" t="s">
        <v>322</v>
      </c>
    </row>
    <row r="398">
      <c r="A398" s="4" t="s">
        <v>401</v>
      </c>
      <c r="B398" s="5" t="str">
        <f>IFERROR(__xludf.DUMMYFUNCTION("IF(A398="""","""",INDEX(SPLIT(A398,"" ""),COUNTA(SPLIT(A398,"" ""))))"),"Vocca")</f>
        <v>Vocca</v>
      </c>
      <c r="C398" s="6"/>
      <c r="D398" s="6" t="s">
        <v>321</v>
      </c>
      <c r="E398" s="7" t="s">
        <v>322</v>
      </c>
    </row>
    <row r="399">
      <c r="A399" s="4" t="s">
        <v>402</v>
      </c>
      <c r="B399" s="5" t="str">
        <f>IFERROR(__xludf.DUMMYFUNCTION("IF(A399="""","""",INDEX(SPLIT(A399,"" ""),COUNTA(SPLIT(A399,"" ""))))"),"Sermenza")</f>
        <v>Sermenza</v>
      </c>
      <c r="C399" s="6"/>
      <c r="D399" s="6" t="s">
        <v>321</v>
      </c>
      <c r="E399" s="7" t="s">
        <v>322</v>
      </c>
    </row>
    <row r="400">
      <c r="A400" s="4" t="s">
        <v>403</v>
      </c>
      <c r="B400" s="5" t="str">
        <f>IFERROR(__xludf.DUMMYFUNCTION("IF(A400="""","""",INDEX(SPLIT(A400,"" ""),COUNTA(SPLIT(A400,"" ""))))"),"Breia")</f>
        <v>Breia</v>
      </c>
      <c r="C400" s="6"/>
      <c r="D400" s="6" t="s">
        <v>321</v>
      </c>
      <c r="E400" s="7" t="s">
        <v>322</v>
      </c>
    </row>
    <row r="401">
      <c r="A401" s="4" t="s">
        <v>404</v>
      </c>
      <c r="B401" s="5" t="str">
        <f>IFERROR(__xludf.DUMMYFUNCTION("IF(A401="""","""",INDEX(SPLIT(A401,"" ""),COUNTA(SPLIT(A401,"" ""))))"),"Conturbia")</f>
        <v>Conturbia</v>
      </c>
      <c r="C401" s="6"/>
      <c r="D401" s="6" t="s">
        <v>405</v>
      </c>
      <c r="E401" s="7" t="s">
        <v>406</v>
      </c>
    </row>
    <row r="402">
      <c r="A402" s="4" t="s">
        <v>407</v>
      </c>
      <c r="B402" s="5" t="str">
        <f>IFERROR(__xludf.DUMMYFUNCTION("IF(A402="""","""",INDEX(SPLIT(A402,"" ""),COUNTA(SPLIT(A402,"" ""))))"),"Ameno")</f>
        <v>Ameno</v>
      </c>
      <c r="C402" s="6"/>
      <c r="D402" s="6" t="s">
        <v>405</v>
      </c>
      <c r="E402" s="7" t="s">
        <v>406</v>
      </c>
    </row>
    <row r="403">
      <c r="A403" s="4" t="s">
        <v>408</v>
      </c>
      <c r="B403" s="5" t="str">
        <f>IFERROR(__xludf.DUMMYFUNCTION("IF(A403="""","""",INDEX(SPLIT(A403,"" ""),COUNTA(SPLIT(A403,"" ""))))"),"Armeno")</f>
        <v>Armeno</v>
      </c>
      <c r="C403" s="6"/>
      <c r="D403" s="6" t="s">
        <v>405</v>
      </c>
      <c r="E403" s="7" t="s">
        <v>406</v>
      </c>
    </row>
    <row r="404">
      <c r="A404" s="4" t="s">
        <v>409</v>
      </c>
      <c r="B404" s="5" t="str">
        <f>IFERROR(__xludf.DUMMYFUNCTION("IF(A404="""","""",INDEX(SPLIT(A404,"" ""),COUNTA(SPLIT(A404,"" ""))))"),"Arona")</f>
        <v>Arona</v>
      </c>
      <c r="C404" s="6"/>
      <c r="D404" s="6" t="s">
        <v>405</v>
      </c>
      <c r="E404" s="7" t="s">
        <v>406</v>
      </c>
    </row>
    <row r="405">
      <c r="A405" s="4" t="s">
        <v>410</v>
      </c>
      <c r="B405" s="5" t="str">
        <f>IFERROR(__xludf.DUMMYFUNCTION("IF(A405="""","""",INDEX(SPLIT(A405,"" ""),COUNTA(SPLIT(A405,"" ""))))"),"Barengo")</f>
        <v>Barengo</v>
      </c>
      <c r="C405" s="6"/>
      <c r="D405" s="6" t="s">
        <v>405</v>
      </c>
      <c r="E405" s="7" t="s">
        <v>406</v>
      </c>
    </row>
    <row r="406">
      <c r="A406" s="4" t="s">
        <v>411</v>
      </c>
      <c r="B406" s="5" t="str">
        <f>IFERROR(__xludf.DUMMYFUNCTION("IF(A406="""","""",INDEX(SPLIT(A406,"" ""),COUNTA(SPLIT(A406,"" ""))))"),"Novarese")</f>
        <v>Novarese</v>
      </c>
      <c r="C406" s="6"/>
      <c r="D406" s="6" t="s">
        <v>405</v>
      </c>
      <c r="E406" s="7" t="s">
        <v>406</v>
      </c>
    </row>
    <row r="407">
      <c r="A407" s="4" t="s">
        <v>412</v>
      </c>
      <c r="B407" s="5" t="str">
        <f>IFERROR(__xludf.DUMMYFUNCTION("IF(A407="""","""",INDEX(SPLIT(A407,"" ""),COUNTA(SPLIT(A407,"" ""))))"),"Biandrate")</f>
        <v>Biandrate</v>
      </c>
      <c r="C407" s="6"/>
      <c r="D407" s="6" t="s">
        <v>405</v>
      </c>
      <c r="E407" s="7" t="s">
        <v>406</v>
      </c>
    </row>
    <row r="408">
      <c r="A408" s="4" t="s">
        <v>413</v>
      </c>
      <c r="B408" s="5" t="str">
        <f>IFERROR(__xludf.DUMMYFUNCTION("IF(A408="""","""",INDEX(SPLIT(A408,"" ""),COUNTA(SPLIT(A408,"" ""))))"),"Boca")</f>
        <v>Boca</v>
      </c>
      <c r="C408" s="6"/>
      <c r="D408" s="6" t="s">
        <v>405</v>
      </c>
      <c r="E408" s="7" t="s">
        <v>406</v>
      </c>
    </row>
    <row r="409">
      <c r="A409" s="4" t="s">
        <v>414</v>
      </c>
      <c r="B409" s="5" t="str">
        <f>IFERROR(__xludf.DUMMYFUNCTION("IF(A409="""","""",INDEX(SPLIT(A409,"" ""),COUNTA(SPLIT(A409,"" ""))))"),"Bogogno")</f>
        <v>Bogogno</v>
      </c>
      <c r="C409" s="6"/>
      <c r="D409" s="6" t="s">
        <v>405</v>
      </c>
      <c r="E409" s="7" t="s">
        <v>406</v>
      </c>
    </row>
    <row r="410">
      <c r="A410" s="4" t="s">
        <v>415</v>
      </c>
      <c r="B410" s="5" t="str">
        <f>IFERROR(__xludf.DUMMYFUNCTION("IF(A410="""","""",INDEX(SPLIT(A410,"" ""),COUNTA(SPLIT(A410,"" ""))))"),"Novarese")</f>
        <v>Novarese</v>
      </c>
      <c r="C410" s="6"/>
      <c r="D410" s="6" t="s">
        <v>405</v>
      </c>
      <c r="E410" s="7" t="s">
        <v>406</v>
      </c>
    </row>
    <row r="411">
      <c r="A411" s="4" t="s">
        <v>416</v>
      </c>
      <c r="B411" s="5" t="str">
        <f>IFERROR(__xludf.DUMMYFUNCTION("IF(A411="""","""",INDEX(SPLIT(A411,"" ""),COUNTA(SPLIT(A411,"" ""))))"),"Borgolavezzaro")</f>
        <v>Borgolavezzaro</v>
      </c>
      <c r="C411" s="6"/>
      <c r="D411" s="6" t="s">
        <v>405</v>
      </c>
      <c r="E411" s="7" t="s">
        <v>406</v>
      </c>
    </row>
    <row r="412">
      <c r="A412" s="4" t="s">
        <v>417</v>
      </c>
      <c r="B412" s="5" t="str">
        <f>IFERROR(__xludf.DUMMYFUNCTION("IF(A412="""","""",INDEX(SPLIT(A412,"" ""),COUNTA(SPLIT(A412,"" ""))))"),"Borgomanero")</f>
        <v>Borgomanero</v>
      </c>
      <c r="C412" s="6"/>
      <c r="D412" s="6" t="s">
        <v>405</v>
      </c>
      <c r="E412" s="7" t="s">
        <v>406</v>
      </c>
    </row>
    <row r="413">
      <c r="A413" s="4" t="s">
        <v>418</v>
      </c>
      <c r="B413" s="5" t="str">
        <f>IFERROR(__xludf.DUMMYFUNCTION("IF(A413="""","""",INDEX(SPLIT(A413,"" ""),COUNTA(SPLIT(A413,"" ""))))"),"Ticino")</f>
        <v>Ticino</v>
      </c>
      <c r="C413" s="6"/>
      <c r="D413" s="6" t="s">
        <v>405</v>
      </c>
      <c r="E413" s="7" t="s">
        <v>406</v>
      </c>
    </row>
    <row r="414">
      <c r="A414" s="4" t="s">
        <v>419</v>
      </c>
      <c r="B414" s="5" t="str">
        <f>IFERROR(__xludf.DUMMYFUNCTION("IF(A414="""","""",INDEX(SPLIT(A414,"" ""),COUNTA(SPLIT(A414,"" ""))))"),"Novarese")</f>
        <v>Novarese</v>
      </c>
      <c r="C414" s="6"/>
      <c r="D414" s="6" t="s">
        <v>405</v>
      </c>
      <c r="E414" s="7" t="s">
        <v>406</v>
      </c>
    </row>
    <row r="415">
      <c r="A415" s="4" t="s">
        <v>420</v>
      </c>
      <c r="B415" s="5" t="str">
        <f>IFERROR(__xludf.DUMMYFUNCTION("IF(A415="""","""",INDEX(SPLIT(A415,"" ""),COUNTA(SPLIT(A415,"" ""))))"),"Briona")</f>
        <v>Briona</v>
      </c>
      <c r="C415" s="6"/>
      <c r="D415" s="6" t="s">
        <v>405</v>
      </c>
      <c r="E415" s="7" t="s">
        <v>406</v>
      </c>
    </row>
    <row r="416">
      <c r="A416" s="4" t="s">
        <v>421</v>
      </c>
      <c r="B416" s="5" t="str">
        <f>IFERROR(__xludf.DUMMYFUNCTION("IF(A416="""","""",INDEX(SPLIT(A416,"" ""),COUNTA(SPLIT(A416,"" ""))))"),"Caltignaga")</f>
        <v>Caltignaga</v>
      </c>
      <c r="C416" s="6"/>
      <c r="D416" s="6" t="s">
        <v>405</v>
      </c>
      <c r="E416" s="7" t="s">
        <v>406</v>
      </c>
    </row>
    <row r="417">
      <c r="A417" s="4" t="s">
        <v>422</v>
      </c>
      <c r="B417" s="5" t="str">
        <f>IFERROR(__xludf.DUMMYFUNCTION("IF(A417="""","""",INDEX(SPLIT(A417,"" ""),COUNTA(SPLIT(A417,"" ""))))"),"Cameri")</f>
        <v>Cameri</v>
      </c>
      <c r="C417" s="6"/>
      <c r="D417" s="6" t="s">
        <v>405</v>
      </c>
      <c r="E417" s="7" t="s">
        <v>406</v>
      </c>
    </row>
    <row r="418">
      <c r="A418" s="4" t="s">
        <v>423</v>
      </c>
      <c r="B418" s="5" t="str">
        <f>IFERROR(__xludf.DUMMYFUNCTION("IF(A418="""","""",INDEX(SPLIT(A418,"" ""),COUNTA(SPLIT(A418,"" ""))))"),"Sesia")</f>
        <v>Sesia</v>
      </c>
      <c r="C418" s="6"/>
      <c r="D418" s="6" t="s">
        <v>405</v>
      </c>
      <c r="E418" s="7" t="s">
        <v>406</v>
      </c>
    </row>
    <row r="419">
      <c r="A419" s="4" t="s">
        <v>424</v>
      </c>
      <c r="B419" s="5" t="str">
        <f>IFERROR(__xludf.DUMMYFUNCTION("IF(A419="""","""",INDEX(SPLIT(A419,"" ""),COUNTA(SPLIT(A419,"" ""))))"),"Casalbeltrame")</f>
        <v>Casalbeltrame</v>
      </c>
      <c r="C419" s="6"/>
      <c r="D419" s="6" t="s">
        <v>405</v>
      </c>
      <c r="E419" s="7" t="s">
        <v>406</v>
      </c>
    </row>
    <row r="420">
      <c r="A420" s="4" t="s">
        <v>425</v>
      </c>
      <c r="B420" s="5" t="str">
        <f>IFERROR(__xludf.DUMMYFUNCTION("IF(A420="""","""",INDEX(SPLIT(A420,"" ""),COUNTA(SPLIT(A420,"" ""))))"),"Novara")</f>
        <v>Novara</v>
      </c>
      <c r="C420" s="6"/>
      <c r="D420" s="6" t="s">
        <v>405</v>
      </c>
      <c r="E420" s="7" t="s">
        <v>406</v>
      </c>
    </row>
    <row r="421">
      <c r="A421" s="4" t="s">
        <v>426</v>
      </c>
      <c r="B421" s="5" t="str">
        <f>IFERROR(__xludf.DUMMYFUNCTION("IF(A421="""","""",INDEX(SPLIT(A421,"" ""),COUNTA(SPLIT(A421,"" ""))))"),"Casalino")</f>
        <v>Casalino</v>
      </c>
      <c r="C421" s="6"/>
      <c r="D421" s="6" t="s">
        <v>405</v>
      </c>
      <c r="E421" s="7" t="s">
        <v>406</v>
      </c>
    </row>
    <row r="422">
      <c r="A422" s="4" t="s">
        <v>427</v>
      </c>
      <c r="B422" s="5" t="str">
        <f>IFERROR(__xludf.DUMMYFUNCTION("IF(A422="""","""",INDEX(SPLIT(A422,"" ""),COUNTA(SPLIT(A422,"" ""))))"),"Casalvolone")</f>
        <v>Casalvolone</v>
      </c>
      <c r="C422" s="6"/>
      <c r="D422" s="6" t="s">
        <v>405</v>
      </c>
      <c r="E422" s="7" t="s">
        <v>406</v>
      </c>
    </row>
    <row r="423">
      <c r="A423" s="4" t="s">
        <v>428</v>
      </c>
      <c r="B423" s="5" t="str">
        <f>IFERROR(__xludf.DUMMYFUNCTION("IF(A423="""","""",INDEX(SPLIT(A423,"" ""),COUNTA(SPLIT(A423,"" ""))))"),"Novarese")</f>
        <v>Novarese</v>
      </c>
      <c r="C423" s="6"/>
      <c r="D423" s="6" t="s">
        <v>405</v>
      </c>
      <c r="E423" s="7" t="s">
        <v>406</v>
      </c>
    </row>
    <row r="424">
      <c r="A424" s="4" t="s">
        <v>429</v>
      </c>
      <c r="B424" s="5" t="str">
        <f>IFERROR(__xludf.DUMMYFUNCTION("IF(A424="""","""",INDEX(SPLIT(A424,"" ""),COUNTA(SPLIT(A424,"" ""))))"),"Ticino")</f>
        <v>Ticino</v>
      </c>
      <c r="C424" s="6"/>
      <c r="D424" s="6" t="s">
        <v>405</v>
      </c>
      <c r="E424" s="7" t="s">
        <v>406</v>
      </c>
    </row>
    <row r="425">
      <c r="A425" s="4" t="s">
        <v>430</v>
      </c>
      <c r="B425" s="5" t="str">
        <f>IFERROR(__xludf.DUMMYFUNCTION("IF(A425="""","""",INDEX(SPLIT(A425,"" ""),COUNTA(SPLIT(A425,"" ""))))"),"Cavaglietto")</f>
        <v>Cavaglietto</v>
      </c>
      <c r="C425" s="6"/>
      <c r="D425" s="6" t="s">
        <v>405</v>
      </c>
      <c r="E425" s="7" t="s">
        <v>406</v>
      </c>
    </row>
    <row r="426">
      <c r="A426" s="4" t="s">
        <v>431</v>
      </c>
      <c r="B426" s="5" t="str">
        <f>IFERROR(__xludf.DUMMYFUNCTION("IF(A426="""","""",INDEX(SPLIT(A426,"" ""),COUNTA(SPLIT(A426,"" ""))))"),"d'Agogna")</f>
        <v>d'Agogna</v>
      </c>
      <c r="C426" s="6"/>
      <c r="D426" s="6" t="s">
        <v>405</v>
      </c>
      <c r="E426" s="7" t="s">
        <v>406</v>
      </c>
    </row>
    <row r="427">
      <c r="A427" s="4" t="s">
        <v>432</v>
      </c>
      <c r="B427" s="5" t="str">
        <f>IFERROR(__xludf.DUMMYFUNCTION("IF(A427="""","""",INDEX(SPLIT(A427,"" ""),COUNTA(SPLIT(A427,"" ""))))"),"Cavallirio")</f>
        <v>Cavallirio</v>
      </c>
      <c r="C427" s="6"/>
      <c r="D427" s="6" t="s">
        <v>405</v>
      </c>
      <c r="E427" s="7" t="s">
        <v>406</v>
      </c>
    </row>
    <row r="428">
      <c r="A428" s="4" t="s">
        <v>433</v>
      </c>
      <c r="B428" s="5" t="str">
        <f>IFERROR(__xludf.DUMMYFUNCTION("IF(A428="""","""",INDEX(SPLIT(A428,"" ""),COUNTA(SPLIT(A428,"" ""))))"),"Cerano")</f>
        <v>Cerano</v>
      </c>
      <c r="C428" s="6"/>
      <c r="D428" s="6" t="s">
        <v>405</v>
      </c>
      <c r="E428" s="7" t="s">
        <v>406</v>
      </c>
    </row>
    <row r="429">
      <c r="A429" s="4" t="s">
        <v>434</v>
      </c>
      <c r="B429" s="5" t="str">
        <f>IFERROR(__xludf.DUMMYFUNCTION("IF(A429="""","""",INDEX(SPLIT(A429,"" ""),COUNTA(SPLIT(A429,"" ""))))"),"Colazza")</f>
        <v>Colazza</v>
      </c>
      <c r="C429" s="6"/>
      <c r="D429" s="6" t="s">
        <v>405</v>
      </c>
      <c r="E429" s="7" t="s">
        <v>406</v>
      </c>
    </row>
    <row r="430">
      <c r="A430" s="4" t="s">
        <v>435</v>
      </c>
      <c r="B430" s="5" t="str">
        <f>IFERROR(__xludf.DUMMYFUNCTION("IF(A430="""","""",INDEX(SPLIT(A430,"" ""),COUNTA(SPLIT(A430,"" ""))))"),"Comignago")</f>
        <v>Comignago</v>
      </c>
      <c r="C430" s="6"/>
      <c r="D430" s="6" t="s">
        <v>405</v>
      </c>
      <c r="E430" s="7" t="s">
        <v>406</v>
      </c>
    </row>
    <row r="431">
      <c r="A431" s="4" t="s">
        <v>436</v>
      </c>
      <c r="B431" s="5" t="str">
        <f>IFERROR(__xludf.DUMMYFUNCTION("IF(A431="""","""",INDEX(SPLIT(A431,"" ""),COUNTA(SPLIT(A431,"" ""))))"),"Cressa")</f>
        <v>Cressa</v>
      </c>
      <c r="C431" s="6"/>
      <c r="D431" s="6" t="s">
        <v>405</v>
      </c>
      <c r="E431" s="7" t="s">
        <v>406</v>
      </c>
    </row>
    <row r="432">
      <c r="A432" s="4" t="s">
        <v>437</v>
      </c>
      <c r="B432" s="5" t="str">
        <f>IFERROR(__xludf.DUMMYFUNCTION("IF(A432="""","""",INDEX(SPLIT(A432,"" ""),COUNTA(SPLIT(A432,"" ""))))"),"Cureggio")</f>
        <v>Cureggio</v>
      </c>
      <c r="C432" s="6"/>
      <c r="D432" s="6" t="s">
        <v>405</v>
      </c>
      <c r="E432" s="7" t="s">
        <v>406</v>
      </c>
    </row>
    <row r="433">
      <c r="A433" s="4" t="s">
        <v>438</v>
      </c>
      <c r="B433" s="5" t="str">
        <f>IFERROR(__xludf.DUMMYFUNCTION("IF(A433="""","""",INDEX(SPLIT(A433,"" ""),COUNTA(SPLIT(A433,"" ""))))"),"Divignano")</f>
        <v>Divignano</v>
      </c>
      <c r="C433" s="6"/>
      <c r="D433" s="6" t="s">
        <v>405</v>
      </c>
      <c r="E433" s="7" t="s">
        <v>406</v>
      </c>
    </row>
    <row r="434">
      <c r="A434" s="4" t="s">
        <v>439</v>
      </c>
      <c r="B434" s="5" t="str">
        <f>IFERROR(__xludf.DUMMYFUNCTION("IF(A434="""","""",INDEX(SPLIT(A434,"" ""),COUNTA(SPLIT(A434,"" ""))))"),"Dormelletto")</f>
        <v>Dormelletto</v>
      </c>
      <c r="C434" s="6"/>
      <c r="D434" s="6" t="s">
        <v>405</v>
      </c>
      <c r="E434" s="7" t="s">
        <v>406</v>
      </c>
    </row>
    <row r="435">
      <c r="A435" s="4" t="s">
        <v>440</v>
      </c>
      <c r="B435" s="5" t="str">
        <f>IFERROR(__xludf.DUMMYFUNCTION("IF(A435="""","""",INDEX(SPLIT(A435,"" ""),COUNTA(SPLIT(A435,"" ""))))"),"Novarese")</f>
        <v>Novarese</v>
      </c>
      <c r="C435" s="6"/>
      <c r="D435" s="6" t="s">
        <v>405</v>
      </c>
      <c r="E435" s="7" t="s">
        <v>406</v>
      </c>
    </row>
    <row r="436">
      <c r="A436" s="4" t="s">
        <v>441</v>
      </c>
      <c r="B436" s="5" t="str">
        <f>IFERROR(__xludf.DUMMYFUNCTION("IF(A436="""","""",INDEX(SPLIT(A436,"" ""),COUNTA(SPLIT(A436,"" ""))))"),"d'Agogna")</f>
        <v>d'Agogna</v>
      </c>
      <c r="C436" s="6"/>
      <c r="D436" s="6" t="s">
        <v>405</v>
      </c>
      <c r="E436" s="7" t="s">
        <v>406</v>
      </c>
    </row>
    <row r="437">
      <c r="A437" s="4" t="s">
        <v>442</v>
      </c>
      <c r="B437" s="5" t="str">
        <f>IFERROR(__xludf.DUMMYFUNCTION("IF(A437="""","""",INDEX(SPLIT(A437,"" ""),COUNTA(SPLIT(A437,"" ""))))"),"Galliate")</f>
        <v>Galliate</v>
      </c>
      <c r="C437" s="6"/>
      <c r="D437" s="6" t="s">
        <v>405</v>
      </c>
      <c r="E437" s="7" t="s">
        <v>406</v>
      </c>
    </row>
    <row r="438">
      <c r="A438" s="4" t="s">
        <v>443</v>
      </c>
      <c r="B438" s="5" t="str">
        <f>IFERROR(__xludf.DUMMYFUNCTION("IF(A438="""","""",INDEX(SPLIT(A438,"" ""),COUNTA(SPLIT(A438,"" ""))))"),"Novarese")</f>
        <v>Novarese</v>
      </c>
      <c r="C438" s="6"/>
      <c r="D438" s="6" t="s">
        <v>405</v>
      </c>
      <c r="E438" s="7" t="s">
        <v>406</v>
      </c>
    </row>
    <row r="439">
      <c r="A439" s="4" t="s">
        <v>444</v>
      </c>
      <c r="B439" s="5" t="str">
        <f>IFERROR(__xludf.DUMMYFUNCTION("IF(A439="""","""",INDEX(SPLIT(A439,"" ""),COUNTA(SPLIT(A439,"" ""))))"),"Gargallo")</f>
        <v>Gargallo</v>
      </c>
      <c r="C439" s="6"/>
      <c r="D439" s="6" t="s">
        <v>405</v>
      </c>
      <c r="E439" s="7" t="s">
        <v>406</v>
      </c>
    </row>
    <row r="440">
      <c r="A440" s="4" t="s">
        <v>445</v>
      </c>
      <c r="B440" s="5" t="str">
        <f>IFERROR(__xludf.DUMMYFUNCTION("IF(A440="""","""",INDEX(SPLIT(A440,"" ""),COUNTA(SPLIT(A440,"" ""))))"),"Gattico")</f>
        <v>Gattico</v>
      </c>
      <c r="C440" s="6"/>
      <c r="D440" s="6" t="s">
        <v>405</v>
      </c>
      <c r="E440" s="7" t="s">
        <v>406</v>
      </c>
    </row>
    <row r="441">
      <c r="A441" s="4" t="s">
        <v>446</v>
      </c>
      <c r="B441" s="5" t="str">
        <f>IFERROR(__xludf.DUMMYFUNCTION("IF(A441="""","""",INDEX(SPLIT(A441,"" ""),COUNTA(SPLIT(A441,"" ""))))"),"Ghemme")</f>
        <v>Ghemme</v>
      </c>
      <c r="C441" s="6"/>
      <c r="D441" s="6" t="s">
        <v>405</v>
      </c>
      <c r="E441" s="7" t="s">
        <v>406</v>
      </c>
    </row>
    <row r="442">
      <c r="A442" s="4" t="s">
        <v>447</v>
      </c>
      <c r="B442" s="5" t="str">
        <f>IFERROR(__xludf.DUMMYFUNCTION("IF(A442="""","""",INDEX(SPLIT(A442,"" ""),COUNTA(SPLIT(A442,"" ""))))"),"Gozzano")</f>
        <v>Gozzano</v>
      </c>
      <c r="C442" s="6"/>
      <c r="D442" s="6" t="s">
        <v>405</v>
      </c>
      <c r="E442" s="7" t="s">
        <v>406</v>
      </c>
    </row>
    <row r="443">
      <c r="A443" s="4" t="s">
        <v>448</v>
      </c>
      <c r="B443" s="5" t="str">
        <f>IFERROR(__xludf.DUMMYFUNCTION("IF(A443="""","""",INDEX(SPLIT(A443,"" ""),COUNTA(SPLIT(A443,"" ""))))"),"Monticello")</f>
        <v>Monticello</v>
      </c>
      <c r="C443" s="6"/>
      <c r="D443" s="6" t="s">
        <v>405</v>
      </c>
      <c r="E443" s="7" t="s">
        <v>406</v>
      </c>
    </row>
    <row r="444">
      <c r="A444" s="4" t="s">
        <v>449</v>
      </c>
      <c r="B444" s="5" t="str">
        <f>IFERROR(__xludf.DUMMYFUNCTION("IF(A444="""","""",INDEX(SPLIT(A444,"" ""),COUNTA(SPLIT(A444,"" ""))))"),"Grignasco")</f>
        <v>Grignasco</v>
      </c>
      <c r="C444" s="6"/>
      <c r="D444" s="6" t="s">
        <v>405</v>
      </c>
      <c r="E444" s="7" t="s">
        <v>406</v>
      </c>
    </row>
    <row r="445">
      <c r="A445" s="4" t="s">
        <v>450</v>
      </c>
      <c r="B445" s="5" t="str">
        <f>IFERROR(__xludf.DUMMYFUNCTION("IF(A445="""","""",INDEX(SPLIT(A445,"" ""),COUNTA(SPLIT(A445,"" ""))))"),"Invorio")</f>
        <v>Invorio</v>
      </c>
      <c r="C445" s="6"/>
      <c r="D445" s="6" t="s">
        <v>405</v>
      </c>
      <c r="E445" s="7" t="s">
        <v>406</v>
      </c>
    </row>
    <row r="446">
      <c r="A446" s="4" t="s">
        <v>451</v>
      </c>
      <c r="B446" s="5" t="str">
        <f>IFERROR(__xludf.DUMMYFUNCTION("IF(A446="""","""",INDEX(SPLIT(A446,"" ""),COUNTA(SPLIT(A446,"" ""))))"),"Landiona")</f>
        <v>Landiona</v>
      </c>
      <c r="C446" s="6"/>
      <c r="D446" s="6" t="s">
        <v>405</v>
      </c>
      <c r="E446" s="7" t="s">
        <v>406</v>
      </c>
    </row>
    <row r="447">
      <c r="A447" s="4" t="s">
        <v>452</v>
      </c>
      <c r="B447" s="5" t="str">
        <f>IFERROR(__xludf.DUMMYFUNCTION("IF(A447="""","""",INDEX(SPLIT(A447,"" ""),COUNTA(SPLIT(A447,"" ""))))"),"Lesa")</f>
        <v>Lesa</v>
      </c>
      <c r="C447" s="6"/>
      <c r="D447" s="6" t="s">
        <v>405</v>
      </c>
      <c r="E447" s="7" t="s">
        <v>406</v>
      </c>
    </row>
    <row r="448">
      <c r="A448" s="4" t="s">
        <v>453</v>
      </c>
      <c r="B448" s="5" t="str">
        <f>IFERROR(__xludf.DUMMYFUNCTION("IF(A448="""","""",INDEX(SPLIT(A448,"" ""),COUNTA(SPLIT(A448,"" ""))))"),"Maggiora")</f>
        <v>Maggiora</v>
      </c>
      <c r="C448" s="6"/>
      <c r="D448" s="6" t="s">
        <v>405</v>
      </c>
      <c r="E448" s="7" t="s">
        <v>406</v>
      </c>
    </row>
    <row r="449">
      <c r="A449" s="4" t="s">
        <v>454</v>
      </c>
      <c r="B449" s="5" t="str">
        <f>IFERROR(__xludf.DUMMYFUNCTION("IF(A449="""","""",INDEX(SPLIT(A449,"" ""),COUNTA(SPLIT(A449,"" ""))))"),"Vitta")</f>
        <v>Vitta</v>
      </c>
      <c r="C449" s="6"/>
      <c r="D449" s="6" t="s">
        <v>405</v>
      </c>
      <c r="E449" s="7" t="s">
        <v>406</v>
      </c>
    </row>
    <row r="450">
      <c r="A450" s="4" t="s">
        <v>455</v>
      </c>
      <c r="B450" s="5" t="str">
        <f>IFERROR(__xludf.DUMMYFUNCTION("IF(A450="""","""",INDEX(SPLIT(A450,"" ""),COUNTA(SPLIT(A450,"" ""))))"),"Ticino")</f>
        <v>Ticino</v>
      </c>
      <c r="C450" s="6"/>
      <c r="D450" s="6" t="s">
        <v>405</v>
      </c>
      <c r="E450" s="7" t="s">
        <v>406</v>
      </c>
    </row>
    <row r="451">
      <c r="A451" s="4" t="s">
        <v>456</v>
      </c>
      <c r="B451" s="5" t="str">
        <f>IFERROR(__xludf.DUMMYFUNCTION("IF(A451="""","""",INDEX(SPLIT(A451,"" ""),COUNTA(SPLIT(A451,"" ""))))"),"Visconti")</f>
        <v>Visconti</v>
      </c>
      <c r="C451" s="6"/>
      <c r="D451" s="6" t="s">
        <v>405</v>
      </c>
      <c r="E451" s="7" t="s">
        <v>406</v>
      </c>
    </row>
    <row r="452">
      <c r="A452" s="4" t="s">
        <v>457</v>
      </c>
      <c r="B452" s="5" t="str">
        <f>IFERROR(__xludf.DUMMYFUNCTION("IF(A452="""","""",INDEX(SPLIT(A452,"" ""),COUNTA(SPLIT(A452,"" ""))))"),"Meina")</f>
        <v>Meina</v>
      </c>
      <c r="C452" s="6"/>
      <c r="D452" s="6" t="s">
        <v>405</v>
      </c>
      <c r="E452" s="7" t="s">
        <v>406</v>
      </c>
    </row>
    <row r="453">
      <c r="A453" s="4" t="s">
        <v>458</v>
      </c>
      <c r="B453" s="5" t="str">
        <f>IFERROR(__xludf.DUMMYFUNCTION("IF(A453="""","""",INDEX(SPLIT(A453,"" ""),COUNTA(SPLIT(A453,"" ""))))"),"Mezzomerico")</f>
        <v>Mezzomerico</v>
      </c>
      <c r="C453" s="6"/>
      <c r="D453" s="6" t="s">
        <v>405</v>
      </c>
      <c r="E453" s="7" t="s">
        <v>406</v>
      </c>
    </row>
    <row r="454">
      <c r="A454" s="4" t="s">
        <v>459</v>
      </c>
      <c r="B454" s="5" t="str">
        <f>IFERROR(__xludf.DUMMYFUNCTION("IF(A454="""","""",INDEX(SPLIT(A454,"" ""),COUNTA(SPLIT(A454,"" ""))))"),"Miasino")</f>
        <v>Miasino</v>
      </c>
      <c r="C454" s="6"/>
      <c r="D454" s="6" t="s">
        <v>405</v>
      </c>
      <c r="E454" s="7" t="s">
        <v>406</v>
      </c>
    </row>
    <row r="455">
      <c r="A455" s="4" t="s">
        <v>460</v>
      </c>
      <c r="B455" s="5" t="str">
        <f>IFERROR(__xludf.DUMMYFUNCTION("IF(A455="""","""",INDEX(SPLIT(A455,"" ""),COUNTA(SPLIT(A455,"" ""))))"),"Momo")</f>
        <v>Momo</v>
      </c>
      <c r="C455" s="6"/>
      <c r="D455" s="6" t="s">
        <v>405</v>
      </c>
      <c r="E455" s="7" t="s">
        <v>406</v>
      </c>
    </row>
    <row r="456">
      <c r="A456" s="4" t="s">
        <v>461</v>
      </c>
      <c r="B456" s="5" t="str">
        <f>IFERROR(__xludf.DUMMYFUNCTION("IF(A456="""","""",INDEX(SPLIT(A456,"" ""),COUNTA(SPLIT(A456,"" ""))))"),"Nebbiuno")</f>
        <v>Nebbiuno</v>
      </c>
      <c r="C456" s="6"/>
      <c r="D456" s="6" t="s">
        <v>405</v>
      </c>
      <c r="E456" s="7" t="s">
        <v>406</v>
      </c>
    </row>
    <row r="457">
      <c r="A457" s="4" t="s">
        <v>462</v>
      </c>
      <c r="B457" s="5" t="str">
        <f>IFERROR(__xludf.DUMMYFUNCTION("IF(A457="""","""",INDEX(SPLIT(A457,"" ""),COUNTA(SPLIT(A457,"" ""))))"),"Nibbiola")</f>
        <v>Nibbiola</v>
      </c>
      <c r="C457" s="6"/>
      <c r="D457" s="6" t="s">
        <v>405</v>
      </c>
      <c r="E457" s="7" t="s">
        <v>406</v>
      </c>
    </row>
    <row r="458">
      <c r="A458" s="4" t="s">
        <v>405</v>
      </c>
      <c r="B458" s="5" t="str">
        <f>IFERROR(__xludf.DUMMYFUNCTION("IF(A458="""","""",INDEX(SPLIT(A458,"" ""),COUNTA(SPLIT(A458,"" ""))))"),"Novara")</f>
        <v>Novara</v>
      </c>
      <c r="C458" s="6"/>
      <c r="D458" s="6" t="s">
        <v>405</v>
      </c>
      <c r="E458" s="7" t="s">
        <v>406</v>
      </c>
    </row>
    <row r="459">
      <c r="A459" s="4" t="s">
        <v>463</v>
      </c>
      <c r="B459" s="5" t="str">
        <f>IFERROR(__xludf.DUMMYFUNCTION("IF(A459="""","""",INDEX(SPLIT(A459,"" ""),COUNTA(SPLIT(A459,"" ""))))"),"Oleggio")</f>
        <v>Oleggio</v>
      </c>
      <c r="C459" s="6"/>
      <c r="D459" s="6" t="s">
        <v>405</v>
      </c>
      <c r="E459" s="7" t="s">
        <v>406</v>
      </c>
    </row>
    <row r="460">
      <c r="A460" s="4" t="s">
        <v>464</v>
      </c>
      <c r="B460" s="5" t="str">
        <f>IFERROR(__xludf.DUMMYFUNCTION("IF(A460="""","""",INDEX(SPLIT(A460,"" ""),COUNTA(SPLIT(A460,"" ""))))"),"Castello")</f>
        <v>Castello</v>
      </c>
      <c r="C460" s="6"/>
      <c r="D460" s="6" t="s">
        <v>405</v>
      </c>
      <c r="E460" s="7" t="s">
        <v>406</v>
      </c>
    </row>
    <row r="461">
      <c r="A461" s="4" t="s">
        <v>465</v>
      </c>
      <c r="B461" s="5" t="str">
        <f>IFERROR(__xludf.DUMMYFUNCTION("IF(A461="""","""",INDEX(SPLIT(A461,"" ""),COUNTA(SPLIT(A461,"" ""))))"),"Giulio")</f>
        <v>Giulio</v>
      </c>
      <c r="C461" s="6"/>
      <c r="D461" s="6" t="s">
        <v>405</v>
      </c>
      <c r="E461" s="7" t="s">
        <v>406</v>
      </c>
    </row>
    <row r="462">
      <c r="A462" s="4" t="s">
        <v>466</v>
      </c>
      <c r="B462" s="5" t="str">
        <f>IFERROR(__xludf.DUMMYFUNCTION("IF(A462="""","""",INDEX(SPLIT(A462,"" ""),COUNTA(SPLIT(A462,"" ""))))"),"Paruzzaro")</f>
        <v>Paruzzaro</v>
      </c>
      <c r="C462" s="6"/>
      <c r="D462" s="6" t="s">
        <v>405</v>
      </c>
      <c r="E462" s="7" t="s">
        <v>406</v>
      </c>
    </row>
    <row r="463">
      <c r="A463" s="4" t="s">
        <v>467</v>
      </c>
      <c r="B463" s="5" t="str">
        <f>IFERROR(__xludf.DUMMYFUNCTION("IF(A463="""","""",INDEX(SPLIT(A463,"" ""),COUNTA(SPLIT(A463,"" ""))))"),"Pella")</f>
        <v>Pella</v>
      </c>
      <c r="C463" s="6"/>
      <c r="D463" s="6" t="s">
        <v>405</v>
      </c>
      <c r="E463" s="7" t="s">
        <v>406</v>
      </c>
    </row>
    <row r="464">
      <c r="A464" s="4" t="s">
        <v>468</v>
      </c>
      <c r="B464" s="5" t="str">
        <f>IFERROR(__xludf.DUMMYFUNCTION("IF(A464="""","""",INDEX(SPLIT(A464,"" ""),COUNTA(SPLIT(A464,"" ""))))"),"Pettenasco")</f>
        <v>Pettenasco</v>
      </c>
      <c r="C464" s="6"/>
      <c r="D464" s="6" t="s">
        <v>405</v>
      </c>
      <c r="E464" s="7" t="s">
        <v>406</v>
      </c>
    </row>
    <row r="465">
      <c r="A465" s="4" t="s">
        <v>469</v>
      </c>
      <c r="B465" s="5" t="str">
        <f>IFERROR(__xludf.DUMMYFUNCTION("IF(A465="""","""",INDEX(SPLIT(A465,"" ""),COUNTA(SPLIT(A465,"" ""))))"),"Pisano")</f>
        <v>Pisano</v>
      </c>
      <c r="C465" s="6"/>
      <c r="D465" s="6" t="s">
        <v>405</v>
      </c>
      <c r="E465" s="7" t="s">
        <v>406</v>
      </c>
    </row>
    <row r="466">
      <c r="A466" s="4" t="s">
        <v>470</v>
      </c>
      <c r="B466" s="5" t="str">
        <f>IFERROR(__xludf.DUMMYFUNCTION("IF(A466="""","""",INDEX(SPLIT(A466,"" ""),COUNTA(SPLIT(A466,"" ""))))"),"Pogno")</f>
        <v>Pogno</v>
      </c>
      <c r="C466" s="6"/>
      <c r="D466" s="6" t="s">
        <v>405</v>
      </c>
      <c r="E466" s="7" t="s">
        <v>406</v>
      </c>
    </row>
    <row r="467">
      <c r="A467" s="4" t="s">
        <v>471</v>
      </c>
      <c r="B467" s="5" t="str">
        <f>IFERROR(__xludf.DUMMYFUNCTION("IF(A467="""","""",INDEX(SPLIT(A467,"" ""),COUNTA(SPLIT(A467,"" ""))))"),"Pombia")</f>
        <v>Pombia</v>
      </c>
      <c r="C467" s="6"/>
      <c r="D467" s="6" t="s">
        <v>405</v>
      </c>
      <c r="E467" s="7" t="s">
        <v>406</v>
      </c>
    </row>
    <row r="468">
      <c r="A468" s="4" t="s">
        <v>472</v>
      </c>
      <c r="B468" s="5" t="str">
        <f>IFERROR(__xludf.DUMMYFUNCTION("IF(A468="""","""",INDEX(SPLIT(A468,"" ""),COUNTA(SPLIT(A468,"" ""))))"),"Sesia")</f>
        <v>Sesia</v>
      </c>
      <c r="C468" s="6"/>
      <c r="D468" s="6" t="s">
        <v>405</v>
      </c>
      <c r="E468" s="7" t="s">
        <v>406</v>
      </c>
    </row>
    <row r="469">
      <c r="A469" s="4" t="s">
        <v>473</v>
      </c>
      <c r="B469" s="5" t="str">
        <f>IFERROR(__xludf.DUMMYFUNCTION("IF(A469="""","""",INDEX(SPLIT(A469,"" ""),COUNTA(SPLIT(A469,"" ""))))"),"Recetto")</f>
        <v>Recetto</v>
      </c>
      <c r="C469" s="6"/>
      <c r="D469" s="6" t="s">
        <v>405</v>
      </c>
      <c r="E469" s="7" t="s">
        <v>406</v>
      </c>
    </row>
    <row r="470">
      <c r="A470" s="4" t="s">
        <v>474</v>
      </c>
      <c r="B470" s="5" t="str">
        <f>IFERROR(__xludf.DUMMYFUNCTION("IF(A470="""","""",INDEX(SPLIT(A470,"" ""),COUNTA(SPLIT(A470,"" ""))))"),"Sesia")</f>
        <v>Sesia</v>
      </c>
      <c r="C470" s="6"/>
      <c r="D470" s="6" t="s">
        <v>405</v>
      </c>
      <c r="E470" s="7" t="s">
        <v>406</v>
      </c>
    </row>
    <row r="471">
      <c r="A471" s="4" t="s">
        <v>475</v>
      </c>
      <c r="B471" s="5" t="str">
        <f>IFERROR(__xludf.DUMMYFUNCTION("IF(A471="""","""",INDEX(SPLIT(A471,"" ""),COUNTA(SPLIT(A471,"" ""))))"),"Romentino")</f>
        <v>Romentino</v>
      </c>
      <c r="C471" s="6"/>
      <c r="D471" s="6" t="s">
        <v>405</v>
      </c>
      <c r="E471" s="7" t="s">
        <v>406</v>
      </c>
    </row>
    <row r="472">
      <c r="A472" s="4" t="s">
        <v>476</v>
      </c>
      <c r="B472" s="5" t="str">
        <f>IFERROR(__xludf.DUMMYFUNCTION("IF(A472="""","""",INDEX(SPLIT(A472,"" ""),COUNTA(SPLIT(A472,"" ""))))"),"d'Opaglio")</f>
        <v>d'Opaglio</v>
      </c>
      <c r="C472" s="6"/>
      <c r="D472" s="6" t="s">
        <v>405</v>
      </c>
      <c r="E472" s="7" t="s">
        <v>406</v>
      </c>
    </row>
    <row r="473">
      <c r="A473" s="4" t="s">
        <v>477</v>
      </c>
      <c r="B473" s="5" t="str">
        <f>IFERROR(__xludf.DUMMYFUNCTION("IF(A473="""","""",INDEX(SPLIT(A473,"" ""),COUNTA(SPLIT(A473,"" ""))))"),"Sesia")</f>
        <v>Sesia</v>
      </c>
      <c r="C473" s="6"/>
      <c r="D473" s="6" t="s">
        <v>405</v>
      </c>
      <c r="E473" s="7" t="s">
        <v>406</v>
      </c>
    </row>
    <row r="474">
      <c r="A474" s="4" t="s">
        <v>478</v>
      </c>
      <c r="B474" s="5" t="str">
        <f>IFERROR(__xludf.DUMMYFUNCTION("IF(A474="""","""",INDEX(SPLIT(A474,"" ""),COUNTA(SPLIT(A474,"" ""))))"),"Mosezzo")</f>
        <v>Mosezzo</v>
      </c>
      <c r="C474" s="6"/>
      <c r="D474" s="6" t="s">
        <v>405</v>
      </c>
      <c r="E474" s="7" t="s">
        <v>406</v>
      </c>
    </row>
    <row r="475">
      <c r="A475" s="4" t="s">
        <v>479</v>
      </c>
      <c r="B475" s="5" t="str">
        <f>IFERROR(__xludf.DUMMYFUNCTION("IF(A475="""","""",INDEX(SPLIT(A475,"" ""),COUNTA(SPLIT(A475,"" ""))))"),"Sillavengo")</f>
        <v>Sillavengo</v>
      </c>
      <c r="C475" s="6"/>
      <c r="D475" s="6" t="s">
        <v>405</v>
      </c>
      <c r="E475" s="7" t="s">
        <v>406</v>
      </c>
    </row>
    <row r="476">
      <c r="A476" s="4" t="s">
        <v>480</v>
      </c>
      <c r="B476" s="5" t="str">
        <f>IFERROR(__xludf.DUMMYFUNCTION("IF(A476="""","""",INDEX(SPLIT(A476,"" ""),COUNTA(SPLIT(A476,"" ""))))"),"Sizzano")</f>
        <v>Sizzano</v>
      </c>
      <c r="C476" s="6"/>
      <c r="D476" s="6" t="s">
        <v>405</v>
      </c>
      <c r="E476" s="7" t="s">
        <v>406</v>
      </c>
    </row>
    <row r="477">
      <c r="A477" s="4" t="s">
        <v>481</v>
      </c>
      <c r="B477" s="5" t="str">
        <f>IFERROR(__xludf.DUMMYFUNCTION("IF(A477="""","""",INDEX(SPLIT(A477,"" ""),COUNTA(SPLIT(A477,"" ""))))"),"Soriso")</f>
        <v>Soriso</v>
      </c>
      <c r="C477" s="6"/>
      <c r="D477" s="6" t="s">
        <v>405</v>
      </c>
      <c r="E477" s="7" t="s">
        <v>406</v>
      </c>
    </row>
    <row r="478">
      <c r="A478" s="4" t="s">
        <v>482</v>
      </c>
      <c r="B478" s="5" t="str">
        <f>IFERROR(__xludf.DUMMYFUNCTION("IF(A478="""","""",INDEX(SPLIT(A478,"" ""),COUNTA(SPLIT(A478,"" ""))))"),"Sozzago")</f>
        <v>Sozzago</v>
      </c>
      <c r="C478" s="6"/>
      <c r="D478" s="6" t="s">
        <v>405</v>
      </c>
      <c r="E478" s="7" t="s">
        <v>406</v>
      </c>
    </row>
    <row r="479">
      <c r="A479" s="4" t="s">
        <v>483</v>
      </c>
      <c r="B479" s="5" t="str">
        <f>IFERROR(__xludf.DUMMYFUNCTION("IF(A479="""","""",INDEX(SPLIT(A479,"" ""),COUNTA(SPLIT(A479,"" ""))))"),"Suno")</f>
        <v>Suno</v>
      </c>
      <c r="C479" s="6"/>
      <c r="D479" s="6" t="s">
        <v>405</v>
      </c>
      <c r="E479" s="7" t="s">
        <v>406</v>
      </c>
    </row>
    <row r="480">
      <c r="A480" s="4" t="s">
        <v>484</v>
      </c>
      <c r="B480" s="5" t="str">
        <f>IFERROR(__xludf.DUMMYFUNCTION("IF(A480="""","""",INDEX(SPLIT(A480,"" ""),COUNTA(SPLIT(A480,"" ""))))"),"Terdobbiate")</f>
        <v>Terdobbiate</v>
      </c>
      <c r="C480" s="6"/>
      <c r="D480" s="6" t="s">
        <v>405</v>
      </c>
      <c r="E480" s="7" t="s">
        <v>406</v>
      </c>
    </row>
    <row r="481">
      <c r="A481" s="4" t="s">
        <v>485</v>
      </c>
      <c r="B481" s="5" t="str">
        <f>IFERROR(__xludf.DUMMYFUNCTION("IF(A481="""","""",INDEX(SPLIT(A481,"" ""),COUNTA(SPLIT(A481,"" ""))))"),"Tornaco")</f>
        <v>Tornaco</v>
      </c>
      <c r="C481" s="6"/>
      <c r="D481" s="6" t="s">
        <v>405</v>
      </c>
      <c r="E481" s="7" t="s">
        <v>406</v>
      </c>
    </row>
    <row r="482">
      <c r="A482" s="4" t="s">
        <v>486</v>
      </c>
      <c r="B482" s="5" t="str">
        <f>IFERROR(__xludf.DUMMYFUNCTION("IF(A482="""","""",INDEX(SPLIT(A482,"" ""),COUNTA(SPLIT(A482,"" ""))))"),"Trecate")</f>
        <v>Trecate</v>
      </c>
      <c r="C482" s="6"/>
      <c r="D482" s="6" t="s">
        <v>405</v>
      </c>
      <c r="E482" s="7" t="s">
        <v>406</v>
      </c>
    </row>
    <row r="483">
      <c r="A483" s="4" t="s">
        <v>487</v>
      </c>
      <c r="B483" s="5" t="str">
        <f>IFERROR(__xludf.DUMMYFUNCTION("IF(A483="""","""",INDEX(SPLIT(A483,"" ""),COUNTA(SPLIT(A483,"" ""))))"),"d'Agogna")</f>
        <v>d'Agogna</v>
      </c>
      <c r="C483" s="6"/>
      <c r="D483" s="6" t="s">
        <v>405</v>
      </c>
      <c r="E483" s="7" t="s">
        <v>406</v>
      </c>
    </row>
    <row r="484">
      <c r="A484" s="4" t="s">
        <v>488</v>
      </c>
      <c r="B484" s="5" t="str">
        <f>IFERROR(__xludf.DUMMYFUNCTION("IF(A484="""","""",INDEX(SPLIT(A484,"" ""),COUNTA(SPLIT(A484,"" ""))))"),"Pombia")</f>
        <v>Pombia</v>
      </c>
      <c r="C484" s="6"/>
      <c r="D484" s="6" t="s">
        <v>405</v>
      </c>
      <c r="E484" s="7" t="s">
        <v>406</v>
      </c>
    </row>
    <row r="485">
      <c r="A485" s="4" t="s">
        <v>489</v>
      </c>
      <c r="B485" s="5" t="str">
        <f>IFERROR(__xludf.DUMMYFUNCTION("IF(A485="""","""",INDEX(SPLIT(A485,"" ""),COUNTA(SPLIT(A485,"" ""))))"),"Veruno")</f>
        <v>Veruno</v>
      </c>
      <c r="C485" s="6"/>
      <c r="D485" s="6" t="s">
        <v>405</v>
      </c>
      <c r="E485" s="7" t="s">
        <v>406</v>
      </c>
    </row>
    <row r="486">
      <c r="A486" s="4" t="s">
        <v>490</v>
      </c>
      <c r="B486" s="5" t="str">
        <f>IFERROR(__xludf.DUMMYFUNCTION("IF(A486="""","""",INDEX(SPLIT(A486,"" ""),COUNTA(SPLIT(A486,"" ""))))"),"Vespolate")</f>
        <v>Vespolate</v>
      </c>
      <c r="C486" s="6"/>
      <c r="D486" s="6" t="s">
        <v>405</v>
      </c>
      <c r="E486" s="7" t="s">
        <v>406</v>
      </c>
    </row>
    <row r="487">
      <c r="A487" s="4" t="s">
        <v>491</v>
      </c>
      <c r="B487" s="5" t="str">
        <f>IFERROR(__xludf.DUMMYFUNCTION("IF(A487="""","""",INDEX(SPLIT(A487,"" ""),COUNTA(SPLIT(A487,"" ""))))"),"Vicolungo")</f>
        <v>Vicolungo</v>
      </c>
      <c r="C487" s="6"/>
      <c r="D487" s="6" t="s">
        <v>405</v>
      </c>
      <c r="E487" s="7" t="s">
        <v>406</v>
      </c>
    </row>
    <row r="488">
      <c r="A488" s="4" t="s">
        <v>492</v>
      </c>
      <c r="B488" s="5" t="str">
        <f>IFERROR(__xludf.DUMMYFUNCTION("IF(A488="""","""",INDEX(SPLIT(A488,"" ""),COUNTA(SPLIT(A488,"" ""))))"),"Vinzaglio")</f>
        <v>Vinzaglio</v>
      </c>
      <c r="C488" s="6"/>
      <c r="D488" s="6" t="s">
        <v>405</v>
      </c>
      <c r="E488" s="7" t="s">
        <v>406</v>
      </c>
    </row>
    <row r="489">
      <c r="A489" s="4" t="s">
        <v>493</v>
      </c>
      <c r="B489" s="5" t="str">
        <f>IFERROR(__xludf.DUMMYFUNCTION("IF(A489="""","""",INDEX(SPLIT(A489,"" ""),COUNTA(SPLIT(A489,"" ""))))"),"Acceglio")</f>
        <v>Acceglio</v>
      </c>
      <c r="C489" s="6"/>
      <c r="D489" s="6" t="s">
        <v>494</v>
      </c>
      <c r="E489" s="7" t="s">
        <v>495</v>
      </c>
    </row>
    <row r="490">
      <c r="A490" s="4" t="s">
        <v>496</v>
      </c>
      <c r="B490" s="5" t="str">
        <f>IFERROR(__xludf.DUMMYFUNCTION("IF(A490="""","""",INDEX(SPLIT(A490,"" ""),COUNTA(SPLIT(A490,"" ""))))"),"Aisone")</f>
        <v>Aisone</v>
      </c>
      <c r="C490" s="6"/>
      <c r="D490" s="6" t="s">
        <v>494</v>
      </c>
      <c r="E490" s="7" t="s">
        <v>495</v>
      </c>
    </row>
    <row r="491">
      <c r="A491" s="4" t="s">
        <v>497</v>
      </c>
      <c r="B491" s="5" t="str">
        <f>IFERROR(__xludf.DUMMYFUNCTION("IF(A491="""","""",INDEX(SPLIT(A491,"" ""),COUNTA(SPLIT(A491,"" ""))))"),"Alba")</f>
        <v>Alba</v>
      </c>
      <c r="C491" s="6"/>
      <c r="D491" s="6" t="s">
        <v>494</v>
      </c>
      <c r="E491" s="7" t="s">
        <v>495</v>
      </c>
    </row>
    <row r="492">
      <c r="A492" s="4" t="s">
        <v>498</v>
      </c>
      <c r="B492" s="5" t="str">
        <f>IFERROR(__xludf.DUMMYFUNCTION("IF(A492="""","""",INDEX(SPLIT(A492,"" ""),COUNTA(SPLIT(A492,"" ""))))"),"Torre")</f>
        <v>Torre</v>
      </c>
      <c r="C492" s="6"/>
      <c r="D492" s="6" t="s">
        <v>494</v>
      </c>
      <c r="E492" s="7" t="s">
        <v>495</v>
      </c>
    </row>
    <row r="493">
      <c r="A493" s="4" t="s">
        <v>499</v>
      </c>
      <c r="B493" s="5" t="str">
        <f>IFERROR(__xludf.DUMMYFUNCTION("IF(A493="""","""",INDEX(SPLIT(A493,"" ""),COUNTA(SPLIT(A493,"" ""))))"),"Alto")</f>
        <v>Alto</v>
      </c>
      <c r="C493" s="6"/>
      <c r="D493" s="6" t="s">
        <v>494</v>
      </c>
      <c r="E493" s="7" t="s">
        <v>495</v>
      </c>
    </row>
    <row r="494">
      <c r="A494" s="4" t="s">
        <v>500</v>
      </c>
      <c r="B494" s="5" t="str">
        <f>IFERROR(__xludf.DUMMYFUNCTION("IF(A494="""","""",INDEX(SPLIT(A494,"" ""),COUNTA(SPLIT(A494,"" ""))))"),"Argentera")</f>
        <v>Argentera</v>
      </c>
      <c r="C494" s="6"/>
      <c r="D494" s="6" t="s">
        <v>494</v>
      </c>
      <c r="E494" s="7" t="s">
        <v>495</v>
      </c>
    </row>
    <row r="495">
      <c r="A495" s="4" t="s">
        <v>501</v>
      </c>
      <c r="B495" s="5" t="str">
        <f>IFERROR(__xludf.DUMMYFUNCTION("IF(A495="""","""",INDEX(SPLIT(A495,"" ""),COUNTA(SPLIT(A495,"" ""))))"),"Arguello")</f>
        <v>Arguello</v>
      </c>
      <c r="C495" s="6"/>
      <c r="D495" s="6" t="s">
        <v>494</v>
      </c>
      <c r="E495" s="7" t="s">
        <v>495</v>
      </c>
    </row>
    <row r="496">
      <c r="A496" s="4" t="s">
        <v>502</v>
      </c>
      <c r="B496" s="5" t="str">
        <f>IFERROR(__xludf.DUMMYFUNCTION("IF(A496="""","""",INDEX(SPLIT(A496,"" ""),COUNTA(SPLIT(A496,"" ""))))"),"Bagnasco")</f>
        <v>Bagnasco</v>
      </c>
      <c r="C496" s="6"/>
      <c r="D496" s="6" t="s">
        <v>494</v>
      </c>
      <c r="E496" s="7" t="s">
        <v>495</v>
      </c>
    </row>
    <row r="497">
      <c r="A497" s="4" t="s">
        <v>503</v>
      </c>
      <c r="B497" s="5" t="str">
        <f>IFERROR(__xludf.DUMMYFUNCTION("IF(A497="""","""",INDEX(SPLIT(A497,"" ""),COUNTA(SPLIT(A497,"" ""))))"),"Piemonte")</f>
        <v>Piemonte</v>
      </c>
      <c r="C497" s="6"/>
      <c r="D497" s="6" t="s">
        <v>494</v>
      </c>
      <c r="E497" s="7" t="s">
        <v>495</v>
      </c>
    </row>
    <row r="498">
      <c r="A498" s="4" t="s">
        <v>504</v>
      </c>
      <c r="B498" s="5" t="str">
        <f>IFERROR(__xludf.DUMMYFUNCTION("IF(A498="""","""",INDEX(SPLIT(A498,"" ""),COUNTA(SPLIT(A498,"" ""))))"),"d'Alba")</f>
        <v>d'Alba</v>
      </c>
      <c r="C498" s="6"/>
      <c r="D498" s="6" t="s">
        <v>494</v>
      </c>
      <c r="E498" s="7" t="s">
        <v>495</v>
      </c>
    </row>
    <row r="499">
      <c r="A499" s="4" t="s">
        <v>505</v>
      </c>
      <c r="B499" s="5" t="str">
        <f>IFERROR(__xludf.DUMMYFUNCTION("IF(A499="""","""",INDEX(SPLIT(A499,"" ""),COUNTA(SPLIT(A499,"" ""))))"),"Barbaresco")</f>
        <v>Barbaresco</v>
      </c>
      <c r="C499" s="6"/>
      <c r="D499" s="6" t="s">
        <v>494</v>
      </c>
      <c r="E499" s="7" t="s">
        <v>495</v>
      </c>
    </row>
    <row r="500">
      <c r="A500" s="4" t="s">
        <v>506</v>
      </c>
      <c r="B500" s="5" t="str">
        <f>IFERROR(__xludf.DUMMYFUNCTION("IF(A500="""","""",INDEX(SPLIT(A500,"" ""),COUNTA(SPLIT(A500,"" ""))))"),"Barge")</f>
        <v>Barge</v>
      </c>
      <c r="C500" s="6"/>
      <c r="D500" s="6" t="s">
        <v>494</v>
      </c>
      <c r="E500" s="7" t="s">
        <v>495</v>
      </c>
    </row>
    <row r="501">
      <c r="A501" s="4" t="s">
        <v>507</v>
      </c>
      <c r="B501" s="5" t="str">
        <f>IFERROR(__xludf.DUMMYFUNCTION("IF(A501="""","""",INDEX(SPLIT(A501,"" ""),COUNTA(SPLIT(A501,"" ""))))"),"Barolo")</f>
        <v>Barolo</v>
      </c>
      <c r="C501" s="6"/>
      <c r="D501" s="6" t="s">
        <v>494</v>
      </c>
      <c r="E501" s="7" t="s">
        <v>495</v>
      </c>
    </row>
    <row r="502">
      <c r="A502" s="4" t="s">
        <v>508</v>
      </c>
      <c r="B502" s="5" t="str">
        <f>IFERROR(__xludf.DUMMYFUNCTION("IF(A502="""","""",INDEX(SPLIT(A502,"" ""),COUNTA(SPLIT(A502,"" ""))))"),"Mondovì")</f>
        <v>Mondovì</v>
      </c>
      <c r="C502" s="6"/>
      <c r="D502" s="6" t="s">
        <v>494</v>
      </c>
      <c r="E502" s="7" t="s">
        <v>495</v>
      </c>
    </row>
    <row r="503">
      <c r="A503" s="4" t="s">
        <v>509</v>
      </c>
      <c r="B503" s="5" t="str">
        <f>IFERROR(__xludf.DUMMYFUNCTION("IF(A503="""","""",INDEX(SPLIT(A503,"" ""),COUNTA(SPLIT(A503,"" ""))))"),"Battifollo")</f>
        <v>Battifollo</v>
      </c>
      <c r="C503" s="6"/>
      <c r="D503" s="6" t="s">
        <v>494</v>
      </c>
      <c r="E503" s="7" t="s">
        <v>495</v>
      </c>
    </row>
    <row r="504">
      <c r="A504" s="4" t="s">
        <v>510</v>
      </c>
      <c r="B504" s="5" t="str">
        <f>IFERROR(__xludf.DUMMYFUNCTION("IF(A504="""","""",INDEX(SPLIT(A504,"" ""),COUNTA(SPLIT(A504,"" ""))))"),"Beinette")</f>
        <v>Beinette</v>
      </c>
      <c r="C504" s="6"/>
      <c r="D504" s="6" t="s">
        <v>494</v>
      </c>
      <c r="E504" s="7" t="s">
        <v>495</v>
      </c>
    </row>
    <row r="505">
      <c r="A505" s="4" t="s">
        <v>511</v>
      </c>
      <c r="B505" s="5" t="str">
        <f>IFERROR(__xludf.DUMMYFUNCTION("IF(A505="""","""",INDEX(SPLIT(A505,"" ""),COUNTA(SPLIT(A505,"" ""))))"),"Bellino")</f>
        <v>Bellino</v>
      </c>
      <c r="C505" s="6"/>
      <c r="D505" s="6" t="s">
        <v>494</v>
      </c>
      <c r="E505" s="7" t="s">
        <v>495</v>
      </c>
    </row>
    <row r="506">
      <c r="A506" s="4" t="s">
        <v>512</v>
      </c>
      <c r="B506" s="5" t="str">
        <f>IFERROR(__xludf.DUMMYFUNCTION("IF(A506="""","""",INDEX(SPLIT(A506,"" ""),COUNTA(SPLIT(A506,"" ""))))"),"Langhe")</f>
        <v>Langhe</v>
      </c>
      <c r="C506" s="6"/>
      <c r="D506" s="6" t="s">
        <v>494</v>
      </c>
      <c r="E506" s="7" t="s">
        <v>495</v>
      </c>
    </row>
    <row r="507">
      <c r="A507" s="4" t="s">
        <v>513</v>
      </c>
      <c r="B507" s="5" t="str">
        <f>IFERROR(__xludf.DUMMYFUNCTION("IF(A507="""","""",INDEX(SPLIT(A507,"" ""),COUNTA(SPLIT(A507,"" ""))))"),"Vagienna")</f>
        <v>Vagienna</v>
      </c>
      <c r="C507" s="6"/>
      <c r="D507" s="6" t="s">
        <v>494</v>
      </c>
      <c r="E507" s="7" t="s">
        <v>495</v>
      </c>
    </row>
    <row r="508">
      <c r="A508" s="4" t="s">
        <v>514</v>
      </c>
      <c r="B508" s="5" t="str">
        <f>IFERROR(__xludf.DUMMYFUNCTION("IF(A508="""","""",INDEX(SPLIT(A508,"" ""),COUNTA(SPLIT(A508,"" ""))))"),"Benevello")</f>
        <v>Benevello</v>
      </c>
      <c r="C508" s="6"/>
      <c r="D508" s="6" t="s">
        <v>494</v>
      </c>
      <c r="E508" s="7" t="s">
        <v>495</v>
      </c>
    </row>
    <row r="509">
      <c r="A509" s="4" t="s">
        <v>515</v>
      </c>
      <c r="B509" s="5" t="str">
        <f>IFERROR(__xludf.DUMMYFUNCTION("IF(A509="""","""",INDEX(SPLIT(A509,"" ""),COUNTA(SPLIT(A509,"" ""))))"),"Bergolo")</f>
        <v>Bergolo</v>
      </c>
      <c r="C509" s="6"/>
      <c r="D509" s="6" t="s">
        <v>494</v>
      </c>
      <c r="E509" s="7" t="s">
        <v>495</v>
      </c>
    </row>
    <row r="510">
      <c r="A510" s="4" t="s">
        <v>516</v>
      </c>
      <c r="B510" s="5" t="str">
        <f>IFERROR(__xludf.DUMMYFUNCTION("IF(A510="""","""",INDEX(SPLIT(A510,"" ""),COUNTA(SPLIT(A510,"" ""))))"),"Bernezzo")</f>
        <v>Bernezzo</v>
      </c>
      <c r="C510" s="6"/>
      <c r="D510" s="6" t="s">
        <v>494</v>
      </c>
      <c r="E510" s="7" t="s">
        <v>495</v>
      </c>
    </row>
    <row r="511">
      <c r="A511" s="4" t="s">
        <v>517</v>
      </c>
      <c r="B511" s="5" t="str">
        <f>IFERROR(__xludf.DUMMYFUNCTION("IF(A511="""","""",INDEX(SPLIT(A511,"" ""),COUNTA(SPLIT(A511,"" ""))))"),"Bonvicino")</f>
        <v>Bonvicino</v>
      </c>
      <c r="C511" s="6"/>
      <c r="D511" s="6" t="s">
        <v>494</v>
      </c>
      <c r="E511" s="7" t="s">
        <v>495</v>
      </c>
    </row>
    <row r="512">
      <c r="A512" s="4" t="s">
        <v>518</v>
      </c>
      <c r="B512" s="5" t="str">
        <f>IFERROR(__xludf.DUMMYFUNCTION("IF(A512="""","""",INDEX(SPLIT(A512,"" ""),COUNTA(SPLIT(A512,"" ""))))"),"Borgomale")</f>
        <v>Borgomale</v>
      </c>
      <c r="C512" s="6"/>
      <c r="D512" s="6" t="s">
        <v>494</v>
      </c>
      <c r="E512" s="7" t="s">
        <v>495</v>
      </c>
    </row>
    <row r="513">
      <c r="A513" s="4" t="s">
        <v>519</v>
      </c>
      <c r="B513" s="5" t="str">
        <f>IFERROR(__xludf.DUMMYFUNCTION("IF(A513="""","""",INDEX(SPLIT(A513,"" ""),COUNTA(SPLIT(A513,"" ""))))"),"Dalmazzo")</f>
        <v>Dalmazzo</v>
      </c>
      <c r="C513" s="6"/>
      <c r="D513" s="6" t="s">
        <v>494</v>
      </c>
      <c r="E513" s="7" t="s">
        <v>495</v>
      </c>
    </row>
    <row r="514">
      <c r="A514" s="4" t="s">
        <v>520</v>
      </c>
      <c r="B514" s="5" t="str">
        <f>IFERROR(__xludf.DUMMYFUNCTION("IF(A514="""","""",INDEX(SPLIT(A514,"" ""),COUNTA(SPLIT(A514,"" ""))))"),"Bosia")</f>
        <v>Bosia</v>
      </c>
      <c r="C514" s="6"/>
      <c r="D514" s="6" t="s">
        <v>494</v>
      </c>
      <c r="E514" s="7" t="s">
        <v>495</v>
      </c>
    </row>
    <row r="515">
      <c r="A515" s="4" t="s">
        <v>521</v>
      </c>
      <c r="B515" s="5" t="str">
        <f>IFERROR(__xludf.DUMMYFUNCTION("IF(A515="""","""",INDEX(SPLIT(A515,"" ""),COUNTA(SPLIT(A515,"" ""))))"),"Bossolasco")</f>
        <v>Bossolasco</v>
      </c>
      <c r="C515" s="6"/>
      <c r="D515" s="6" t="s">
        <v>494</v>
      </c>
      <c r="E515" s="7" t="s">
        <v>495</v>
      </c>
    </row>
    <row r="516">
      <c r="A516" s="4" t="s">
        <v>522</v>
      </c>
      <c r="B516" s="5" t="str">
        <f>IFERROR(__xludf.DUMMYFUNCTION("IF(A516="""","""",INDEX(SPLIT(A516,"" ""),COUNTA(SPLIT(A516,"" ""))))"),"Boves")</f>
        <v>Boves</v>
      </c>
      <c r="C516" s="6"/>
      <c r="D516" s="6" t="s">
        <v>494</v>
      </c>
      <c r="E516" s="7" t="s">
        <v>495</v>
      </c>
    </row>
    <row r="517">
      <c r="A517" s="4" t="s">
        <v>523</v>
      </c>
      <c r="B517" s="5" t="str">
        <f>IFERROR(__xludf.DUMMYFUNCTION("IF(A517="""","""",INDEX(SPLIT(A517,"" ""),COUNTA(SPLIT(A517,"" ""))))"),"Bra")</f>
        <v>Bra</v>
      </c>
      <c r="C517" s="6"/>
      <c r="D517" s="6" t="s">
        <v>494</v>
      </c>
      <c r="E517" s="7" t="s">
        <v>495</v>
      </c>
    </row>
    <row r="518">
      <c r="A518" s="4" t="s">
        <v>524</v>
      </c>
      <c r="B518" s="5" t="str">
        <f>IFERROR(__xludf.DUMMYFUNCTION("IF(A518="""","""",INDEX(SPLIT(A518,"" ""),COUNTA(SPLIT(A518,"" ""))))"),"Briaglia")</f>
        <v>Briaglia</v>
      </c>
      <c r="C518" s="6"/>
      <c r="D518" s="6" t="s">
        <v>494</v>
      </c>
      <c r="E518" s="7" t="s">
        <v>495</v>
      </c>
    </row>
    <row r="519">
      <c r="A519" s="4" t="s">
        <v>525</v>
      </c>
      <c r="B519" s="5" t="str">
        <f>IFERROR(__xludf.DUMMYFUNCTION("IF(A519="""","""",INDEX(SPLIT(A519,"" ""),COUNTA(SPLIT(A519,"" ""))))"),"Alta")</f>
        <v>Alta</v>
      </c>
      <c r="C519" s="6"/>
      <c r="D519" s="6" t="s">
        <v>494</v>
      </c>
      <c r="E519" s="7" t="s">
        <v>495</v>
      </c>
    </row>
    <row r="520">
      <c r="A520" s="4" t="s">
        <v>526</v>
      </c>
      <c r="B520" s="5" t="str">
        <f>IFERROR(__xludf.DUMMYFUNCTION("IF(A520="""","""",INDEX(SPLIT(A520,"" ""),COUNTA(SPLIT(A520,"" ""))))"),"Brondello")</f>
        <v>Brondello</v>
      </c>
      <c r="C520" s="6"/>
      <c r="D520" s="6" t="s">
        <v>494</v>
      </c>
      <c r="E520" s="7" t="s">
        <v>495</v>
      </c>
    </row>
    <row r="521">
      <c r="A521" s="4" t="s">
        <v>527</v>
      </c>
      <c r="B521" s="5" t="str">
        <f>IFERROR(__xludf.DUMMYFUNCTION("IF(A521="""","""",INDEX(SPLIT(A521,"" ""),COUNTA(SPLIT(A521,"" ""))))"),"Brossasco")</f>
        <v>Brossasco</v>
      </c>
      <c r="C521" s="6"/>
      <c r="D521" s="6" t="s">
        <v>494</v>
      </c>
      <c r="E521" s="7" t="s">
        <v>495</v>
      </c>
    </row>
    <row r="522">
      <c r="A522" s="4" t="s">
        <v>528</v>
      </c>
      <c r="B522" s="5" t="str">
        <f>IFERROR(__xludf.DUMMYFUNCTION("IF(A522="""","""",INDEX(SPLIT(A522,"" ""),COUNTA(SPLIT(A522,"" ""))))"),"Busca")</f>
        <v>Busca</v>
      </c>
      <c r="C522" s="6"/>
      <c r="D522" s="6" t="s">
        <v>494</v>
      </c>
      <c r="E522" s="7" t="s">
        <v>495</v>
      </c>
    </row>
    <row r="523">
      <c r="A523" s="4" t="s">
        <v>529</v>
      </c>
      <c r="B523" s="5" t="str">
        <f>IFERROR(__xludf.DUMMYFUNCTION("IF(A523="""","""",INDEX(SPLIT(A523,"" ""),COUNTA(SPLIT(A523,"" ""))))"),"Camerana")</f>
        <v>Camerana</v>
      </c>
      <c r="C523" s="6"/>
      <c r="D523" s="6" t="s">
        <v>494</v>
      </c>
      <c r="E523" s="7" t="s">
        <v>495</v>
      </c>
    </row>
    <row r="524">
      <c r="A524" s="4" t="s">
        <v>530</v>
      </c>
      <c r="B524" s="5" t="str">
        <f>IFERROR(__xludf.DUMMYFUNCTION("IF(A524="""","""",INDEX(SPLIT(A524,"" ""),COUNTA(SPLIT(A524,"" ""))))"),"Camo")</f>
        <v>Camo</v>
      </c>
      <c r="C524" s="6"/>
      <c r="D524" s="6" t="s">
        <v>494</v>
      </c>
      <c r="E524" s="7" t="s">
        <v>495</v>
      </c>
    </row>
    <row r="525">
      <c r="A525" s="4" t="s">
        <v>531</v>
      </c>
      <c r="B525" s="5" t="str">
        <f>IFERROR(__xludf.DUMMYFUNCTION("IF(A525="""","""",INDEX(SPLIT(A525,"" ""),COUNTA(SPLIT(A525,"" ""))))"),"Canale")</f>
        <v>Canale</v>
      </c>
      <c r="C525" s="6"/>
      <c r="D525" s="6" t="s">
        <v>494</v>
      </c>
      <c r="E525" s="7" t="s">
        <v>495</v>
      </c>
    </row>
    <row r="526">
      <c r="A526" s="4" t="s">
        <v>532</v>
      </c>
      <c r="B526" s="5" t="str">
        <f>IFERROR(__xludf.DUMMYFUNCTION("IF(A526="""","""",INDEX(SPLIT(A526,"" ""),COUNTA(SPLIT(A526,"" ""))))"),"Canosio")</f>
        <v>Canosio</v>
      </c>
      <c r="C526" s="6"/>
      <c r="D526" s="6" t="s">
        <v>494</v>
      </c>
      <c r="E526" s="7" t="s">
        <v>495</v>
      </c>
    </row>
    <row r="527">
      <c r="A527" s="4" t="s">
        <v>533</v>
      </c>
      <c r="B527" s="5" t="str">
        <f>IFERROR(__xludf.DUMMYFUNCTION("IF(A527="""","""",INDEX(SPLIT(A527,"" ""),COUNTA(SPLIT(A527,"" ""))))"),"Caprauna")</f>
        <v>Caprauna</v>
      </c>
      <c r="C527" s="6"/>
      <c r="D527" s="6" t="s">
        <v>494</v>
      </c>
      <c r="E527" s="7" t="s">
        <v>495</v>
      </c>
    </row>
    <row r="528">
      <c r="A528" s="4" t="s">
        <v>534</v>
      </c>
      <c r="B528" s="5" t="str">
        <f>IFERROR(__xludf.DUMMYFUNCTION("IF(A528="""","""",INDEX(SPLIT(A528,"" ""),COUNTA(SPLIT(A528,"" ""))))"),"Caraglio")</f>
        <v>Caraglio</v>
      </c>
      <c r="C528" s="6"/>
      <c r="D528" s="6" t="s">
        <v>494</v>
      </c>
      <c r="E528" s="7" t="s">
        <v>495</v>
      </c>
    </row>
    <row r="529">
      <c r="A529" s="4" t="s">
        <v>535</v>
      </c>
      <c r="B529" s="5" t="str">
        <f>IFERROR(__xludf.DUMMYFUNCTION("IF(A529="""","""",INDEX(SPLIT(A529,"" ""),COUNTA(SPLIT(A529,"" ""))))"),"Piemonte")</f>
        <v>Piemonte</v>
      </c>
      <c r="C529" s="6"/>
      <c r="D529" s="6" t="s">
        <v>494</v>
      </c>
      <c r="E529" s="7" t="s">
        <v>495</v>
      </c>
    </row>
    <row r="530">
      <c r="A530" s="4" t="s">
        <v>536</v>
      </c>
      <c r="B530" s="5" t="str">
        <f>IFERROR(__xludf.DUMMYFUNCTION("IF(A530="""","""",INDEX(SPLIT(A530,"" ""),COUNTA(SPLIT(A530,"" ""))))"),"Cardè")</f>
        <v>Cardè</v>
      </c>
      <c r="C530" s="6"/>
      <c r="D530" s="6" t="s">
        <v>494</v>
      </c>
      <c r="E530" s="7" t="s">
        <v>495</v>
      </c>
    </row>
    <row r="531">
      <c r="A531" s="4" t="s">
        <v>537</v>
      </c>
      <c r="B531" s="5" t="str">
        <f>IFERROR(__xludf.DUMMYFUNCTION("IF(A531="""","""",INDEX(SPLIT(A531,"" ""),COUNTA(SPLIT(A531,"" ""))))"),"Carrù")</f>
        <v>Carrù</v>
      </c>
      <c r="C531" s="6"/>
      <c r="D531" s="6" t="s">
        <v>494</v>
      </c>
      <c r="E531" s="7" t="s">
        <v>495</v>
      </c>
    </row>
    <row r="532">
      <c r="A532" s="4" t="s">
        <v>538</v>
      </c>
      <c r="B532" s="5" t="str">
        <f>IFERROR(__xludf.DUMMYFUNCTION("IF(A532="""","""",INDEX(SPLIT(A532,"" ""),COUNTA(SPLIT(A532,"" ""))))"),"Cartignano")</f>
        <v>Cartignano</v>
      </c>
      <c r="C532" s="6"/>
      <c r="D532" s="6" t="s">
        <v>494</v>
      </c>
      <c r="E532" s="7" t="s">
        <v>495</v>
      </c>
    </row>
    <row r="533">
      <c r="A533" s="4" t="s">
        <v>539</v>
      </c>
      <c r="B533" s="5" t="str">
        <f>IFERROR(__xludf.DUMMYFUNCTION("IF(A533="""","""",INDEX(SPLIT(A533,"" ""),COUNTA(SPLIT(A533,"" ""))))"),"Casalgrasso")</f>
        <v>Casalgrasso</v>
      </c>
      <c r="C533" s="6"/>
      <c r="D533" s="6" t="s">
        <v>494</v>
      </c>
      <c r="E533" s="7" t="s">
        <v>495</v>
      </c>
    </row>
    <row r="534">
      <c r="A534" s="4" t="s">
        <v>540</v>
      </c>
      <c r="B534" s="5" t="str">
        <f>IFERROR(__xludf.DUMMYFUNCTION("IF(A534="""","""",INDEX(SPLIT(A534,"" ""),COUNTA(SPLIT(A534,"" ""))))"),"Castagnito")</f>
        <v>Castagnito</v>
      </c>
      <c r="C534" s="6"/>
      <c r="D534" s="6" t="s">
        <v>494</v>
      </c>
      <c r="E534" s="7" t="s">
        <v>495</v>
      </c>
    </row>
    <row r="535">
      <c r="A535" s="4" t="s">
        <v>541</v>
      </c>
      <c r="B535" s="5" t="str">
        <f>IFERROR(__xludf.DUMMYFUNCTION("IF(A535="""","""",INDEX(SPLIT(A535,"" ""),COUNTA(SPLIT(A535,"" ""))))"),"Casteldelfino")</f>
        <v>Casteldelfino</v>
      </c>
      <c r="C535" s="6"/>
      <c r="D535" s="6" t="s">
        <v>494</v>
      </c>
      <c r="E535" s="7" t="s">
        <v>495</v>
      </c>
    </row>
    <row r="536">
      <c r="A536" s="4" t="s">
        <v>542</v>
      </c>
      <c r="B536" s="5" t="str">
        <f>IFERROR(__xludf.DUMMYFUNCTION("IF(A536="""","""",INDEX(SPLIT(A536,"" ""),COUNTA(SPLIT(A536,"" ""))))"),"Castellar")</f>
        <v>Castellar</v>
      </c>
      <c r="C536" s="6"/>
      <c r="D536" s="6" t="s">
        <v>494</v>
      </c>
      <c r="E536" s="7" t="s">
        <v>495</v>
      </c>
    </row>
    <row r="537">
      <c r="A537" s="4" t="s">
        <v>543</v>
      </c>
      <c r="B537" s="5" t="str">
        <f>IFERROR(__xludf.DUMMYFUNCTION("IF(A537="""","""",INDEX(SPLIT(A537,"" ""),COUNTA(SPLIT(A537,"" ""))))"),"Stura")</f>
        <v>Stura</v>
      </c>
      <c r="C537" s="6"/>
      <c r="D537" s="6" t="s">
        <v>494</v>
      </c>
      <c r="E537" s="7" t="s">
        <v>495</v>
      </c>
    </row>
    <row r="538">
      <c r="A538" s="4" t="s">
        <v>544</v>
      </c>
      <c r="B538" s="5" t="str">
        <f>IFERROR(__xludf.DUMMYFUNCTION("IF(A538="""","""",INDEX(SPLIT(A538,"" ""),COUNTA(SPLIT(A538,"" ""))))"),"Uzzone")</f>
        <v>Uzzone</v>
      </c>
      <c r="C538" s="6"/>
      <c r="D538" s="6" t="s">
        <v>494</v>
      </c>
      <c r="E538" s="7" t="s">
        <v>495</v>
      </c>
    </row>
    <row r="539">
      <c r="A539" s="4" t="s">
        <v>545</v>
      </c>
      <c r="B539" s="5" t="str">
        <f>IFERROR(__xludf.DUMMYFUNCTION("IF(A539="""","""",INDEX(SPLIT(A539,"" ""),COUNTA(SPLIT(A539,"" ""))))"),"d'Alba")</f>
        <v>d'Alba</v>
      </c>
      <c r="C539" s="6"/>
      <c r="D539" s="6" t="s">
        <v>494</v>
      </c>
      <c r="E539" s="7" t="s">
        <v>495</v>
      </c>
    </row>
    <row r="540">
      <c r="A540" s="4" t="s">
        <v>546</v>
      </c>
      <c r="B540" s="5" t="str">
        <f>IFERROR(__xludf.DUMMYFUNCTION("IF(A540="""","""",INDEX(SPLIT(A540,"" ""),COUNTA(SPLIT(A540,"" ""))))"),"Tanaro")</f>
        <v>Tanaro</v>
      </c>
      <c r="C540" s="6"/>
      <c r="D540" s="6" t="s">
        <v>494</v>
      </c>
      <c r="E540" s="7" t="s">
        <v>495</v>
      </c>
    </row>
    <row r="541">
      <c r="A541" s="4" t="s">
        <v>547</v>
      </c>
      <c r="B541" s="5" t="str">
        <f>IFERROR(__xludf.DUMMYFUNCTION("IF(A541="""","""",INDEX(SPLIT(A541,"" ""),COUNTA(SPLIT(A541,"" ""))))"),"Castelmagno")</f>
        <v>Castelmagno</v>
      </c>
      <c r="C541" s="6"/>
      <c r="D541" s="6" t="s">
        <v>494</v>
      </c>
      <c r="E541" s="7" t="s">
        <v>495</v>
      </c>
    </row>
    <row r="542">
      <c r="A542" s="4" t="s">
        <v>548</v>
      </c>
      <c r="B542" s="5" t="str">
        <f>IFERROR(__xludf.DUMMYFUNCTION("IF(A542="""","""",INDEX(SPLIT(A542,"" ""),COUNTA(SPLIT(A542,"" ""))))"),"Ceva")</f>
        <v>Ceva</v>
      </c>
      <c r="C542" s="6"/>
      <c r="D542" s="6" t="s">
        <v>494</v>
      </c>
      <c r="E542" s="7" t="s">
        <v>495</v>
      </c>
    </row>
    <row r="543">
      <c r="A543" s="4" t="s">
        <v>549</v>
      </c>
      <c r="B543" s="5" t="str">
        <f>IFERROR(__xludf.DUMMYFUNCTION("IF(A543="""","""",INDEX(SPLIT(A543,"" ""),COUNTA(SPLIT(A543,"" ""))))"),"Falletto")</f>
        <v>Falletto</v>
      </c>
      <c r="C543" s="6"/>
      <c r="D543" s="6" t="s">
        <v>494</v>
      </c>
      <c r="E543" s="7" t="s">
        <v>495</v>
      </c>
    </row>
    <row r="544">
      <c r="A544" s="4" t="s">
        <v>550</v>
      </c>
      <c r="B544" s="5" t="str">
        <f>IFERROR(__xludf.DUMMYFUNCTION("IF(A544="""","""",INDEX(SPLIT(A544,"" ""),COUNTA(SPLIT(A544,"" ""))))"),"Tinella")</f>
        <v>Tinella</v>
      </c>
      <c r="C544" s="6"/>
      <c r="D544" s="6" t="s">
        <v>494</v>
      </c>
      <c r="E544" s="7" t="s">
        <v>495</v>
      </c>
    </row>
    <row r="545">
      <c r="A545" s="4" t="s">
        <v>551</v>
      </c>
      <c r="B545" s="5" t="str">
        <f>IFERROR(__xludf.DUMMYFUNCTION("IF(A545="""","""",INDEX(SPLIT(A545,"" ""),COUNTA(SPLIT(A545,"" ""))))"),"Castino")</f>
        <v>Castino</v>
      </c>
      <c r="C545" s="6"/>
      <c r="D545" s="6" t="s">
        <v>494</v>
      </c>
      <c r="E545" s="7" t="s">
        <v>495</v>
      </c>
    </row>
    <row r="546">
      <c r="A546" s="4" t="s">
        <v>552</v>
      </c>
      <c r="B546" s="5" t="str">
        <f>IFERROR(__xludf.DUMMYFUNCTION("IF(A546="""","""",INDEX(SPLIT(A546,"" ""),COUNTA(SPLIT(A546,"" ""))))"),"Cavallerleone")</f>
        <v>Cavallerleone</v>
      </c>
      <c r="C546" s="6"/>
      <c r="D546" s="6" t="s">
        <v>494</v>
      </c>
      <c r="E546" s="7" t="s">
        <v>495</v>
      </c>
    </row>
    <row r="547">
      <c r="A547" s="4" t="s">
        <v>553</v>
      </c>
      <c r="B547" s="5" t="str">
        <f>IFERROR(__xludf.DUMMYFUNCTION("IF(A547="""","""",INDEX(SPLIT(A547,"" ""),COUNTA(SPLIT(A547,"" ""))))"),"Cavallermaggiore")</f>
        <v>Cavallermaggiore</v>
      </c>
      <c r="C547" s="6"/>
      <c r="D547" s="6" t="s">
        <v>494</v>
      </c>
      <c r="E547" s="7" t="s">
        <v>495</v>
      </c>
    </row>
    <row r="548">
      <c r="A548" s="4" t="s">
        <v>554</v>
      </c>
      <c r="B548" s="5" t="str">
        <f>IFERROR(__xludf.DUMMYFUNCTION("IF(A548="""","""",INDEX(SPLIT(A548,"" ""),COUNTA(SPLIT(A548,"" ""))))"),"Macra")</f>
        <v>Macra</v>
      </c>
      <c r="C548" s="6"/>
      <c r="D548" s="6" t="s">
        <v>494</v>
      </c>
      <c r="E548" s="7" t="s">
        <v>495</v>
      </c>
    </row>
    <row r="549">
      <c r="A549" s="4" t="s">
        <v>555</v>
      </c>
      <c r="B549" s="5" t="str">
        <f>IFERROR(__xludf.DUMMYFUNCTION("IF(A549="""","""",INDEX(SPLIT(A549,"" ""),COUNTA(SPLIT(A549,"" ""))))"),"Centallo")</f>
        <v>Centallo</v>
      </c>
      <c r="C549" s="6"/>
      <c r="D549" s="6" t="s">
        <v>494</v>
      </c>
      <c r="E549" s="7" t="s">
        <v>495</v>
      </c>
    </row>
    <row r="550">
      <c r="A550" s="4" t="s">
        <v>556</v>
      </c>
      <c r="B550" s="5" t="str">
        <f>IFERROR(__xludf.DUMMYFUNCTION("IF(A550="""","""",INDEX(SPLIT(A550,"" ""),COUNTA(SPLIT(A550,"" ""))))"),"Alba")</f>
        <v>Alba</v>
      </c>
      <c r="C550" s="6"/>
      <c r="D550" s="6" t="s">
        <v>494</v>
      </c>
      <c r="E550" s="7" t="s">
        <v>495</v>
      </c>
    </row>
    <row r="551">
      <c r="A551" s="4" t="s">
        <v>557</v>
      </c>
      <c r="B551" s="5" t="str">
        <f>IFERROR(__xludf.DUMMYFUNCTION("IF(A551="""","""",INDEX(SPLIT(A551,"" ""),COUNTA(SPLIT(A551,"" ""))))"),"Langhe")</f>
        <v>Langhe</v>
      </c>
      <c r="C551" s="6"/>
      <c r="D551" s="6" t="s">
        <v>494</v>
      </c>
      <c r="E551" s="7" t="s">
        <v>495</v>
      </c>
    </row>
    <row r="552">
      <c r="A552" s="4" t="s">
        <v>558</v>
      </c>
      <c r="B552" s="5" t="str">
        <f>IFERROR(__xludf.DUMMYFUNCTION("IF(A552="""","""",INDEX(SPLIT(A552,"" ""),COUNTA(SPLIT(A552,"" ""))))"),"Cervasca")</f>
        <v>Cervasca</v>
      </c>
      <c r="C552" s="6"/>
      <c r="D552" s="6" t="s">
        <v>494</v>
      </c>
      <c r="E552" s="7" t="s">
        <v>495</v>
      </c>
    </row>
    <row r="553">
      <c r="A553" s="4" t="s">
        <v>559</v>
      </c>
      <c r="B553" s="5" t="str">
        <f>IFERROR(__xludf.DUMMYFUNCTION("IF(A553="""","""",INDEX(SPLIT(A553,"" ""),COUNTA(SPLIT(A553,"" ""))))"),"Cervere")</f>
        <v>Cervere</v>
      </c>
      <c r="C553" s="6"/>
      <c r="D553" s="6" t="s">
        <v>494</v>
      </c>
      <c r="E553" s="7" t="s">
        <v>495</v>
      </c>
    </row>
    <row r="554">
      <c r="A554" s="4" t="s">
        <v>560</v>
      </c>
      <c r="B554" s="5" t="str">
        <f>IFERROR(__xludf.DUMMYFUNCTION("IF(A554="""","""",INDEX(SPLIT(A554,"" ""),COUNTA(SPLIT(A554,"" ""))))"),"Ceva")</f>
        <v>Ceva</v>
      </c>
      <c r="C554" s="6"/>
      <c r="D554" s="6" t="s">
        <v>494</v>
      </c>
      <c r="E554" s="7" t="s">
        <v>495</v>
      </c>
    </row>
    <row r="555">
      <c r="A555" s="4" t="s">
        <v>561</v>
      </c>
      <c r="B555" s="5" t="str">
        <f>IFERROR(__xludf.DUMMYFUNCTION("IF(A555="""","""",INDEX(SPLIT(A555,"" ""),COUNTA(SPLIT(A555,"" ""))))"),"Cherasco")</f>
        <v>Cherasco</v>
      </c>
      <c r="C555" s="6"/>
      <c r="D555" s="6" t="s">
        <v>494</v>
      </c>
      <c r="E555" s="7" t="s">
        <v>495</v>
      </c>
    </row>
    <row r="556">
      <c r="A556" s="4" t="s">
        <v>562</v>
      </c>
      <c r="B556" s="5" t="str">
        <f>IFERROR(__xludf.DUMMYFUNCTION("IF(A556="""","""",INDEX(SPLIT(A556,"" ""),COUNTA(SPLIT(A556,"" ""))))"),"Pesio")</f>
        <v>Pesio</v>
      </c>
      <c r="C556" s="6"/>
      <c r="D556" s="6" t="s">
        <v>494</v>
      </c>
      <c r="E556" s="7" t="s">
        <v>495</v>
      </c>
    </row>
    <row r="557">
      <c r="A557" s="4" t="s">
        <v>563</v>
      </c>
      <c r="B557" s="5" t="str">
        <f>IFERROR(__xludf.DUMMYFUNCTION("IF(A557="""","""",INDEX(SPLIT(A557,"" ""),COUNTA(SPLIT(A557,"" ""))))"),"Cigliè")</f>
        <v>Cigliè</v>
      </c>
      <c r="C557" s="6"/>
      <c r="D557" s="6" t="s">
        <v>494</v>
      </c>
      <c r="E557" s="7" t="s">
        <v>495</v>
      </c>
    </row>
    <row r="558">
      <c r="A558" s="4" t="s">
        <v>564</v>
      </c>
      <c r="B558" s="5" t="str">
        <f>IFERROR(__xludf.DUMMYFUNCTION("IF(A558="""","""",INDEX(SPLIT(A558,"" ""),COUNTA(SPLIT(A558,"" ""))))"),"Cissone")</f>
        <v>Cissone</v>
      </c>
      <c r="C558" s="6"/>
      <c r="D558" s="6" t="s">
        <v>494</v>
      </c>
      <c r="E558" s="7" t="s">
        <v>495</v>
      </c>
    </row>
    <row r="559">
      <c r="A559" s="4" t="s">
        <v>565</v>
      </c>
      <c r="B559" s="5" t="str">
        <f>IFERROR(__xludf.DUMMYFUNCTION("IF(A559="""","""",INDEX(SPLIT(A559,"" ""),COUNTA(SPLIT(A559,"" ""))))"),"Clavesana")</f>
        <v>Clavesana</v>
      </c>
      <c r="C559" s="6"/>
      <c r="D559" s="6" t="s">
        <v>494</v>
      </c>
      <c r="E559" s="7" t="s">
        <v>495</v>
      </c>
    </row>
    <row r="560">
      <c r="A560" s="4" t="s">
        <v>566</v>
      </c>
      <c r="B560" s="5" t="str">
        <f>IFERROR(__xludf.DUMMYFUNCTION("IF(A560="""","""",INDEX(SPLIT(A560,"" ""),COUNTA(SPLIT(A560,"" ""))))"),"d'Alba")</f>
        <v>d'Alba</v>
      </c>
      <c r="C560" s="6"/>
      <c r="D560" s="6" t="s">
        <v>494</v>
      </c>
      <c r="E560" s="7" t="s">
        <v>495</v>
      </c>
    </row>
    <row r="561">
      <c r="A561" s="4" t="s">
        <v>567</v>
      </c>
      <c r="B561" s="5" t="str">
        <f>IFERROR(__xludf.DUMMYFUNCTION("IF(A561="""","""",INDEX(SPLIT(A561,"" ""),COUNTA(SPLIT(A561,"" ""))))"),"Cortemilia")</f>
        <v>Cortemilia</v>
      </c>
      <c r="C561" s="6"/>
      <c r="D561" s="6" t="s">
        <v>494</v>
      </c>
      <c r="E561" s="7" t="s">
        <v>495</v>
      </c>
    </row>
    <row r="562">
      <c r="A562" s="4" t="s">
        <v>568</v>
      </c>
      <c r="B562" s="5" t="str">
        <f>IFERROR(__xludf.DUMMYFUNCTION("IF(A562="""","""",INDEX(SPLIT(A562,"" ""),COUNTA(SPLIT(A562,"" ""))))"),"Belbo")</f>
        <v>Belbo</v>
      </c>
      <c r="C562" s="6"/>
      <c r="D562" s="6" t="s">
        <v>494</v>
      </c>
      <c r="E562" s="7" t="s">
        <v>495</v>
      </c>
    </row>
    <row r="563">
      <c r="A563" s="4" t="s">
        <v>569</v>
      </c>
      <c r="B563" s="5" t="str">
        <f>IFERROR(__xludf.DUMMYFUNCTION("IF(A563="""","""",INDEX(SPLIT(A563,"" ""),COUNTA(SPLIT(A563,"" ""))))"),"Saluzzo")</f>
        <v>Saluzzo</v>
      </c>
      <c r="C563" s="6"/>
      <c r="D563" s="6" t="s">
        <v>494</v>
      </c>
      <c r="E563" s="7" t="s">
        <v>495</v>
      </c>
    </row>
    <row r="564">
      <c r="A564" s="4" t="s">
        <v>570</v>
      </c>
      <c r="B564" s="5" t="str">
        <f>IFERROR(__xludf.DUMMYFUNCTION("IF(A564="""","""",INDEX(SPLIT(A564,"" ""),COUNTA(SPLIT(A564,"" ""))))"),"Cravanzana")</f>
        <v>Cravanzana</v>
      </c>
      <c r="C564" s="6"/>
      <c r="D564" s="6" t="s">
        <v>494</v>
      </c>
      <c r="E564" s="7" t="s">
        <v>495</v>
      </c>
    </row>
    <row r="565">
      <c r="A565" s="4" t="s">
        <v>571</v>
      </c>
      <c r="B565" s="5" t="str">
        <f>IFERROR(__xludf.DUMMYFUNCTION("IF(A565="""","""",INDEX(SPLIT(A565,"" ""),COUNTA(SPLIT(A565,"" ""))))"),"Crissolo")</f>
        <v>Crissolo</v>
      </c>
      <c r="C565" s="6"/>
      <c r="D565" s="6" t="s">
        <v>494</v>
      </c>
      <c r="E565" s="7" t="s">
        <v>495</v>
      </c>
    </row>
    <row r="566">
      <c r="A566" s="4" t="s">
        <v>494</v>
      </c>
      <c r="B566" s="5" t="str">
        <f>IFERROR(__xludf.DUMMYFUNCTION("IF(A566="""","""",INDEX(SPLIT(A566,"" ""),COUNTA(SPLIT(A566,"" ""))))"),"Cuneo")</f>
        <v>Cuneo</v>
      </c>
      <c r="C566" s="6"/>
      <c r="D566" s="6" t="s">
        <v>494</v>
      </c>
      <c r="E566" s="7" t="s">
        <v>495</v>
      </c>
    </row>
    <row r="567">
      <c r="A567" s="4" t="s">
        <v>572</v>
      </c>
      <c r="B567" s="5" t="str">
        <f>IFERROR(__xludf.DUMMYFUNCTION("IF(A567="""","""",INDEX(SPLIT(A567,"" ""),COUNTA(SPLIT(A567,"" ""))))"),"Demonte")</f>
        <v>Demonte</v>
      </c>
      <c r="C567" s="6"/>
      <c r="D567" s="6" t="s">
        <v>494</v>
      </c>
      <c r="E567" s="7" t="s">
        <v>495</v>
      </c>
    </row>
    <row r="568">
      <c r="A568" s="4" t="s">
        <v>573</v>
      </c>
      <c r="B568" s="5" t="str">
        <f>IFERROR(__xludf.DUMMYFUNCTION("IF(A568="""","""",INDEX(SPLIT(A568,"" ""),COUNTA(SPLIT(A568,"" ""))))"),"d'Alba")</f>
        <v>d'Alba</v>
      </c>
      <c r="C568" s="6"/>
      <c r="D568" s="6" t="s">
        <v>494</v>
      </c>
      <c r="E568" s="7" t="s">
        <v>495</v>
      </c>
    </row>
    <row r="569">
      <c r="A569" s="4" t="s">
        <v>574</v>
      </c>
      <c r="B569" s="5" t="str">
        <f>IFERROR(__xludf.DUMMYFUNCTION("IF(A569="""","""",INDEX(SPLIT(A569,"" ""),COUNTA(SPLIT(A569,"" ""))))"),"Dogliani")</f>
        <v>Dogliani</v>
      </c>
      <c r="C569" s="6"/>
      <c r="D569" s="6" t="s">
        <v>494</v>
      </c>
      <c r="E569" s="7" t="s">
        <v>495</v>
      </c>
    </row>
    <row r="570">
      <c r="A570" s="4" t="s">
        <v>575</v>
      </c>
      <c r="B570" s="5" t="str">
        <f>IFERROR(__xludf.DUMMYFUNCTION("IF(A570="""","""",INDEX(SPLIT(A570,"" ""),COUNTA(SPLIT(A570,"" ""))))"),"Dronero")</f>
        <v>Dronero</v>
      </c>
      <c r="C570" s="6"/>
      <c r="D570" s="6" t="s">
        <v>494</v>
      </c>
      <c r="E570" s="7" t="s">
        <v>495</v>
      </c>
    </row>
    <row r="571">
      <c r="A571" s="4" t="s">
        <v>576</v>
      </c>
      <c r="B571" s="5" t="str">
        <f>IFERROR(__xludf.DUMMYFUNCTION("IF(A571="""","""",INDEX(SPLIT(A571,"" ""),COUNTA(SPLIT(A571,"" ""))))"),"Elva")</f>
        <v>Elva</v>
      </c>
      <c r="C571" s="6"/>
      <c r="D571" s="6" t="s">
        <v>494</v>
      </c>
      <c r="E571" s="7" t="s">
        <v>495</v>
      </c>
    </row>
    <row r="572">
      <c r="A572" s="4" t="s">
        <v>577</v>
      </c>
      <c r="B572" s="5" t="str">
        <f>IFERROR(__xludf.DUMMYFUNCTION("IF(A572="""","""",INDEX(SPLIT(A572,"" ""),COUNTA(SPLIT(A572,"" ""))))"),"Entracque")</f>
        <v>Entracque</v>
      </c>
      <c r="C572" s="6"/>
      <c r="D572" s="6" t="s">
        <v>494</v>
      </c>
      <c r="E572" s="7" t="s">
        <v>495</v>
      </c>
    </row>
    <row r="573">
      <c r="A573" s="4" t="s">
        <v>578</v>
      </c>
      <c r="B573" s="5" t="str">
        <f>IFERROR(__xludf.DUMMYFUNCTION("IF(A573="""","""",INDEX(SPLIT(A573,"" ""),COUNTA(SPLIT(A573,"" ""))))"),"Envie")</f>
        <v>Envie</v>
      </c>
      <c r="C573" s="6"/>
      <c r="D573" s="6" t="s">
        <v>494</v>
      </c>
      <c r="E573" s="7" t="s">
        <v>495</v>
      </c>
    </row>
    <row r="574">
      <c r="A574" s="4" t="s">
        <v>579</v>
      </c>
      <c r="B574" s="5" t="str">
        <f>IFERROR(__xludf.DUMMYFUNCTION("IF(A574="""","""",INDEX(SPLIT(A574,"" ""),COUNTA(SPLIT(A574,"" ""))))"),"Farigliano")</f>
        <v>Farigliano</v>
      </c>
      <c r="C574" s="6"/>
      <c r="D574" s="6" t="s">
        <v>494</v>
      </c>
      <c r="E574" s="7" t="s">
        <v>495</v>
      </c>
    </row>
    <row r="575">
      <c r="A575" s="4" t="s">
        <v>580</v>
      </c>
      <c r="B575" s="5" t="str">
        <f>IFERROR(__xludf.DUMMYFUNCTION("IF(A575="""","""",INDEX(SPLIT(A575,"" ""),COUNTA(SPLIT(A575,"" ""))))"),"Faule")</f>
        <v>Faule</v>
      </c>
      <c r="C575" s="6"/>
      <c r="D575" s="6" t="s">
        <v>494</v>
      </c>
      <c r="E575" s="7" t="s">
        <v>495</v>
      </c>
    </row>
    <row r="576">
      <c r="A576" s="4" t="s">
        <v>581</v>
      </c>
      <c r="B576" s="5" t="str">
        <f>IFERROR(__xludf.DUMMYFUNCTION("IF(A576="""","""",INDEX(SPLIT(A576,"" ""),COUNTA(SPLIT(A576,"" ""))))"),"Feisoglio")</f>
        <v>Feisoglio</v>
      </c>
      <c r="C576" s="6"/>
      <c r="D576" s="6" t="s">
        <v>494</v>
      </c>
      <c r="E576" s="7" t="s">
        <v>495</v>
      </c>
    </row>
    <row r="577">
      <c r="A577" s="4" t="s">
        <v>582</v>
      </c>
      <c r="B577" s="5" t="str">
        <f>IFERROR(__xludf.DUMMYFUNCTION("IF(A577="""","""",INDEX(SPLIT(A577,"" ""),COUNTA(SPLIT(A577,"" ""))))"),"Fossano")</f>
        <v>Fossano</v>
      </c>
      <c r="C577" s="6"/>
      <c r="D577" s="6" t="s">
        <v>494</v>
      </c>
      <c r="E577" s="7" t="s">
        <v>495</v>
      </c>
    </row>
    <row r="578">
      <c r="A578" s="4" t="s">
        <v>583</v>
      </c>
      <c r="B578" s="5" t="str">
        <f>IFERROR(__xludf.DUMMYFUNCTION("IF(A578="""","""",INDEX(SPLIT(A578,"" ""),COUNTA(SPLIT(A578,"" ""))))"),"Soprana")</f>
        <v>Soprana</v>
      </c>
      <c r="C578" s="6"/>
      <c r="D578" s="6" t="s">
        <v>494</v>
      </c>
      <c r="E578" s="7" t="s">
        <v>495</v>
      </c>
    </row>
    <row r="579">
      <c r="A579" s="4" t="s">
        <v>584</v>
      </c>
      <c r="B579" s="5" t="str">
        <f>IFERROR(__xludf.DUMMYFUNCTION("IF(A579="""","""",INDEX(SPLIT(A579,"" ""),COUNTA(SPLIT(A579,"" ""))))"),"Sottana")</f>
        <v>Sottana</v>
      </c>
      <c r="C579" s="6"/>
      <c r="D579" s="6" t="s">
        <v>494</v>
      </c>
      <c r="E579" s="7" t="s">
        <v>495</v>
      </c>
    </row>
    <row r="580">
      <c r="A580" s="4" t="s">
        <v>585</v>
      </c>
      <c r="B580" s="5" t="str">
        <f>IFERROR(__xludf.DUMMYFUNCTION("IF(A580="""","""",INDEX(SPLIT(A580,"" ""),COUNTA(SPLIT(A580,"" ""))))"),"Frassino")</f>
        <v>Frassino</v>
      </c>
      <c r="C580" s="6"/>
      <c r="D580" s="6" t="s">
        <v>494</v>
      </c>
      <c r="E580" s="7" t="s">
        <v>495</v>
      </c>
    </row>
    <row r="581">
      <c r="A581" s="4" t="s">
        <v>586</v>
      </c>
      <c r="B581" s="5" t="str">
        <f>IFERROR(__xludf.DUMMYFUNCTION("IF(A581="""","""",INDEX(SPLIT(A581,"" ""),COUNTA(SPLIT(A581,"" ""))))"),"Gaiola")</f>
        <v>Gaiola</v>
      </c>
      <c r="C581" s="6"/>
      <c r="D581" s="6" t="s">
        <v>494</v>
      </c>
      <c r="E581" s="7" t="s">
        <v>495</v>
      </c>
    </row>
    <row r="582">
      <c r="A582" s="4" t="s">
        <v>587</v>
      </c>
      <c r="B582" s="5" t="str">
        <f>IFERROR(__xludf.DUMMYFUNCTION("IF(A582="""","""",INDEX(SPLIT(A582,"" ""),COUNTA(SPLIT(A582,"" ""))))"),"Gambasca")</f>
        <v>Gambasca</v>
      </c>
      <c r="C582" s="6"/>
      <c r="D582" s="6" t="s">
        <v>494</v>
      </c>
      <c r="E582" s="7" t="s">
        <v>495</v>
      </c>
    </row>
    <row r="583">
      <c r="A583" s="4" t="s">
        <v>588</v>
      </c>
      <c r="B583" s="5" t="str">
        <f>IFERROR(__xludf.DUMMYFUNCTION("IF(A583="""","""",INDEX(SPLIT(A583,"" ""),COUNTA(SPLIT(A583,"" ""))))"),"Garessio")</f>
        <v>Garessio</v>
      </c>
      <c r="C583" s="6"/>
      <c r="D583" s="6" t="s">
        <v>494</v>
      </c>
      <c r="E583" s="7" t="s">
        <v>495</v>
      </c>
    </row>
    <row r="584">
      <c r="A584" s="4" t="s">
        <v>589</v>
      </c>
      <c r="B584" s="5" t="str">
        <f>IFERROR(__xludf.DUMMYFUNCTION("IF(A584="""","""",INDEX(SPLIT(A584,"" ""),COUNTA(SPLIT(A584,"" ""))))"),"Genola")</f>
        <v>Genola</v>
      </c>
      <c r="C584" s="6"/>
      <c r="D584" s="6" t="s">
        <v>494</v>
      </c>
      <c r="E584" s="7" t="s">
        <v>495</v>
      </c>
    </row>
    <row r="585">
      <c r="A585" s="4" t="s">
        <v>590</v>
      </c>
      <c r="B585" s="5" t="str">
        <f>IFERROR(__xludf.DUMMYFUNCTION("IF(A585="""","""",INDEX(SPLIT(A585,"" ""),COUNTA(SPLIT(A585,"" ""))))"),"Gorzegno")</f>
        <v>Gorzegno</v>
      </c>
      <c r="C585" s="6"/>
      <c r="D585" s="6" t="s">
        <v>494</v>
      </c>
      <c r="E585" s="7" t="s">
        <v>495</v>
      </c>
    </row>
    <row r="586">
      <c r="A586" s="4" t="s">
        <v>591</v>
      </c>
      <c r="B586" s="5" t="str">
        <f>IFERROR(__xludf.DUMMYFUNCTION("IF(A586="""","""",INDEX(SPLIT(A586,"" ""),COUNTA(SPLIT(A586,"" ""))))"),"Gottasecca")</f>
        <v>Gottasecca</v>
      </c>
      <c r="C586" s="6"/>
      <c r="D586" s="6" t="s">
        <v>494</v>
      </c>
      <c r="E586" s="7" t="s">
        <v>495</v>
      </c>
    </row>
    <row r="587">
      <c r="A587" s="4" t="s">
        <v>592</v>
      </c>
      <c r="B587" s="5" t="str">
        <f>IFERROR(__xludf.DUMMYFUNCTION("IF(A587="""","""",INDEX(SPLIT(A587,"" ""),COUNTA(SPLIT(A587,"" ""))))"),"Govone")</f>
        <v>Govone</v>
      </c>
      <c r="C587" s="6"/>
      <c r="D587" s="6" t="s">
        <v>494</v>
      </c>
      <c r="E587" s="7" t="s">
        <v>495</v>
      </c>
    </row>
    <row r="588">
      <c r="A588" s="4" t="s">
        <v>593</v>
      </c>
      <c r="B588" s="5" t="str">
        <f>IFERROR(__xludf.DUMMYFUNCTION("IF(A588="""","""",INDEX(SPLIT(A588,"" ""),COUNTA(SPLIT(A588,"" ""))))"),"Cavour")</f>
        <v>Cavour</v>
      </c>
      <c r="C588" s="6"/>
      <c r="D588" s="6" t="s">
        <v>494</v>
      </c>
      <c r="E588" s="7" t="s">
        <v>495</v>
      </c>
    </row>
    <row r="589">
      <c r="A589" s="4" t="s">
        <v>594</v>
      </c>
      <c r="B589" s="5" t="str">
        <f>IFERROR(__xludf.DUMMYFUNCTION("IF(A589="""","""",INDEX(SPLIT(A589,"" ""),COUNTA(SPLIT(A589,"" ""))))"),"Guarene")</f>
        <v>Guarene</v>
      </c>
      <c r="C589" s="6"/>
      <c r="D589" s="6" t="s">
        <v>494</v>
      </c>
      <c r="E589" s="7" t="s">
        <v>495</v>
      </c>
    </row>
    <row r="590">
      <c r="A590" s="4" t="s">
        <v>595</v>
      </c>
      <c r="B590" s="5" t="str">
        <f>IFERROR(__xludf.DUMMYFUNCTION("IF(A590="""","""",INDEX(SPLIT(A590,"" ""),COUNTA(SPLIT(A590,"" ""))))"),"Igliano")</f>
        <v>Igliano</v>
      </c>
      <c r="C590" s="6"/>
      <c r="D590" s="6" t="s">
        <v>494</v>
      </c>
      <c r="E590" s="7" t="s">
        <v>495</v>
      </c>
    </row>
    <row r="591">
      <c r="A591" s="4" t="s">
        <v>596</v>
      </c>
      <c r="B591" s="5" t="str">
        <f>IFERROR(__xludf.DUMMYFUNCTION("IF(A591="""","""",INDEX(SPLIT(A591,"" ""),COUNTA(SPLIT(A591,"" ""))))"),"Isasca")</f>
        <v>Isasca</v>
      </c>
      <c r="C591" s="6"/>
      <c r="D591" s="6" t="s">
        <v>494</v>
      </c>
      <c r="E591" s="7" t="s">
        <v>495</v>
      </c>
    </row>
    <row r="592">
      <c r="A592" s="4" t="s">
        <v>597</v>
      </c>
      <c r="B592" s="5" t="str">
        <f>IFERROR(__xludf.DUMMYFUNCTION("IF(A592="""","""",INDEX(SPLIT(A592,"" ""),COUNTA(SPLIT(A592,"" ""))))"),"Lagnasco")</f>
        <v>Lagnasco</v>
      </c>
      <c r="C592" s="6"/>
      <c r="D592" s="6" t="s">
        <v>494</v>
      </c>
      <c r="E592" s="7" t="s">
        <v>495</v>
      </c>
    </row>
    <row r="593">
      <c r="A593" s="4" t="s">
        <v>598</v>
      </c>
      <c r="B593" s="5" t="str">
        <f>IFERROR(__xludf.DUMMYFUNCTION("IF(A593="""","""",INDEX(SPLIT(A593,"" ""),COUNTA(SPLIT(A593,"" ""))))"),"Morra")</f>
        <v>Morra</v>
      </c>
      <c r="C593" s="6"/>
      <c r="D593" s="6" t="s">
        <v>494</v>
      </c>
      <c r="E593" s="7" t="s">
        <v>495</v>
      </c>
    </row>
    <row r="594">
      <c r="A594" s="4" t="s">
        <v>599</v>
      </c>
      <c r="B594" s="5" t="str">
        <f>IFERROR(__xludf.DUMMYFUNCTION("IF(A594="""","""",INDEX(SPLIT(A594,"" ""),COUNTA(SPLIT(A594,"" ""))))"),"Berria")</f>
        <v>Berria</v>
      </c>
      <c r="C594" s="6"/>
      <c r="D594" s="6" t="s">
        <v>494</v>
      </c>
      <c r="E594" s="7" t="s">
        <v>495</v>
      </c>
    </row>
    <row r="595">
      <c r="A595" s="4" t="s">
        <v>600</v>
      </c>
      <c r="B595" s="5" t="str">
        <f>IFERROR(__xludf.DUMMYFUNCTION("IF(A595="""","""",INDEX(SPLIT(A595,"" ""),COUNTA(SPLIT(A595,"" ""))))"),"Tanaro")</f>
        <v>Tanaro</v>
      </c>
      <c r="C595" s="6"/>
      <c r="D595" s="6" t="s">
        <v>494</v>
      </c>
      <c r="E595" s="7" t="s">
        <v>495</v>
      </c>
    </row>
    <row r="596">
      <c r="A596" s="4" t="s">
        <v>601</v>
      </c>
      <c r="B596" s="5" t="str">
        <f>IFERROR(__xludf.DUMMYFUNCTION("IF(A596="""","""",INDEX(SPLIT(A596,"" ""),COUNTA(SPLIT(A596,"" ""))))"),"Lesegno")</f>
        <v>Lesegno</v>
      </c>
      <c r="C596" s="6"/>
      <c r="D596" s="6" t="s">
        <v>494</v>
      </c>
      <c r="E596" s="7" t="s">
        <v>495</v>
      </c>
    </row>
    <row r="597">
      <c r="A597" s="4" t="s">
        <v>602</v>
      </c>
      <c r="B597" s="5" t="str">
        <f>IFERROR(__xludf.DUMMYFUNCTION("IF(A597="""","""",INDEX(SPLIT(A597,"" ""),COUNTA(SPLIT(A597,"" ""))))"),"Levice")</f>
        <v>Levice</v>
      </c>
      <c r="C597" s="6"/>
      <c r="D597" s="6" t="s">
        <v>494</v>
      </c>
      <c r="E597" s="7" t="s">
        <v>495</v>
      </c>
    </row>
    <row r="598">
      <c r="A598" s="4" t="s">
        <v>603</v>
      </c>
      <c r="B598" s="5" t="str">
        <f>IFERROR(__xludf.DUMMYFUNCTION("IF(A598="""","""",INDEX(SPLIT(A598,"" ""),COUNTA(SPLIT(A598,"" ""))))"),"Piemonte")</f>
        <v>Piemonte</v>
      </c>
      <c r="C598" s="6"/>
      <c r="D598" s="6" t="s">
        <v>494</v>
      </c>
      <c r="E598" s="7" t="s">
        <v>495</v>
      </c>
    </row>
    <row r="599">
      <c r="A599" s="4" t="s">
        <v>604</v>
      </c>
      <c r="B599" s="5" t="str">
        <f>IFERROR(__xludf.DUMMYFUNCTION("IF(A599="""","""",INDEX(SPLIT(A599,"" ""),COUNTA(SPLIT(A599,"" ""))))"),"Lisio")</f>
        <v>Lisio</v>
      </c>
      <c r="C599" s="6"/>
      <c r="D599" s="6" t="s">
        <v>494</v>
      </c>
      <c r="E599" s="7" t="s">
        <v>495</v>
      </c>
    </row>
    <row r="600">
      <c r="A600" s="4" t="s">
        <v>605</v>
      </c>
      <c r="B600" s="5" t="str">
        <f>IFERROR(__xludf.DUMMYFUNCTION("IF(A600="""","""",INDEX(SPLIT(A600,"" ""),COUNTA(SPLIT(A600,"" ""))))"),"Macra")</f>
        <v>Macra</v>
      </c>
      <c r="C600" s="6"/>
      <c r="D600" s="6" t="s">
        <v>494</v>
      </c>
      <c r="E600" s="7" t="s">
        <v>495</v>
      </c>
    </row>
    <row r="601">
      <c r="A601" s="4" t="s">
        <v>606</v>
      </c>
      <c r="B601" s="5" t="str">
        <f>IFERROR(__xludf.DUMMYFUNCTION("IF(A601="""","""",INDEX(SPLIT(A601,"" ""),COUNTA(SPLIT(A601,"" ""))))"),"Alfieri")</f>
        <v>Alfieri</v>
      </c>
      <c r="C601" s="6"/>
      <c r="D601" s="6" t="s">
        <v>494</v>
      </c>
      <c r="E601" s="7" t="s">
        <v>495</v>
      </c>
    </row>
    <row r="602">
      <c r="A602" s="4" t="s">
        <v>607</v>
      </c>
      <c r="B602" s="5" t="str">
        <f>IFERROR(__xludf.DUMMYFUNCTION("IF(A602="""","""",INDEX(SPLIT(A602,"" ""),COUNTA(SPLIT(A602,"" ""))))"),"Alpi")</f>
        <v>Alpi</v>
      </c>
      <c r="C602" s="6"/>
      <c r="D602" s="6" t="s">
        <v>494</v>
      </c>
      <c r="E602" s="7" t="s">
        <v>495</v>
      </c>
    </row>
    <row r="603">
      <c r="A603" s="4" t="s">
        <v>608</v>
      </c>
      <c r="B603" s="5" t="str">
        <f>IFERROR(__xludf.DUMMYFUNCTION("IF(A603="""","""",INDEX(SPLIT(A603,"" ""),COUNTA(SPLIT(A603,"" ""))))"),"Mango")</f>
        <v>Mango</v>
      </c>
      <c r="C603" s="6"/>
      <c r="D603" s="6" t="s">
        <v>494</v>
      </c>
      <c r="E603" s="7" t="s">
        <v>495</v>
      </c>
    </row>
    <row r="604">
      <c r="A604" s="4" t="s">
        <v>609</v>
      </c>
      <c r="B604" s="5" t="str">
        <f>IFERROR(__xludf.DUMMYFUNCTION("IF(A604="""","""",INDEX(SPLIT(A604,"" ""),COUNTA(SPLIT(A604,"" ""))))"),"Manta")</f>
        <v>Manta</v>
      </c>
      <c r="C604" s="6"/>
      <c r="D604" s="6" t="s">
        <v>494</v>
      </c>
      <c r="E604" s="7" t="s">
        <v>495</v>
      </c>
    </row>
    <row r="605">
      <c r="A605" s="4" t="s">
        <v>610</v>
      </c>
      <c r="B605" s="5" t="str">
        <f>IFERROR(__xludf.DUMMYFUNCTION("IF(A605="""","""",INDEX(SPLIT(A605,"" ""),COUNTA(SPLIT(A605,"" ""))))"),"Marene")</f>
        <v>Marene</v>
      </c>
      <c r="C605" s="6"/>
      <c r="D605" s="6" t="s">
        <v>494</v>
      </c>
      <c r="E605" s="7" t="s">
        <v>495</v>
      </c>
    </row>
    <row r="606">
      <c r="A606" s="4" t="s">
        <v>611</v>
      </c>
      <c r="B606" s="5" t="str">
        <f>IFERROR(__xludf.DUMMYFUNCTION("IF(A606="""","""",INDEX(SPLIT(A606,"" ""),COUNTA(SPLIT(A606,"" ""))))"),"Margarita")</f>
        <v>Margarita</v>
      </c>
      <c r="C606" s="6"/>
      <c r="D606" s="6" t="s">
        <v>494</v>
      </c>
      <c r="E606" s="7" t="s">
        <v>495</v>
      </c>
    </row>
    <row r="607">
      <c r="A607" s="4" t="s">
        <v>612</v>
      </c>
      <c r="B607" s="5" t="str">
        <f>IFERROR(__xludf.DUMMYFUNCTION("IF(A607="""","""",INDEX(SPLIT(A607,"" ""),COUNTA(SPLIT(A607,"" ""))))"),"Marmora")</f>
        <v>Marmora</v>
      </c>
      <c r="C607" s="6"/>
      <c r="D607" s="6" t="s">
        <v>494</v>
      </c>
      <c r="E607" s="7" t="s">
        <v>495</v>
      </c>
    </row>
    <row r="608">
      <c r="A608" s="4" t="s">
        <v>613</v>
      </c>
      <c r="B608" s="5" t="str">
        <f>IFERROR(__xludf.DUMMYFUNCTION("IF(A608="""","""",INDEX(SPLIT(A608,"" ""),COUNTA(SPLIT(A608,"" ""))))"),"Marsaglia")</f>
        <v>Marsaglia</v>
      </c>
      <c r="C608" s="6"/>
      <c r="D608" s="6" t="s">
        <v>494</v>
      </c>
      <c r="E608" s="7" t="s">
        <v>495</v>
      </c>
    </row>
    <row r="609">
      <c r="A609" s="4" t="s">
        <v>614</v>
      </c>
      <c r="B609" s="5" t="str">
        <f>IFERROR(__xludf.DUMMYFUNCTION("IF(A609="""","""",INDEX(SPLIT(A609,"" ""),COUNTA(SPLIT(A609,"" ""))))"),"Po")</f>
        <v>Po</v>
      </c>
      <c r="C609" s="6"/>
      <c r="D609" s="6" t="s">
        <v>494</v>
      </c>
      <c r="E609" s="7" t="s">
        <v>495</v>
      </c>
    </row>
    <row r="610">
      <c r="A610" s="4" t="s">
        <v>615</v>
      </c>
      <c r="B610" s="5" t="str">
        <f>IFERROR(__xludf.DUMMYFUNCTION("IF(A610="""","""",INDEX(SPLIT(A610,"" ""),COUNTA(SPLIT(A610,"" ""))))"),"Melle")</f>
        <v>Melle</v>
      </c>
      <c r="C610" s="6"/>
      <c r="D610" s="6" t="s">
        <v>494</v>
      </c>
      <c r="E610" s="7" t="s">
        <v>495</v>
      </c>
    </row>
    <row r="611">
      <c r="A611" s="4" t="s">
        <v>616</v>
      </c>
      <c r="B611" s="5" t="str">
        <f>IFERROR(__xludf.DUMMYFUNCTION("IF(A611="""","""",INDEX(SPLIT(A611,"" ""),COUNTA(SPLIT(A611,"" ""))))"),"Moiola")</f>
        <v>Moiola</v>
      </c>
      <c r="C611" s="6"/>
      <c r="D611" s="6" t="s">
        <v>494</v>
      </c>
      <c r="E611" s="7" t="s">
        <v>495</v>
      </c>
    </row>
    <row r="612">
      <c r="A612" s="4" t="s">
        <v>617</v>
      </c>
      <c r="B612" s="5" t="str">
        <f>IFERROR(__xludf.DUMMYFUNCTION("IF(A612="""","""",INDEX(SPLIT(A612,"" ""),COUNTA(SPLIT(A612,"" ""))))"),"Mombarcaro")</f>
        <v>Mombarcaro</v>
      </c>
      <c r="C612" s="6"/>
      <c r="D612" s="6" t="s">
        <v>494</v>
      </c>
      <c r="E612" s="7" t="s">
        <v>495</v>
      </c>
    </row>
    <row r="613">
      <c r="A613" s="4" t="s">
        <v>618</v>
      </c>
      <c r="B613" s="5" t="str">
        <f>IFERROR(__xludf.DUMMYFUNCTION("IF(A613="""","""",INDEX(SPLIT(A613,"" ""),COUNTA(SPLIT(A613,"" ""))))"),"Mombasiglio")</f>
        <v>Mombasiglio</v>
      </c>
      <c r="C613" s="6"/>
      <c r="D613" s="6" t="s">
        <v>494</v>
      </c>
      <c r="E613" s="7" t="s">
        <v>495</v>
      </c>
    </row>
    <row r="614">
      <c r="A614" s="4" t="s">
        <v>619</v>
      </c>
      <c r="B614" s="5" t="str">
        <f>IFERROR(__xludf.DUMMYFUNCTION("IF(A614="""","""",INDEX(SPLIT(A614,"" ""),COUNTA(SPLIT(A614,"" ""))))"),"Vasco")</f>
        <v>Vasco</v>
      </c>
      <c r="C614" s="6"/>
      <c r="D614" s="6" t="s">
        <v>494</v>
      </c>
      <c r="E614" s="7" t="s">
        <v>495</v>
      </c>
    </row>
    <row r="615">
      <c r="A615" s="4" t="s">
        <v>620</v>
      </c>
      <c r="B615" s="5" t="str">
        <f>IFERROR(__xludf.DUMMYFUNCTION("IF(A615="""","""",INDEX(SPLIT(A615,"" ""),COUNTA(SPLIT(A615,"" ""))))"),"Casotto")</f>
        <v>Casotto</v>
      </c>
      <c r="C615" s="6"/>
      <c r="D615" s="6" t="s">
        <v>494</v>
      </c>
      <c r="E615" s="7" t="s">
        <v>495</v>
      </c>
    </row>
    <row r="616">
      <c r="A616" s="4" t="s">
        <v>621</v>
      </c>
      <c r="B616" s="5" t="str">
        <f>IFERROR(__xludf.DUMMYFUNCTION("IF(A616="""","""",INDEX(SPLIT(A616,"" ""),COUNTA(SPLIT(A616,"" ""))))"),"Savigliano")</f>
        <v>Savigliano</v>
      </c>
      <c r="C616" s="6"/>
      <c r="D616" s="6" t="s">
        <v>494</v>
      </c>
      <c r="E616" s="7" t="s">
        <v>495</v>
      </c>
    </row>
    <row r="617">
      <c r="A617" s="4" t="s">
        <v>622</v>
      </c>
      <c r="B617" s="5" t="str">
        <f>IFERROR(__xludf.DUMMYFUNCTION("IF(A617="""","""",INDEX(SPLIT(A617,"" ""),COUNTA(SPLIT(A617,"" ""))))"),"Monchiero")</f>
        <v>Monchiero</v>
      </c>
      <c r="C617" s="6"/>
      <c r="D617" s="6" t="s">
        <v>494</v>
      </c>
      <c r="E617" s="7" t="s">
        <v>495</v>
      </c>
    </row>
    <row r="618">
      <c r="A618" s="4" t="s">
        <v>623</v>
      </c>
      <c r="B618" s="5" t="str">
        <f>IFERROR(__xludf.DUMMYFUNCTION("IF(A618="""","""",INDEX(SPLIT(A618,"" ""),COUNTA(SPLIT(A618,"" ""))))"),"Mondovì")</f>
        <v>Mondovì</v>
      </c>
      <c r="C618" s="6"/>
      <c r="D618" s="6" t="s">
        <v>494</v>
      </c>
      <c r="E618" s="7" t="s">
        <v>495</v>
      </c>
    </row>
    <row r="619">
      <c r="A619" s="4" t="s">
        <v>624</v>
      </c>
      <c r="B619" s="5" t="str">
        <f>IFERROR(__xludf.DUMMYFUNCTION("IF(A619="""","""",INDEX(SPLIT(A619,"" ""),COUNTA(SPLIT(A619,"" ""))))"),"Monesiglio")</f>
        <v>Monesiglio</v>
      </c>
      <c r="C619" s="6"/>
      <c r="D619" s="6" t="s">
        <v>494</v>
      </c>
      <c r="E619" s="7" t="s">
        <v>495</v>
      </c>
    </row>
    <row r="620">
      <c r="A620" s="4" t="s">
        <v>625</v>
      </c>
      <c r="B620" s="5" t="str">
        <f>IFERROR(__xludf.DUMMYFUNCTION("IF(A620="""","""",INDEX(SPLIT(A620,"" ""),COUNTA(SPLIT(A620,"" ""))))"),"d'Alba")</f>
        <v>d'Alba</v>
      </c>
      <c r="C620" s="6"/>
      <c r="D620" s="6" t="s">
        <v>494</v>
      </c>
      <c r="E620" s="7" t="s">
        <v>495</v>
      </c>
    </row>
    <row r="621">
      <c r="A621" s="4" t="s">
        <v>626</v>
      </c>
      <c r="B621" s="5" t="str">
        <f>IFERROR(__xludf.DUMMYFUNCTION("IF(A621="""","""",INDEX(SPLIT(A621,"" ""),COUNTA(SPLIT(A621,"" ""))))"),"Montà")</f>
        <v>Montà</v>
      </c>
      <c r="C621" s="6"/>
      <c r="D621" s="6" t="s">
        <v>494</v>
      </c>
      <c r="E621" s="7" t="s">
        <v>495</v>
      </c>
    </row>
    <row r="622">
      <c r="A622" s="4" t="s">
        <v>627</v>
      </c>
      <c r="B622" s="5" t="str">
        <f>IFERROR(__xludf.DUMMYFUNCTION("IF(A622="""","""",INDEX(SPLIT(A622,"" ""),COUNTA(SPLIT(A622,"" ""))))"),"Mondovì")</f>
        <v>Mondovì</v>
      </c>
      <c r="C622" s="6"/>
      <c r="D622" s="6" t="s">
        <v>494</v>
      </c>
      <c r="E622" s="7" t="s">
        <v>495</v>
      </c>
    </row>
    <row r="623">
      <c r="A623" s="4" t="s">
        <v>628</v>
      </c>
      <c r="B623" s="5" t="str">
        <f>IFERROR(__xludf.DUMMYFUNCTION("IF(A623="""","""",INDEX(SPLIT(A623,"" ""),COUNTA(SPLIT(A623,"" ""))))"),"Roero")</f>
        <v>Roero</v>
      </c>
      <c r="C623" s="6"/>
      <c r="D623" s="6" t="s">
        <v>494</v>
      </c>
      <c r="E623" s="7" t="s">
        <v>495</v>
      </c>
    </row>
    <row r="624">
      <c r="A624" s="4" t="s">
        <v>629</v>
      </c>
      <c r="B624" s="5" t="str">
        <f>IFERROR(__xludf.DUMMYFUNCTION("IF(A624="""","""",INDEX(SPLIT(A624,"" ""),COUNTA(SPLIT(A624,"" ""))))"),"Montanera")</f>
        <v>Montanera</v>
      </c>
      <c r="C624" s="6"/>
      <c r="D624" s="6" t="s">
        <v>494</v>
      </c>
      <c r="E624" s="7" t="s">
        <v>495</v>
      </c>
    </row>
    <row r="625">
      <c r="A625" s="4" t="s">
        <v>630</v>
      </c>
      <c r="B625" s="5" t="str">
        <f>IFERROR(__xludf.DUMMYFUNCTION("IF(A625="""","""",INDEX(SPLIT(A625,"" ""),COUNTA(SPLIT(A625,"" ""))))"),"Albese")</f>
        <v>Albese</v>
      </c>
      <c r="C625" s="6"/>
      <c r="D625" s="6" t="s">
        <v>494</v>
      </c>
      <c r="E625" s="7" t="s">
        <v>495</v>
      </c>
    </row>
    <row r="626">
      <c r="A626" s="4" t="s">
        <v>631</v>
      </c>
      <c r="B626" s="5" t="str">
        <f>IFERROR(__xludf.DUMMYFUNCTION("IF(A626="""","""",INDEX(SPLIT(A626,"" ""),COUNTA(SPLIT(A626,"" ""))))"),"Cuneo")</f>
        <v>Cuneo</v>
      </c>
      <c r="C626" s="6"/>
      <c r="D626" s="6" t="s">
        <v>494</v>
      </c>
      <c r="E626" s="7" t="s">
        <v>495</v>
      </c>
    </row>
    <row r="627">
      <c r="A627" s="4" t="s">
        <v>632</v>
      </c>
      <c r="B627" s="5" t="str">
        <f>IFERROR(__xludf.DUMMYFUNCTION("IF(A627="""","""",INDEX(SPLIT(A627,"" ""),COUNTA(SPLIT(A627,"" ""))))"),"Grana")</f>
        <v>Grana</v>
      </c>
      <c r="C627" s="6"/>
      <c r="D627" s="6" t="s">
        <v>494</v>
      </c>
      <c r="E627" s="7" t="s">
        <v>495</v>
      </c>
    </row>
    <row r="628">
      <c r="A628" s="4" t="s">
        <v>633</v>
      </c>
      <c r="B628" s="5" t="str">
        <f>IFERROR(__xludf.DUMMYFUNCTION("IF(A628="""","""",INDEX(SPLIT(A628,"" ""),COUNTA(SPLIT(A628,"" ""))))"),"Roero")</f>
        <v>Roero</v>
      </c>
      <c r="C628" s="6"/>
      <c r="D628" s="6" t="s">
        <v>494</v>
      </c>
      <c r="E628" s="7" t="s">
        <v>495</v>
      </c>
    </row>
    <row r="629">
      <c r="A629" s="4" t="s">
        <v>634</v>
      </c>
      <c r="B629" s="5" t="str">
        <f>IFERROR(__xludf.DUMMYFUNCTION("IF(A629="""","""",INDEX(SPLIT(A629,"" ""),COUNTA(SPLIT(A629,"" ""))))"),"Montezemolo")</f>
        <v>Montezemolo</v>
      </c>
      <c r="C629" s="6"/>
      <c r="D629" s="6" t="s">
        <v>494</v>
      </c>
      <c r="E629" s="7" t="s">
        <v>495</v>
      </c>
    </row>
    <row r="630">
      <c r="A630" s="4" t="s">
        <v>635</v>
      </c>
      <c r="B630" s="5" t="str">
        <f>IFERROR(__xludf.DUMMYFUNCTION("IF(A630="""","""",INDEX(SPLIT(A630,"" ""),COUNTA(SPLIT(A630,"" ""))))"),"d'Alba")</f>
        <v>d'Alba</v>
      </c>
      <c r="C630" s="6"/>
      <c r="D630" s="6" t="s">
        <v>494</v>
      </c>
      <c r="E630" s="7" t="s">
        <v>495</v>
      </c>
    </row>
    <row r="631">
      <c r="A631" s="4" t="s">
        <v>636</v>
      </c>
      <c r="B631" s="5" t="str">
        <f>IFERROR(__xludf.DUMMYFUNCTION("IF(A631="""","""",INDEX(SPLIT(A631,"" ""),COUNTA(SPLIT(A631,"" ""))))"),"Moretta")</f>
        <v>Moretta</v>
      </c>
      <c r="C631" s="6"/>
      <c r="D631" s="6" t="s">
        <v>494</v>
      </c>
      <c r="E631" s="7" t="s">
        <v>495</v>
      </c>
    </row>
    <row r="632">
      <c r="A632" s="4" t="s">
        <v>637</v>
      </c>
      <c r="B632" s="5" t="str">
        <f>IFERROR(__xludf.DUMMYFUNCTION("IF(A632="""","""",INDEX(SPLIT(A632,"" ""),COUNTA(SPLIT(A632,"" ""))))"),"Morozzo")</f>
        <v>Morozzo</v>
      </c>
      <c r="C632" s="6"/>
      <c r="D632" s="6" t="s">
        <v>494</v>
      </c>
      <c r="E632" s="7" t="s">
        <v>495</v>
      </c>
    </row>
    <row r="633">
      <c r="A633" s="4" t="s">
        <v>638</v>
      </c>
      <c r="B633" s="5" t="str">
        <f>IFERROR(__xludf.DUMMYFUNCTION("IF(A633="""","""",INDEX(SPLIT(A633,"" ""),COUNTA(SPLIT(A633,"" ""))))"),"Murazzano")</f>
        <v>Murazzano</v>
      </c>
      <c r="C633" s="6"/>
      <c r="D633" s="6" t="s">
        <v>494</v>
      </c>
      <c r="E633" s="7" t="s">
        <v>495</v>
      </c>
    </row>
    <row r="634">
      <c r="A634" s="4" t="s">
        <v>639</v>
      </c>
      <c r="B634" s="5" t="str">
        <f>IFERROR(__xludf.DUMMYFUNCTION("IF(A634="""","""",INDEX(SPLIT(A634,"" ""),COUNTA(SPLIT(A634,"" ""))))"),"Murello")</f>
        <v>Murello</v>
      </c>
      <c r="C634" s="6"/>
      <c r="D634" s="6" t="s">
        <v>494</v>
      </c>
      <c r="E634" s="7" t="s">
        <v>495</v>
      </c>
    </row>
    <row r="635">
      <c r="A635" s="4" t="s">
        <v>640</v>
      </c>
      <c r="B635" s="5" t="str">
        <f>IFERROR(__xludf.DUMMYFUNCTION("IF(A635="""","""",INDEX(SPLIT(A635,"" ""),COUNTA(SPLIT(A635,"" ""))))"),"Narzole")</f>
        <v>Narzole</v>
      </c>
      <c r="C635" s="6"/>
      <c r="D635" s="6" t="s">
        <v>494</v>
      </c>
      <c r="E635" s="7" t="s">
        <v>495</v>
      </c>
    </row>
    <row r="636">
      <c r="A636" s="4" t="s">
        <v>641</v>
      </c>
      <c r="B636" s="5" t="str">
        <f>IFERROR(__xludf.DUMMYFUNCTION("IF(A636="""","""",INDEX(SPLIT(A636,"" ""),COUNTA(SPLIT(A636,"" ""))))"),"Neive")</f>
        <v>Neive</v>
      </c>
      <c r="C636" s="6"/>
      <c r="D636" s="6" t="s">
        <v>494</v>
      </c>
      <c r="E636" s="7" t="s">
        <v>495</v>
      </c>
    </row>
    <row r="637">
      <c r="A637" s="4" t="s">
        <v>642</v>
      </c>
      <c r="B637" s="5" t="str">
        <f>IFERROR(__xludf.DUMMYFUNCTION("IF(A637="""","""",INDEX(SPLIT(A637,"" ""),COUNTA(SPLIT(A637,"" ""))))"),"Neviglie")</f>
        <v>Neviglie</v>
      </c>
      <c r="C637" s="6"/>
      <c r="D637" s="6" t="s">
        <v>494</v>
      </c>
      <c r="E637" s="7" t="s">
        <v>495</v>
      </c>
    </row>
    <row r="638">
      <c r="A638" s="4" t="s">
        <v>643</v>
      </c>
      <c r="B638" s="5" t="str">
        <f>IFERROR(__xludf.DUMMYFUNCTION("IF(A638="""","""",INDEX(SPLIT(A638,"" ""),COUNTA(SPLIT(A638,"" ""))))"),"Belbo")</f>
        <v>Belbo</v>
      </c>
      <c r="C638" s="6"/>
      <c r="D638" s="6" t="s">
        <v>494</v>
      </c>
      <c r="E638" s="7" t="s">
        <v>495</v>
      </c>
    </row>
    <row r="639">
      <c r="A639" s="4" t="s">
        <v>644</v>
      </c>
      <c r="B639" s="5" t="str">
        <f>IFERROR(__xludf.DUMMYFUNCTION("IF(A639="""","""",INDEX(SPLIT(A639,"" ""),COUNTA(SPLIT(A639,"" ""))))"),"Tanaro")</f>
        <v>Tanaro</v>
      </c>
      <c r="C639" s="6"/>
      <c r="D639" s="6" t="s">
        <v>494</v>
      </c>
      <c r="E639" s="7" t="s">
        <v>495</v>
      </c>
    </row>
    <row r="640">
      <c r="A640" s="4" t="s">
        <v>645</v>
      </c>
      <c r="B640" s="5" t="str">
        <f>IFERROR(__xludf.DUMMYFUNCTION("IF(A640="""","""",INDEX(SPLIT(A640,"" ""),COUNTA(SPLIT(A640,"" ""))))"),"Novello")</f>
        <v>Novello</v>
      </c>
      <c r="C640" s="6"/>
      <c r="D640" s="6" t="s">
        <v>494</v>
      </c>
      <c r="E640" s="7" t="s">
        <v>495</v>
      </c>
    </row>
    <row r="641">
      <c r="A641" s="4" t="s">
        <v>646</v>
      </c>
      <c r="B641" s="5" t="str">
        <f>IFERROR(__xludf.DUMMYFUNCTION("IF(A641="""","""",INDEX(SPLIT(A641,"" ""),COUNTA(SPLIT(A641,"" ""))))"),"Nucetto")</f>
        <v>Nucetto</v>
      </c>
      <c r="C641" s="6"/>
      <c r="D641" s="6" t="s">
        <v>494</v>
      </c>
      <c r="E641" s="7" t="s">
        <v>495</v>
      </c>
    </row>
    <row r="642">
      <c r="A642" s="4" t="s">
        <v>647</v>
      </c>
      <c r="B642" s="5" t="str">
        <f>IFERROR(__xludf.DUMMYFUNCTION("IF(A642="""","""",INDEX(SPLIT(A642,"" ""),COUNTA(SPLIT(A642,"" ""))))"),"Oncino")</f>
        <v>Oncino</v>
      </c>
      <c r="C642" s="6"/>
      <c r="D642" s="6" t="s">
        <v>494</v>
      </c>
      <c r="E642" s="7" t="s">
        <v>495</v>
      </c>
    </row>
    <row r="643">
      <c r="A643" s="4" t="s">
        <v>648</v>
      </c>
      <c r="B643" s="5" t="str">
        <f>IFERROR(__xludf.DUMMYFUNCTION("IF(A643="""","""",INDEX(SPLIT(A643,"" ""),COUNTA(SPLIT(A643,"" ""))))"),"Ormea")</f>
        <v>Ormea</v>
      </c>
      <c r="C643" s="6"/>
      <c r="D643" s="6" t="s">
        <v>494</v>
      </c>
      <c r="E643" s="7" t="s">
        <v>495</v>
      </c>
    </row>
    <row r="644">
      <c r="A644" s="4" t="s">
        <v>649</v>
      </c>
      <c r="B644" s="5" t="str">
        <f>IFERROR(__xludf.DUMMYFUNCTION("IF(A644="""","""",INDEX(SPLIT(A644,"" ""),COUNTA(SPLIT(A644,"" ""))))"),"Ostana")</f>
        <v>Ostana</v>
      </c>
      <c r="C644" s="6"/>
      <c r="D644" s="6" t="s">
        <v>494</v>
      </c>
      <c r="E644" s="7" t="s">
        <v>495</v>
      </c>
    </row>
    <row r="645">
      <c r="A645" s="4" t="s">
        <v>650</v>
      </c>
      <c r="B645" s="5" t="str">
        <f>IFERROR(__xludf.DUMMYFUNCTION("IF(A645="""","""",INDEX(SPLIT(A645,"" ""),COUNTA(SPLIT(A645,"" ""))))"),"Paesana")</f>
        <v>Paesana</v>
      </c>
      <c r="C645" s="6"/>
      <c r="D645" s="6" t="s">
        <v>494</v>
      </c>
      <c r="E645" s="7" t="s">
        <v>495</v>
      </c>
    </row>
    <row r="646">
      <c r="A646" s="4" t="s">
        <v>651</v>
      </c>
      <c r="B646" s="5" t="str">
        <f>IFERROR(__xludf.DUMMYFUNCTION("IF(A646="""","""",INDEX(SPLIT(A646,"" ""),COUNTA(SPLIT(A646,"" ""))))"),"Pagno")</f>
        <v>Pagno</v>
      </c>
      <c r="C646" s="6"/>
      <c r="D646" s="6" t="s">
        <v>494</v>
      </c>
      <c r="E646" s="7" t="s">
        <v>495</v>
      </c>
    </row>
    <row r="647">
      <c r="A647" s="4" t="s">
        <v>652</v>
      </c>
      <c r="B647" s="5" t="str">
        <f>IFERROR(__xludf.DUMMYFUNCTION("IF(A647="""","""",INDEX(SPLIT(A647,"" ""),COUNTA(SPLIT(A647,"" ""))))"),"Pamparato")</f>
        <v>Pamparato</v>
      </c>
      <c r="C647" s="6"/>
      <c r="D647" s="6" t="s">
        <v>494</v>
      </c>
      <c r="E647" s="7" t="s">
        <v>495</v>
      </c>
    </row>
    <row r="648">
      <c r="A648" s="4" t="s">
        <v>653</v>
      </c>
      <c r="B648" s="5" t="str">
        <f>IFERROR(__xludf.DUMMYFUNCTION("IF(A648="""","""",INDEX(SPLIT(A648,"" ""),COUNTA(SPLIT(A648,"" ""))))"),"Paroldo")</f>
        <v>Paroldo</v>
      </c>
      <c r="C648" s="6"/>
      <c r="D648" s="6" t="s">
        <v>494</v>
      </c>
      <c r="E648" s="7" t="s">
        <v>495</v>
      </c>
    </row>
    <row r="649">
      <c r="A649" s="4" t="s">
        <v>654</v>
      </c>
      <c r="B649" s="5" t="str">
        <f>IFERROR(__xludf.DUMMYFUNCTION("IF(A649="""","""",INDEX(SPLIT(A649,"" ""),COUNTA(SPLIT(A649,"" ""))))"),"Perletto")</f>
        <v>Perletto</v>
      </c>
      <c r="C649" s="6"/>
      <c r="D649" s="6" t="s">
        <v>494</v>
      </c>
      <c r="E649" s="7" t="s">
        <v>495</v>
      </c>
    </row>
    <row r="650">
      <c r="A650" s="4" t="s">
        <v>655</v>
      </c>
      <c r="B650" s="5" t="str">
        <f>IFERROR(__xludf.DUMMYFUNCTION("IF(A650="""","""",INDEX(SPLIT(A650,"" ""),COUNTA(SPLIT(A650,"" ""))))"),"Perlo")</f>
        <v>Perlo</v>
      </c>
      <c r="C650" s="6"/>
      <c r="D650" s="6" t="s">
        <v>494</v>
      </c>
      <c r="E650" s="7" t="s">
        <v>495</v>
      </c>
    </row>
    <row r="651">
      <c r="A651" s="4" t="s">
        <v>656</v>
      </c>
      <c r="B651" s="5" t="str">
        <f>IFERROR(__xludf.DUMMYFUNCTION("IF(A651="""","""",INDEX(SPLIT(A651,"" ""),COUNTA(SPLIT(A651,"" ""))))"),"Peveragno")</f>
        <v>Peveragno</v>
      </c>
      <c r="C651" s="6"/>
      <c r="D651" s="6" t="s">
        <v>494</v>
      </c>
      <c r="E651" s="7" t="s">
        <v>495</v>
      </c>
    </row>
    <row r="652">
      <c r="A652" s="4" t="s">
        <v>657</v>
      </c>
      <c r="B652" s="5" t="str">
        <f>IFERROR(__xludf.DUMMYFUNCTION("IF(A652="""","""",INDEX(SPLIT(A652,"" ""),COUNTA(SPLIT(A652,"" ""))))"),"Uzzone")</f>
        <v>Uzzone</v>
      </c>
      <c r="C652" s="6"/>
      <c r="D652" s="6" t="s">
        <v>494</v>
      </c>
      <c r="E652" s="7" t="s">
        <v>495</v>
      </c>
    </row>
    <row r="653">
      <c r="A653" s="4" t="s">
        <v>658</v>
      </c>
      <c r="B653" s="5" t="str">
        <f>IFERROR(__xludf.DUMMYFUNCTION("IF(A653="""","""",INDEX(SPLIT(A653,"" ""),COUNTA(SPLIT(A653,"" ""))))"),"Pianfei")</f>
        <v>Pianfei</v>
      </c>
      <c r="C653" s="6"/>
      <c r="D653" s="6" t="s">
        <v>494</v>
      </c>
      <c r="E653" s="7" t="s">
        <v>495</v>
      </c>
    </row>
    <row r="654">
      <c r="A654" s="4" t="s">
        <v>659</v>
      </c>
      <c r="B654" s="5" t="str">
        <f>IFERROR(__xludf.DUMMYFUNCTION("IF(A654="""","""",INDEX(SPLIT(A654,"" ""),COUNTA(SPLIT(A654,"" ""))))"),"Piasco")</f>
        <v>Piasco</v>
      </c>
      <c r="C654" s="6"/>
      <c r="D654" s="6" t="s">
        <v>494</v>
      </c>
      <c r="E654" s="7" t="s">
        <v>495</v>
      </c>
    </row>
    <row r="655">
      <c r="A655" s="4" t="s">
        <v>660</v>
      </c>
      <c r="B655" s="5" t="str">
        <f>IFERROR(__xludf.DUMMYFUNCTION("IF(A655="""","""",INDEX(SPLIT(A655,"" ""),COUNTA(SPLIT(A655,"" ""))))"),"Pietraporzio")</f>
        <v>Pietraporzio</v>
      </c>
      <c r="C655" s="6"/>
      <c r="D655" s="6" t="s">
        <v>494</v>
      </c>
      <c r="E655" s="7" t="s">
        <v>495</v>
      </c>
    </row>
    <row r="656">
      <c r="A656" s="4" t="s">
        <v>661</v>
      </c>
      <c r="B656" s="5" t="str">
        <f>IFERROR(__xludf.DUMMYFUNCTION("IF(A656="""","""",INDEX(SPLIT(A656,"" ""),COUNTA(SPLIT(A656,"" ""))))"),"d'Alba")</f>
        <v>d'Alba</v>
      </c>
      <c r="C656" s="6"/>
      <c r="D656" s="6" t="s">
        <v>494</v>
      </c>
      <c r="E656" s="7" t="s">
        <v>495</v>
      </c>
    </row>
    <row r="657">
      <c r="A657" s="4" t="s">
        <v>662</v>
      </c>
      <c r="B657" s="5" t="str">
        <f>IFERROR(__xludf.DUMMYFUNCTION("IF(A657="""","""",INDEX(SPLIT(A657,"" ""),COUNTA(SPLIT(A657,"" ""))))"),"Piozzo")</f>
        <v>Piozzo</v>
      </c>
      <c r="C657" s="6"/>
      <c r="D657" s="6" t="s">
        <v>494</v>
      </c>
      <c r="E657" s="7" t="s">
        <v>495</v>
      </c>
    </row>
    <row r="658">
      <c r="A658" s="4" t="s">
        <v>663</v>
      </c>
      <c r="B658" s="5" t="str">
        <f>IFERROR(__xludf.DUMMYFUNCTION("IF(A658="""","""",INDEX(SPLIT(A658,"" ""),COUNTA(SPLIT(A658,"" ""))))"),"Pocapaglia")</f>
        <v>Pocapaglia</v>
      </c>
      <c r="C658" s="6"/>
      <c r="D658" s="6" t="s">
        <v>494</v>
      </c>
      <c r="E658" s="7" t="s">
        <v>495</v>
      </c>
    </row>
    <row r="659">
      <c r="A659" s="4" t="s">
        <v>664</v>
      </c>
      <c r="B659" s="5" t="str">
        <f>IFERROR(__xludf.DUMMYFUNCTION("IF(A659="""","""",INDEX(SPLIT(A659,"" ""),COUNTA(SPLIT(A659,"" ""))))"),"Polonghera")</f>
        <v>Polonghera</v>
      </c>
      <c r="C659" s="6"/>
      <c r="D659" s="6" t="s">
        <v>494</v>
      </c>
      <c r="E659" s="7" t="s">
        <v>495</v>
      </c>
    </row>
    <row r="660">
      <c r="A660" s="4" t="s">
        <v>665</v>
      </c>
      <c r="B660" s="5" t="str">
        <f>IFERROR(__xludf.DUMMYFUNCTION("IF(A660="""","""",INDEX(SPLIT(A660,"" ""),COUNTA(SPLIT(A660,"" ""))))"),"Pontechianale")</f>
        <v>Pontechianale</v>
      </c>
      <c r="C660" s="6"/>
      <c r="D660" s="6" t="s">
        <v>494</v>
      </c>
      <c r="E660" s="7" t="s">
        <v>495</v>
      </c>
    </row>
    <row r="661">
      <c r="A661" s="4" t="s">
        <v>666</v>
      </c>
      <c r="B661" s="5" t="str">
        <f>IFERROR(__xludf.DUMMYFUNCTION("IF(A661="""","""",INDEX(SPLIT(A661,"" ""),COUNTA(SPLIT(A661,"" ""))))"),"Pradleves")</f>
        <v>Pradleves</v>
      </c>
      <c r="C661" s="6"/>
      <c r="D661" s="6" t="s">
        <v>494</v>
      </c>
      <c r="E661" s="7" t="s">
        <v>495</v>
      </c>
    </row>
    <row r="662">
      <c r="A662" s="4" t="s">
        <v>667</v>
      </c>
      <c r="B662" s="5" t="str">
        <f>IFERROR(__xludf.DUMMYFUNCTION("IF(A662="""","""",INDEX(SPLIT(A662,"" ""),COUNTA(SPLIT(A662,"" ""))))"),"Prazzo")</f>
        <v>Prazzo</v>
      </c>
      <c r="C662" s="6"/>
      <c r="D662" s="6" t="s">
        <v>494</v>
      </c>
      <c r="E662" s="7" t="s">
        <v>495</v>
      </c>
    </row>
    <row r="663">
      <c r="A663" s="4" t="s">
        <v>668</v>
      </c>
      <c r="B663" s="5" t="str">
        <f>IFERROR(__xludf.DUMMYFUNCTION("IF(A663="""","""",INDEX(SPLIT(A663,"" ""),COUNTA(SPLIT(A663,"" ""))))"),"Priero")</f>
        <v>Priero</v>
      </c>
      <c r="C663" s="6"/>
      <c r="D663" s="6" t="s">
        <v>494</v>
      </c>
      <c r="E663" s="7" t="s">
        <v>495</v>
      </c>
    </row>
    <row r="664">
      <c r="A664" s="4" t="s">
        <v>669</v>
      </c>
      <c r="B664" s="5" t="str">
        <f>IFERROR(__xludf.DUMMYFUNCTION("IF(A664="""","""",INDEX(SPLIT(A664,"" ""),COUNTA(SPLIT(A664,"" ""))))"),"Priocca")</f>
        <v>Priocca</v>
      </c>
      <c r="C664" s="6"/>
      <c r="D664" s="6" t="s">
        <v>494</v>
      </c>
      <c r="E664" s="7" t="s">
        <v>495</v>
      </c>
    </row>
    <row r="665">
      <c r="A665" s="4" t="s">
        <v>670</v>
      </c>
      <c r="B665" s="5" t="str">
        <f>IFERROR(__xludf.DUMMYFUNCTION("IF(A665="""","""",INDEX(SPLIT(A665,"" ""),COUNTA(SPLIT(A665,"" ""))))"),"Priola")</f>
        <v>Priola</v>
      </c>
      <c r="C665" s="6"/>
      <c r="D665" s="6" t="s">
        <v>494</v>
      </c>
      <c r="E665" s="7" t="s">
        <v>495</v>
      </c>
    </row>
    <row r="666">
      <c r="A666" s="4" t="s">
        <v>671</v>
      </c>
      <c r="B666" s="5" t="str">
        <f>IFERROR(__xludf.DUMMYFUNCTION("IF(A666="""","""",INDEX(SPLIT(A666,"" ""),COUNTA(SPLIT(A666,"" ""))))"),"Prunetto")</f>
        <v>Prunetto</v>
      </c>
      <c r="C666" s="6"/>
      <c r="D666" s="6" t="s">
        <v>494</v>
      </c>
      <c r="E666" s="7" t="s">
        <v>495</v>
      </c>
    </row>
    <row r="667">
      <c r="A667" s="4" t="s">
        <v>672</v>
      </c>
      <c r="B667" s="5" t="str">
        <f>IFERROR(__xludf.DUMMYFUNCTION("IF(A667="""","""",INDEX(SPLIT(A667,"" ""),COUNTA(SPLIT(A667,"" ""))))"),"Racconigi")</f>
        <v>Racconigi</v>
      </c>
      <c r="C667" s="6"/>
      <c r="D667" s="6" t="s">
        <v>494</v>
      </c>
      <c r="E667" s="7" t="s">
        <v>495</v>
      </c>
    </row>
    <row r="668">
      <c r="A668" s="4" t="s">
        <v>673</v>
      </c>
      <c r="B668" s="5" t="str">
        <f>IFERROR(__xludf.DUMMYFUNCTION("IF(A668="""","""",INDEX(SPLIT(A668,"" ""),COUNTA(SPLIT(A668,"" ""))))"),"Revello")</f>
        <v>Revello</v>
      </c>
      <c r="C668" s="6"/>
      <c r="D668" s="6" t="s">
        <v>494</v>
      </c>
      <c r="E668" s="7" t="s">
        <v>495</v>
      </c>
    </row>
    <row r="669">
      <c r="A669" s="4" t="s">
        <v>674</v>
      </c>
      <c r="B669" s="5" t="str">
        <f>IFERROR(__xludf.DUMMYFUNCTION("IF(A669="""","""",INDEX(SPLIT(A669,"" ""),COUNTA(SPLIT(A669,"" ""))))"),"Rifreddo")</f>
        <v>Rifreddo</v>
      </c>
      <c r="C669" s="6"/>
      <c r="D669" s="6" t="s">
        <v>494</v>
      </c>
      <c r="E669" s="7" t="s">
        <v>495</v>
      </c>
    </row>
    <row r="670">
      <c r="A670" s="4" t="s">
        <v>675</v>
      </c>
      <c r="B670" s="5" t="str">
        <f>IFERROR(__xludf.DUMMYFUNCTION("IF(A670="""","""",INDEX(SPLIT(A670,"" ""),COUNTA(SPLIT(A670,"" ""))))"),"Rittana")</f>
        <v>Rittana</v>
      </c>
      <c r="C670" s="6"/>
      <c r="D670" s="6" t="s">
        <v>494</v>
      </c>
      <c r="E670" s="7" t="s">
        <v>495</v>
      </c>
    </row>
    <row r="671">
      <c r="A671" s="4" t="s">
        <v>676</v>
      </c>
      <c r="B671" s="5" t="str">
        <f>IFERROR(__xludf.DUMMYFUNCTION("IF(A671="""","""",INDEX(SPLIT(A671,"" ""),COUNTA(SPLIT(A671,"" ""))))"),"Roaschia")</f>
        <v>Roaschia</v>
      </c>
      <c r="C671" s="6"/>
      <c r="D671" s="6" t="s">
        <v>494</v>
      </c>
      <c r="E671" s="7" t="s">
        <v>495</v>
      </c>
    </row>
    <row r="672">
      <c r="A672" s="4" t="s">
        <v>677</v>
      </c>
      <c r="B672" s="5" t="str">
        <f>IFERROR(__xludf.DUMMYFUNCTION("IF(A672="""","""",INDEX(SPLIT(A672,"" ""),COUNTA(SPLIT(A672,"" ""))))"),"Roascio")</f>
        <v>Roascio</v>
      </c>
      <c r="C672" s="6"/>
      <c r="D672" s="6" t="s">
        <v>494</v>
      </c>
      <c r="E672" s="7" t="s">
        <v>495</v>
      </c>
    </row>
    <row r="673">
      <c r="A673" s="4" t="s">
        <v>678</v>
      </c>
      <c r="B673" s="5" t="str">
        <f>IFERROR(__xludf.DUMMYFUNCTION("IF(A673="""","""",INDEX(SPLIT(A673,"" ""),COUNTA(SPLIT(A673,"" ""))))"),"Robilante")</f>
        <v>Robilante</v>
      </c>
      <c r="C673" s="6"/>
      <c r="D673" s="6" t="s">
        <v>494</v>
      </c>
      <c r="E673" s="7" t="s">
        <v>495</v>
      </c>
    </row>
    <row r="674">
      <c r="A674" s="4" t="s">
        <v>679</v>
      </c>
      <c r="B674" s="5" t="str">
        <f>IFERROR(__xludf.DUMMYFUNCTION("IF(A674="""","""",INDEX(SPLIT(A674,"" ""),COUNTA(SPLIT(A674,"" ""))))"),"Roburent")</f>
        <v>Roburent</v>
      </c>
      <c r="C674" s="6"/>
      <c r="D674" s="6" t="s">
        <v>494</v>
      </c>
      <c r="E674" s="7" t="s">
        <v>495</v>
      </c>
    </row>
    <row r="675">
      <c r="A675" s="4" t="s">
        <v>680</v>
      </c>
      <c r="B675" s="5" t="str">
        <f>IFERROR(__xludf.DUMMYFUNCTION("IF(A675="""","""",INDEX(SPLIT(A675,"" ""),COUNTA(SPLIT(A675,"" ""))))"),"Roccabruna")</f>
        <v>Roccabruna</v>
      </c>
      <c r="C675" s="6"/>
      <c r="D675" s="6" t="s">
        <v>494</v>
      </c>
      <c r="E675" s="7" t="s">
        <v>495</v>
      </c>
    </row>
    <row r="676">
      <c r="A676" s="4" t="s">
        <v>681</v>
      </c>
      <c r="B676" s="5" t="str">
        <f>IFERROR(__xludf.DUMMYFUNCTION("IF(A676="""","""",INDEX(SPLIT(A676,"" ""),COUNTA(SPLIT(A676,"" ""))))"),"Cigliè")</f>
        <v>Cigliè</v>
      </c>
      <c r="C676" s="6"/>
      <c r="D676" s="6" t="s">
        <v>494</v>
      </c>
      <c r="E676" s="7" t="s">
        <v>495</v>
      </c>
    </row>
    <row r="677">
      <c r="A677" s="4" t="s">
        <v>682</v>
      </c>
      <c r="B677" s="5" t="str">
        <f>IFERROR(__xludf.DUMMYFUNCTION("IF(A677="""","""",INDEX(SPLIT(A677,"" ""),COUNTA(SPLIT(A677,"" ""))))"),"Baldi")</f>
        <v>Baldi</v>
      </c>
      <c r="C677" s="6"/>
      <c r="D677" s="6" t="s">
        <v>494</v>
      </c>
      <c r="E677" s="7" t="s">
        <v>495</v>
      </c>
    </row>
    <row r="678">
      <c r="A678" s="4" t="s">
        <v>683</v>
      </c>
      <c r="B678" s="5" t="str">
        <f>IFERROR(__xludf.DUMMYFUNCTION("IF(A678="""","""",INDEX(SPLIT(A678,"" ""),COUNTA(SPLIT(A678,"" ""))))"),"Mondovì")</f>
        <v>Mondovì</v>
      </c>
      <c r="C678" s="6"/>
      <c r="D678" s="6" t="s">
        <v>494</v>
      </c>
      <c r="E678" s="7" t="s">
        <v>495</v>
      </c>
    </row>
    <row r="679">
      <c r="A679" s="4" t="s">
        <v>684</v>
      </c>
      <c r="B679" s="5" t="str">
        <f>IFERROR(__xludf.DUMMYFUNCTION("IF(A679="""","""",INDEX(SPLIT(A679,"" ""),COUNTA(SPLIT(A679,"" ""))))"),"Roccasparvera")</f>
        <v>Roccasparvera</v>
      </c>
      <c r="C679" s="6"/>
      <c r="D679" s="6" t="s">
        <v>494</v>
      </c>
      <c r="E679" s="7" t="s">
        <v>495</v>
      </c>
    </row>
    <row r="680">
      <c r="A680" s="4" t="s">
        <v>685</v>
      </c>
      <c r="B680" s="5" t="str">
        <f>IFERROR(__xludf.DUMMYFUNCTION("IF(A680="""","""",INDEX(SPLIT(A680,"" ""),COUNTA(SPLIT(A680,"" ""))))"),"Roccavione")</f>
        <v>Roccavione</v>
      </c>
      <c r="C680" s="6"/>
      <c r="D680" s="6" t="s">
        <v>494</v>
      </c>
      <c r="E680" s="7" t="s">
        <v>495</v>
      </c>
    </row>
    <row r="681">
      <c r="A681" s="4" t="s">
        <v>686</v>
      </c>
      <c r="B681" s="5" t="str">
        <f>IFERROR(__xludf.DUMMYFUNCTION("IF(A681="""","""",INDEX(SPLIT(A681,"" ""),COUNTA(SPLIT(A681,"" ""))))"),"Belbo")</f>
        <v>Belbo</v>
      </c>
      <c r="C681" s="6"/>
      <c r="D681" s="6" t="s">
        <v>494</v>
      </c>
      <c r="E681" s="7" t="s">
        <v>495</v>
      </c>
    </row>
    <row r="682">
      <c r="A682" s="4" t="s">
        <v>687</v>
      </c>
      <c r="B682" s="5" t="str">
        <f>IFERROR(__xludf.DUMMYFUNCTION("IF(A682="""","""",INDEX(SPLIT(A682,"" ""),COUNTA(SPLIT(A682,"" ""))))"),"Roddi")</f>
        <v>Roddi</v>
      </c>
      <c r="C682" s="6"/>
      <c r="D682" s="6" t="s">
        <v>494</v>
      </c>
      <c r="E682" s="7" t="s">
        <v>495</v>
      </c>
    </row>
    <row r="683">
      <c r="A683" s="4" t="s">
        <v>688</v>
      </c>
      <c r="B683" s="5" t="str">
        <f>IFERROR(__xludf.DUMMYFUNCTION("IF(A683="""","""",INDEX(SPLIT(A683,"" ""),COUNTA(SPLIT(A683,"" ""))))"),"Roddino")</f>
        <v>Roddino</v>
      </c>
      <c r="C683" s="6"/>
      <c r="D683" s="6" t="s">
        <v>494</v>
      </c>
      <c r="E683" s="7" t="s">
        <v>495</v>
      </c>
    </row>
    <row r="684">
      <c r="A684" s="4" t="s">
        <v>689</v>
      </c>
      <c r="B684" s="5" t="str">
        <f>IFERROR(__xludf.DUMMYFUNCTION("IF(A684="""","""",INDEX(SPLIT(A684,"" ""),COUNTA(SPLIT(A684,"" ""))))"),"Rodello")</f>
        <v>Rodello</v>
      </c>
      <c r="C684" s="6"/>
      <c r="D684" s="6" t="s">
        <v>494</v>
      </c>
      <c r="E684" s="7" t="s">
        <v>495</v>
      </c>
    </row>
    <row r="685">
      <c r="A685" s="4" t="s">
        <v>690</v>
      </c>
      <c r="B685" s="5" t="str">
        <f>IFERROR(__xludf.DUMMYFUNCTION("IF(A685="""","""",INDEX(SPLIT(A685,"" ""),COUNTA(SPLIT(A685,"" ""))))"),"Rossana")</f>
        <v>Rossana</v>
      </c>
      <c r="C685" s="6"/>
      <c r="D685" s="6" t="s">
        <v>494</v>
      </c>
      <c r="E685" s="7" t="s">
        <v>495</v>
      </c>
    </row>
    <row r="686">
      <c r="A686" s="4" t="s">
        <v>691</v>
      </c>
      <c r="B686" s="5" t="str">
        <f>IFERROR(__xludf.DUMMYFUNCTION("IF(A686="""","""",INDEX(SPLIT(A686,"" ""),COUNTA(SPLIT(A686,"" ""))))"),"Ruffia")</f>
        <v>Ruffia</v>
      </c>
      <c r="C686" s="6"/>
      <c r="D686" s="6" t="s">
        <v>494</v>
      </c>
      <c r="E686" s="7" t="s">
        <v>495</v>
      </c>
    </row>
    <row r="687">
      <c r="A687" s="4" t="s">
        <v>692</v>
      </c>
      <c r="B687" s="5" t="str">
        <f>IFERROR(__xludf.DUMMYFUNCTION("IF(A687="""","""",INDEX(SPLIT(A687,"" ""),COUNTA(SPLIT(A687,"" ""))))"),"Langhe")</f>
        <v>Langhe</v>
      </c>
      <c r="C687" s="6"/>
      <c r="D687" s="6" t="s">
        <v>494</v>
      </c>
      <c r="E687" s="7" t="s">
        <v>495</v>
      </c>
    </row>
    <row r="688">
      <c r="A688" s="4" t="s">
        <v>693</v>
      </c>
      <c r="B688" s="5" t="str">
        <f>IFERROR(__xludf.DUMMYFUNCTION("IF(A688="""","""",INDEX(SPLIT(A688,"" ""),COUNTA(SPLIT(A688,"" ""))))"),"Giovanni")</f>
        <v>Giovanni</v>
      </c>
      <c r="C688" s="6"/>
      <c r="D688" s="6" t="s">
        <v>494</v>
      </c>
      <c r="E688" s="7" t="s">
        <v>495</v>
      </c>
    </row>
    <row r="689">
      <c r="A689" s="4" t="s">
        <v>694</v>
      </c>
      <c r="B689" s="5" t="str">
        <f>IFERROR(__xludf.DUMMYFUNCTION("IF(A689="""","""",INDEX(SPLIT(A689,"" ""),COUNTA(SPLIT(A689,"" ""))))"),"Saliceto")</f>
        <v>Saliceto</v>
      </c>
      <c r="C689" s="6"/>
      <c r="D689" s="6" t="s">
        <v>494</v>
      </c>
      <c r="E689" s="7" t="s">
        <v>495</v>
      </c>
    </row>
    <row r="690">
      <c r="A690" s="4" t="s">
        <v>695</v>
      </c>
      <c r="B690" s="5" t="str">
        <f>IFERROR(__xludf.DUMMYFUNCTION("IF(A690="""","""",INDEX(SPLIT(A690,"" ""),COUNTA(SPLIT(A690,"" ""))))"),"Salmour")</f>
        <v>Salmour</v>
      </c>
      <c r="C690" s="6"/>
      <c r="D690" s="6" t="s">
        <v>494</v>
      </c>
      <c r="E690" s="7" t="s">
        <v>495</v>
      </c>
    </row>
    <row r="691">
      <c r="A691" s="4" t="s">
        <v>696</v>
      </c>
      <c r="B691" s="5" t="str">
        <f>IFERROR(__xludf.DUMMYFUNCTION("IF(A691="""","""",INDEX(SPLIT(A691,"" ""),COUNTA(SPLIT(A691,"" ""))))"),"Saluzzo")</f>
        <v>Saluzzo</v>
      </c>
      <c r="C691" s="6"/>
      <c r="D691" s="6" t="s">
        <v>494</v>
      </c>
      <c r="E691" s="7" t="s">
        <v>495</v>
      </c>
    </row>
    <row r="692">
      <c r="A692" s="4" t="s">
        <v>697</v>
      </c>
      <c r="B692" s="5" t="str">
        <f>IFERROR(__xludf.DUMMYFUNCTION("IF(A692="""","""",INDEX(SPLIT(A692,"" ""),COUNTA(SPLIT(A692,"" ""))))"),"Sambuco")</f>
        <v>Sambuco</v>
      </c>
      <c r="C692" s="6"/>
      <c r="D692" s="6" t="s">
        <v>494</v>
      </c>
      <c r="E692" s="7" t="s">
        <v>495</v>
      </c>
    </row>
    <row r="693">
      <c r="A693" s="4" t="s">
        <v>698</v>
      </c>
      <c r="B693" s="5" t="str">
        <f>IFERROR(__xludf.DUMMYFUNCTION("IF(A693="""","""",INDEX(SPLIT(A693,"" ""),COUNTA(SPLIT(A693,"" ""))))"),"Sampeyre")</f>
        <v>Sampeyre</v>
      </c>
      <c r="C693" s="6"/>
      <c r="D693" s="6" t="s">
        <v>494</v>
      </c>
      <c r="E693" s="7" t="s">
        <v>495</v>
      </c>
    </row>
    <row r="694">
      <c r="A694" s="4" t="s">
        <v>699</v>
      </c>
      <c r="B694" s="5" t="str">
        <f>IFERROR(__xludf.DUMMYFUNCTION("IF(A694="""","""",INDEX(SPLIT(A694,"" ""),COUNTA(SPLIT(A694,"" ""))))"),"Belbo")</f>
        <v>Belbo</v>
      </c>
      <c r="C694" s="6"/>
      <c r="D694" s="6" t="s">
        <v>494</v>
      </c>
      <c r="E694" s="7" t="s">
        <v>495</v>
      </c>
    </row>
    <row r="695">
      <c r="A695" s="4" t="s">
        <v>700</v>
      </c>
      <c r="B695" s="5" t="str">
        <f>IFERROR(__xludf.DUMMYFUNCTION("IF(A695="""","""",INDEX(SPLIT(A695,"" ""),COUNTA(SPLIT(A695,"" ""))))"),"Macra")</f>
        <v>Macra</v>
      </c>
      <c r="C695" s="6"/>
      <c r="D695" s="6" t="s">
        <v>494</v>
      </c>
      <c r="E695" s="7" t="s">
        <v>495</v>
      </c>
    </row>
    <row r="696">
      <c r="A696" s="4" t="s">
        <v>701</v>
      </c>
      <c r="B696" s="5" t="str">
        <f>IFERROR(__xludf.DUMMYFUNCTION("IF(A696="""","""",INDEX(SPLIT(A696,"" ""),COUNTA(SPLIT(A696,"" ""))))"),"Sanfrè")</f>
        <v>Sanfrè</v>
      </c>
      <c r="C696" s="6"/>
      <c r="D696" s="6" t="s">
        <v>494</v>
      </c>
      <c r="E696" s="7" t="s">
        <v>495</v>
      </c>
    </row>
    <row r="697">
      <c r="A697" s="4" t="s">
        <v>702</v>
      </c>
      <c r="B697" s="5" t="str">
        <f>IFERROR(__xludf.DUMMYFUNCTION("IF(A697="""","""",INDEX(SPLIT(A697,"" ""),COUNTA(SPLIT(A697,"" ""))))"),"Sanfront")</f>
        <v>Sanfront</v>
      </c>
      <c r="C697" s="6"/>
      <c r="D697" s="6" t="s">
        <v>494</v>
      </c>
      <c r="E697" s="7" t="s">
        <v>495</v>
      </c>
    </row>
    <row r="698">
      <c r="A698" s="4" t="s">
        <v>703</v>
      </c>
      <c r="B698" s="5" t="str">
        <f>IFERROR(__xludf.DUMMYFUNCTION("IF(A698="""","""",INDEX(SPLIT(A698,"" ""),COUNTA(SPLIT(A698,"" ""))))"),"Mondovì")</f>
        <v>Mondovì</v>
      </c>
      <c r="C698" s="6"/>
      <c r="D698" s="6" t="s">
        <v>494</v>
      </c>
      <c r="E698" s="7" t="s">
        <v>495</v>
      </c>
    </row>
    <row r="699">
      <c r="A699" s="4" t="s">
        <v>704</v>
      </c>
      <c r="B699" s="5" t="str">
        <f>IFERROR(__xludf.DUMMYFUNCTION("IF(A699="""","""",INDEX(SPLIT(A699,"" ""),COUNTA(SPLIT(A699,"" ""))))"),"Stura")</f>
        <v>Stura</v>
      </c>
      <c r="C699" s="6"/>
      <c r="D699" s="6" t="s">
        <v>494</v>
      </c>
      <c r="E699" s="7" t="s">
        <v>495</v>
      </c>
    </row>
    <row r="700">
      <c r="A700" s="4" t="s">
        <v>705</v>
      </c>
      <c r="B700" s="5" t="str">
        <f>IFERROR(__xludf.DUMMYFUNCTION("IF(A700="""","""",INDEX(SPLIT(A700,"" ""),COUNTA(SPLIT(A700,"" ""))))"),"d'Alba")</f>
        <v>d'Alba</v>
      </c>
      <c r="C700" s="6"/>
      <c r="D700" s="6" t="s">
        <v>494</v>
      </c>
      <c r="E700" s="7" t="s">
        <v>495</v>
      </c>
    </row>
    <row r="701">
      <c r="A701" s="4" t="s">
        <v>706</v>
      </c>
      <c r="B701" s="5" t="str">
        <f>IFERROR(__xludf.DUMMYFUNCTION("IF(A701="""","""",INDEX(SPLIT(A701,"" ""),COUNTA(SPLIT(A701,"" ""))))"),"Belbo")</f>
        <v>Belbo</v>
      </c>
      <c r="C701" s="6"/>
      <c r="D701" s="6" t="s">
        <v>494</v>
      </c>
      <c r="E701" s="7" t="s">
        <v>495</v>
      </c>
    </row>
    <row r="702">
      <c r="A702" s="4" t="s">
        <v>707</v>
      </c>
      <c r="B702" s="5" t="str">
        <f>IFERROR(__xludf.DUMMYFUNCTION("IF(A702="""","""",INDEX(SPLIT(A702,"" ""),COUNTA(SPLIT(A702,"" ""))))"),"Roero")</f>
        <v>Roero</v>
      </c>
      <c r="C702" s="6"/>
      <c r="D702" s="6" t="s">
        <v>494</v>
      </c>
      <c r="E702" s="7" t="s">
        <v>495</v>
      </c>
    </row>
    <row r="703">
      <c r="A703" s="4" t="s">
        <v>708</v>
      </c>
      <c r="B703" s="5" t="str">
        <f>IFERROR(__xludf.DUMMYFUNCTION("IF(A703="""","""",INDEX(SPLIT(A703,"" ""),COUNTA(SPLIT(A703,"" ""))))"),"Savigliano")</f>
        <v>Savigliano</v>
      </c>
      <c r="C703" s="6"/>
      <c r="D703" s="6" t="s">
        <v>494</v>
      </c>
      <c r="E703" s="7" t="s">
        <v>495</v>
      </c>
    </row>
    <row r="704">
      <c r="A704" s="4" t="s">
        <v>709</v>
      </c>
      <c r="B704" s="5" t="str">
        <f>IFERROR(__xludf.DUMMYFUNCTION("IF(A704="""","""",INDEX(SPLIT(A704,"" ""),COUNTA(SPLIT(A704,"" ""))))"),"Scagnello")</f>
        <v>Scagnello</v>
      </c>
      <c r="C704" s="6"/>
      <c r="D704" s="6" t="s">
        <v>494</v>
      </c>
      <c r="E704" s="7" t="s">
        <v>495</v>
      </c>
    </row>
    <row r="705">
      <c r="A705" s="4" t="s">
        <v>710</v>
      </c>
      <c r="B705" s="5" t="str">
        <f>IFERROR(__xludf.DUMMYFUNCTION("IF(A705="""","""",INDEX(SPLIT(A705,"" ""),COUNTA(SPLIT(A705,"" ""))))"),"Scarnafigi")</f>
        <v>Scarnafigi</v>
      </c>
      <c r="C705" s="6"/>
      <c r="D705" s="6" t="s">
        <v>494</v>
      </c>
      <c r="E705" s="7" t="s">
        <v>495</v>
      </c>
    </row>
    <row r="706">
      <c r="A706" s="4" t="s">
        <v>711</v>
      </c>
      <c r="B706" s="5" t="str">
        <f>IFERROR(__xludf.DUMMYFUNCTION("IF(A706="""","""",INDEX(SPLIT(A706,"" ""),COUNTA(SPLIT(A706,"" ""))))"),"d'Alba")</f>
        <v>d'Alba</v>
      </c>
      <c r="C706" s="6"/>
      <c r="D706" s="6" t="s">
        <v>494</v>
      </c>
      <c r="E706" s="7" t="s">
        <v>495</v>
      </c>
    </row>
    <row r="707">
      <c r="A707" s="4" t="s">
        <v>712</v>
      </c>
      <c r="B707" s="5" t="str">
        <f>IFERROR(__xludf.DUMMYFUNCTION("IF(A707="""","""",INDEX(SPLIT(A707,"" ""),COUNTA(SPLIT(A707,"" ""))))"),"Langhe")</f>
        <v>Langhe</v>
      </c>
      <c r="C707" s="6"/>
      <c r="D707" s="6" t="s">
        <v>494</v>
      </c>
      <c r="E707" s="7" t="s">
        <v>495</v>
      </c>
    </row>
    <row r="708">
      <c r="A708" s="4" t="s">
        <v>713</v>
      </c>
      <c r="B708" s="5" t="str">
        <f>IFERROR(__xludf.DUMMYFUNCTION("IF(A708="""","""",INDEX(SPLIT(A708,"" ""),COUNTA(SPLIT(A708,"" ""))))"),"Sinio")</f>
        <v>Sinio</v>
      </c>
      <c r="C708" s="6"/>
      <c r="D708" s="6" t="s">
        <v>494</v>
      </c>
      <c r="E708" s="7" t="s">
        <v>495</v>
      </c>
    </row>
    <row r="709">
      <c r="A709" s="4" t="s">
        <v>714</v>
      </c>
      <c r="B709" s="5" t="str">
        <f>IFERROR(__xludf.DUMMYFUNCTION("IF(A709="""","""",INDEX(SPLIT(A709,"" ""),COUNTA(SPLIT(A709,"" ""))))"),"Somano")</f>
        <v>Somano</v>
      </c>
      <c r="C709" s="6"/>
      <c r="D709" s="6" t="s">
        <v>494</v>
      </c>
      <c r="E709" s="7" t="s">
        <v>495</v>
      </c>
    </row>
    <row r="710">
      <c r="A710" s="4" t="s">
        <v>715</v>
      </c>
      <c r="B710" s="5" t="str">
        <f>IFERROR(__xludf.DUMMYFUNCTION("IF(A710="""","""",INDEX(SPLIT(A710,"" ""),COUNTA(SPLIT(A710,"" ""))))"),"Bosco")</f>
        <v>Bosco</v>
      </c>
      <c r="C710" s="6"/>
      <c r="D710" s="6" t="s">
        <v>494</v>
      </c>
      <c r="E710" s="7" t="s">
        <v>495</v>
      </c>
    </row>
    <row r="711">
      <c r="A711" s="4" t="s">
        <v>716</v>
      </c>
      <c r="B711" s="5" t="str">
        <f>IFERROR(__xludf.DUMMYFUNCTION("IF(A711="""","""",INDEX(SPLIT(A711,"" ""),COUNTA(SPLIT(A711,"" ""))))"),"Perno")</f>
        <v>Perno</v>
      </c>
      <c r="C711" s="6"/>
      <c r="D711" s="6" t="s">
        <v>494</v>
      </c>
      <c r="E711" s="7" t="s">
        <v>495</v>
      </c>
    </row>
    <row r="712">
      <c r="A712" s="4" t="s">
        <v>717</v>
      </c>
      <c r="B712" s="5" t="str">
        <f>IFERROR(__xludf.DUMMYFUNCTION("IF(A712="""","""",INDEX(SPLIT(A712,"" ""),COUNTA(SPLIT(A712,"" ""))))"),"Stroppo")</f>
        <v>Stroppo</v>
      </c>
      <c r="C712" s="6"/>
      <c r="D712" s="6" t="s">
        <v>494</v>
      </c>
      <c r="E712" s="7" t="s">
        <v>495</v>
      </c>
    </row>
    <row r="713">
      <c r="A713" s="4" t="s">
        <v>718</v>
      </c>
      <c r="B713" s="5" t="str">
        <f>IFERROR(__xludf.DUMMYFUNCTION("IF(A713="""","""",INDEX(SPLIT(A713,"" ""),COUNTA(SPLIT(A713,"" ""))))"),"Tarantasca")</f>
        <v>Tarantasca</v>
      </c>
      <c r="C713" s="6"/>
      <c r="D713" s="6" t="s">
        <v>494</v>
      </c>
      <c r="E713" s="7" t="s">
        <v>495</v>
      </c>
    </row>
    <row r="714">
      <c r="A714" s="4" t="s">
        <v>719</v>
      </c>
      <c r="B714" s="5" t="str">
        <f>IFERROR(__xludf.DUMMYFUNCTION("IF(A714="""","""",INDEX(SPLIT(A714,"" ""),COUNTA(SPLIT(A714,"" ""))))"),"Bormida")</f>
        <v>Bormida</v>
      </c>
      <c r="C714" s="6"/>
      <c r="D714" s="6" t="s">
        <v>494</v>
      </c>
      <c r="E714" s="7" t="s">
        <v>495</v>
      </c>
    </row>
    <row r="715">
      <c r="A715" s="4" t="s">
        <v>720</v>
      </c>
      <c r="B715" s="5" t="str">
        <f>IFERROR(__xludf.DUMMYFUNCTION("IF(A715="""","""",INDEX(SPLIT(A715,"" ""),COUNTA(SPLIT(A715,"" ""))))"),"Mondovì")</f>
        <v>Mondovì</v>
      </c>
      <c r="C715" s="6"/>
      <c r="D715" s="6" t="s">
        <v>494</v>
      </c>
      <c r="E715" s="7" t="s">
        <v>495</v>
      </c>
    </row>
    <row r="716">
      <c r="A716" s="4" t="s">
        <v>721</v>
      </c>
      <c r="B716" s="5" t="str">
        <f>IFERROR(__xludf.DUMMYFUNCTION("IF(A716="""","""",INDEX(SPLIT(A716,"" ""),COUNTA(SPLIT(A716,"" ""))))"),"Giorgio")</f>
        <v>Giorgio</v>
      </c>
      <c r="C716" s="6"/>
      <c r="D716" s="6" t="s">
        <v>494</v>
      </c>
      <c r="E716" s="7" t="s">
        <v>495</v>
      </c>
    </row>
    <row r="717">
      <c r="A717" s="4" t="s">
        <v>722</v>
      </c>
      <c r="B717" s="5" t="str">
        <f>IFERROR(__xludf.DUMMYFUNCTION("IF(A717="""","""",INDEX(SPLIT(A717,"" ""),COUNTA(SPLIT(A717,"" ""))))"),"Torresina")</f>
        <v>Torresina</v>
      </c>
      <c r="C717" s="6"/>
      <c r="D717" s="6" t="s">
        <v>494</v>
      </c>
      <c r="E717" s="7" t="s">
        <v>495</v>
      </c>
    </row>
    <row r="718">
      <c r="A718" s="4" t="s">
        <v>723</v>
      </c>
      <c r="B718" s="5" t="str">
        <f>IFERROR(__xludf.DUMMYFUNCTION("IF(A718="""","""",INDEX(SPLIT(A718,"" ""),COUNTA(SPLIT(A718,"" ""))))"),"Treiso")</f>
        <v>Treiso</v>
      </c>
      <c r="C718" s="6"/>
      <c r="D718" s="6" t="s">
        <v>494</v>
      </c>
      <c r="E718" s="7" t="s">
        <v>495</v>
      </c>
    </row>
    <row r="719">
      <c r="A719" s="4" t="s">
        <v>724</v>
      </c>
      <c r="B719" s="5" t="str">
        <f>IFERROR(__xludf.DUMMYFUNCTION("IF(A719="""","""",INDEX(SPLIT(A719,"" ""),COUNTA(SPLIT(A719,"" ""))))"),"Tinella")</f>
        <v>Tinella</v>
      </c>
      <c r="C719" s="6"/>
      <c r="D719" s="6" t="s">
        <v>494</v>
      </c>
      <c r="E719" s="7" t="s">
        <v>495</v>
      </c>
    </row>
    <row r="720">
      <c r="A720" s="4" t="s">
        <v>725</v>
      </c>
      <c r="B720" s="5" t="str">
        <f>IFERROR(__xludf.DUMMYFUNCTION("IF(A720="""","""",INDEX(SPLIT(A720,"" ""),COUNTA(SPLIT(A720,"" ""))))"),"Trinità")</f>
        <v>Trinità</v>
      </c>
      <c r="C720" s="6"/>
      <c r="D720" s="6" t="s">
        <v>494</v>
      </c>
      <c r="E720" s="7" t="s">
        <v>495</v>
      </c>
    </row>
    <row r="721">
      <c r="A721" s="4" t="s">
        <v>726</v>
      </c>
      <c r="B721" s="5" t="str">
        <f>IFERROR(__xludf.DUMMYFUNCTION("IF(A721="""","""",INDEX(SPLIT(A721,"" ""),COUNTA(SPLIT(A721,"" ""))))"),"Valdieri")</f>
        <v>Valdieri</v>
      </c>
      <c r="C721" s="6"/>
      <c r="D721" s="6" t="s">
        <v>494</v>
      </c>
      <c r="E721" s="7" t="s">
        <v>495</v>
      </c>
    </row>
    <row r="722">
      <c r="A722" s="4" t="s">
        <v>727</v>
      </c>
      <c r="B722" s="5" t="str">
        <f>IFERROR(__xludf.DUMMYFUNCTION("IF(A722="""","""",INDEX(SPLIT(A722,"" ""),COUNTA(SPLIT(A722,"" ""))))"),"Valgrana")</f>
        <v>Valgrana</v>
      </c>
      <c r="C722" s="6"/>
      <c r="D722" s="6" t="s">
        <v>494</v>
      </c>
      <c r="E722" s="7" t="s">
        <v>495</v>
      </c>
    </row>
    <row r="723">
      <c r="A723" s="4" t="s">
        <v>728</v>
      </c>
      <c r="B723" s="5" t="str">
        <f>IFERROR(__xludf.DUMMYFUNCTION("IF(A723="""","""",INDEX(SPLIT(A723,"" ""),COUNTA(SPLIT(A723,"" ""))))"),"Valloriate")</f>
        <v>Valloriate</v>
      </c>
      <c r="C723" s="6"/>
      <c r="D723" s="6" t="s">
        <v>494</v>
      </c>
      <c r="E723" s="7" t="s">
        <v>495</v>
      </c>
    </row>
    <row r="724">
      <c r="A724" s="4" t="s">
        <v>729</v>
      </c>
      <c r="B724" s="5" t="str">
        <f>IFERROR(__xludf.DUMMYFUNCTION("IF(A724="""","""",INDEX(SPLIT(A724,"" ""),COUNTA(SPLIT(A724,"" ""))))"),"Valmala")</f>
        <v>Valmala</v>
      </c>
      <c r="C724" s="6"/>
      <c r="D724" s="6" t="s">
        <v>494</v>
      </c>
      <c r="E724" s="7" t="s">
        <v>495</v>
      </c>
    </row>
    <row r="725">
      <c r="A725" s="4" t="s">
        <v>730</v>
      </c>
      <c r="B725" s="5" t="str">
        <f>IFERROR(__xludf.DUMMYFUNCTION("IF(A725="""","""",INDEX(SPLIT(A725,"" ""),COUNTA(SPLIT(A725,"" ""))))"),"Venasca")</f>
        <v>Venasca</v>
      </c>
      <c r="C725" s="6"/>
      <c r="D725" s="6" t="s">
        <v>494</v>
      </c>
      <c r="E725" s="7" t="s">
        <v>495</v>
      </c>
    </row>
    <row r="726">
      <c r="A726" s="4" t="s">
        <v>731</v>
      </c>
      <c r="B726" s="5" t="str">
        <f>IFERROR(__xludf.DUMMYFUNCTION("IF(A726="""","""",INDEX(SPLIT(A726,"" ""),COUNTA(SPLIT(A726,"" ""))))"),"Verduno")</f>
        <v>Verduno</v>
      </c>
      <c r="C726" s="6"/>
      <c r="D726" s="6" t="s">
        <v>494</v>
      </c>
      <c r="E726" s="7" t="s">
        <v>495</v>
      </c>
    </row>
    <row r="727">
      <c r="A727" s="4" t="s">
        <v>732</v>
      </c>
      <c r="B727" s="5" t="str">
        <f>IFERROR(__xludf.DUMMYFUNCTION("IF(A727="""","""",INDEX(SPLIT(A727,"" ""),COUNTA(SPLIT(A727,"" ""))))"),"Vernante")</f>
        <v>Vernante</v>
      </c>
      <c r="C727" s="6"/>
      <c r="D727" s="6" t="s">
        <v>494</v>
      </c>
      <c r="E727" s="7" t="s">
        <v>495</v>
      </c>
    </row>
    <row r="728">
      <c r="A728" s="4" t="s">
        <v>733</v>
      </c>
      <c r="B728" s="5" t="str">
        <f>IFERROR(__xludf.DUMMYFUNCTION("IF(A728="""","""",INDEX(SPLIT(A728,"" ""),COUNTA(SPLIT(A728,"" ""))))"),"Verzuolo")</f>
        <v>Verzuolo</v>
      </c>
      <c r="C728" s="6"/>
      <c r="D728" s="6" t="s">
        <v>494</v>
      </c>
      <c r="E728" s="7" t="s">
        <v>495</v>
      </c>
    </row>
    <row r="729">
      <c r="A729" s="4" t="s">
        <v>734</v>
      </c>
      <c r="B729" s="5" t="str">
        <f>IFERROR(__xludf.DUMMYFUNCTION("IF(A729="""","""",INDEX(SPLIT(A729,"" ""),COUNTA(SPLIT(A729,"" ""))))"),"d'Alba")</f>
        <v>d'Alba</v>
      </c>
      <c r="C729" s="6"/>
      <c r="D729" s="6" t="s">
        <v>494</v>
      </c>
      <c r="E729" s="7" t="s">
        <v>495</v>
      </c>
    </row>
    <row r="730">
      <c r="A730" s="4" t="s">
        <v>735</v>
      </c>
      <c r="B730" s="5" t="str">
        <f>IFERROR(__xludf.DUMMYFUNCTION("IF(A730="""","""",INDEX(SPLIT(A730,"" ""),COUNTA(SPLIT(A730,"" ""))))"),"Vicoforte")</f>
        <v>Vicoforte</v>
      </c>
      <c r="C730" s="6"/>
      <c r="D730" s="6" t="s">
        <v>494</v>
      </c>
      <c r="E730" s="7" t="s">
        <v>495</v>
      </c>
    </row>
    <row r="731">
      <c r="A731" s="4" t="s">
        <v>736</v>
      </c>
      <c r="B731" s="5" t="str">
        <f>IFERROR(__xludf.DUMMYFUNCTION("IF(A731="""","""",INDEX(SPLIT(A731,"" ""),COUNTA(SPLIT(A731,"" ""))))"),"Vignolo")</f>
        <v>Vignolo</v>
      </c>
      <c r="C731" s="6"/>
      <c r="D731" s="6" t="s">
        <v>494</v>
      </c>
      <c r="E731" s="7" t="s">
        <v>495</v>
      </c>
    </row>
    <row r="732">
      <c r="A732" s="4" t="s">
        <v>737</v>
      </c>
      <c r="B732" s="5" t="str">
        <f>IFERROR(__xludf.DUMMYFUNCTION("IF(A732="""","""",INDEX(SPLIT(A732,"" ""),COUNTA(SPLIT(A732,"" ""))))"),"Villafalletto")</f>
        <v>Villafalletto</v>
      </c>
      <c r="C732" s="6"/>
      <c r="D732" s="6" t="s">
        <v>494</v>
      </c>
      <c r="E732" s="7" t="s">
        <v>495</v>
      </c>
    </row>
    <row r="733">
      <c r="A733" s="4" t="s">
        <v>738</v>
      </c>
      <c r="B733" s="5" t="str">
        <f>IFERROR(__xludf.DUMMYFUNCTION("IF(A733="""","""",INDEX(SPLIT(A733,"" ""),COUNTA(SPLIT(A733,"" ""))))"),"Mondovì")</f>
        <v>Mondovì</v>
      </c>
      <c r="C733" s="6"/>
      <c r="D733" s="6" t="s">
        <v>494</v>
      </c>
      <c r="E733" s="7" t="s">
        <v>495</v>
      </c>
    </row>
    <row r="734">
      <c r="A734" s="4" t="s">
        <v>739</v>
      </c>
      <c r="B734" s="5" t="str">
        <f>IFERROR(__xludf.DUMMYFUNCTION("IF(A734="""","""",INDEX(SPLIT(A734,"" ""),COUNTA(SPLIT(A734,"" ""))))"),"Solaro")</f>
        <v>Solaro</v>
      </c>
      <c r="C734" s="6"/>
      <c r="D734" s="6" t="s">
        <v>494</v>
      </c>
      <c r="E734" s="7" t="s">
        <v>495</v>
      </c>
    </row>
    <row r="735">
      <c r="A735" s="4" t="s">
        <v>740</v>
      </c>
      <c r="B735" s="5" t="str">
        <f>IFERROR(__xludf.DUMMYFUNCTION("IF(A735="""","""",INDEX(SPLIT(A735,"" ""),COUNTA(SPLIT(A735,"" ""))))"),"Costanzo")</f>
        <v>Costanzo</v>
      </c>
      <c r="C735" s="6"/>
      <c r="D735" s="6" t="s">
        <v>494</v>
      </c>
      <c r="E735" s="7" t="s">
        <v>495</v>
      </c>
    </row>
    <row r="736">
      <c r="A736" s="4" t="s">
        <v>741</v>
      </c>
      <c r="B736" s="5" t="str">
        <f>IFERROR(__xludf.DUMMYFUNCTION("IF(A736="""","""",INDEX(SPLIT(A736,"" ""),COUNTA(SPLIT(A736,"" ""))))"),"Vinadio")</f>
        <v>Vinadio</v>
      </c>
      <c r="C736" s="6"/>
      <c r="D736" s="6" t="s">
        <v>494</v>
      </c>
      <c r="E736" s="7" t="s">
        <v>495</v>
      </c>
    </row>
    <row r="737">
      <c r="A737" s="4" t="s">
        <v>742</v>
      </c>
      <c r="B737" s="5" t="str">
        <f>IFERROR(__xludf.DUMMYFUNCTION("IF(A737="""","""",INDEX(SPLIT(A737,"" ""),COUNTA(SPLIT(A737,"" ""))))"),"Viola")</f>
        <v>Viola</v>
      </c>
      <c r="C737" s="6"/>
      <c r="D737" s="6" t="s">
        <v>494</v>
      </c>
      <c r="E737" s="7" t="s">
        <v>495</v>
      </c>
    </row>
    <row r="738">
      <c r="A738" s="4" t="s">
        <v>743</v>
      </c>
      <c r="B738" s="5" t="str">
        <f>IFERROR(__xludf.DUMMYFUNCTION("IF(A738="""","""",INDEX(SPLIT(A738,"" ""),COUNTA(SPLIT(A738,"" ""))))"),"Vottignasco")</f>
        <v>Vottignasco</v>
      </c>
      <c r="C738" s="6"/>
      <c r="D738" s="6" t="s">
        <v>494</v>
      </c>
      <c r="E738" s="7" t="s">
        <v>495</v>
      </c>
    </row>
    <row r="739">
      <c r="A739" s="4" t="s">
        <v>744</v>
      </c>
      <c r="B739" s="5" t="str">
        <f>IFERROR(__xludf.DUMMYFUNCTION("IF(A739="""","""",INDEX(SPLIT(A739,"" ""),COUNTA(SPLIT(A739,"" ""))))"),"Terme")</f>
        <v>Terme</v>
      </c>
      <c r="C739" s="6"/>
      <c r="D739" s="6" t="s">
        <v>745</v>
      </c>
      <c r="E739" s="7" t="s">
        <v>746</v>
      </c>
    </row>
    <row r="740">
      <c r="A740" s="4" t="s">
        <v>747</v>
      </c>
      <c r="B740" s="5" t="str">
        <f>IFERROR(__xludf.DUMMYFUNCTION("IF(A740="""","""",INDEX(SPLIT(A740,"" ""),COUNTA(SPLIT(A740,"" ""))))"),"Albugnano")</f>
        <v>Albugnano</v>
      </c>
      <c r="C740" s="6"/>
      <c r="D740" s="6" t="s">
        <v>745</v>
      </c>
      <c r="E740" s="7" t="s">
        <v>746</v>
      </c>
    </row>
    <row r="741">
      <c r="A741" s="4" t="s">
        <v>748</v>
      </c>
      <c r="B741" s="5" t="str">
        <f>IFERROR(__xludf.DUMMYFUNCTION("IF(A741="""","""",INDEX(SPLIT(A741,"" ""),COUNTA(SPLIT(A741,"" ""))))"),"Antignano")</f>
        <v>Antignano</v>
      </c>
      <c r="C741" s="6"/>
      <c r="D741" s="6" t="s">
        <v>745</v>
      </c>
      <c r="E741" s="7" t="s">
        <v>746</v>
      </c>
    </row>
    <row r="742">
      <c r="A742" s="4" t="s">
        <v>749</v>
      </c>
      <c r="B742" s="5" t="str">
        <f>IFERROR(__xludf.DUMMYFUNCTION("IF(A742="""","""",INDEX(SPLIT(A742,"" ""),COUNTA(SPLIT(A742,"" ""))))"),"Aramengo")</f>
        <v>Aramengo</v>
      </c>
      <c r="C742" s="6"/>
      <c r="D742" s="6" t="s">
        <v>745</v>
      </c>
      <c r="E742" s="7" t="s">
        <v>746</v>
      </c>
    </row>
    <row r="743">
      <c r="A743" s="4" t="s">
        <v>745</v>
      </c>
      <c r="B743" s="5" t="str">
        <f>IFERROR(__xludf.DUMMYFUNCTION("IF(A743="""","""",INDEX(SPLIT(A743,"" ""),COUNTA(SPLIT(A743,"" ""))))"),"Asti")</f>
        <v>Asti</v>
      </c>
      <c r="C743" s="6"/>
      <c r="D743" s="6" t="s">
        <v>745</v>
      </c>
      <c r="E743" s="7" t="s">
        <v>746</v>
      </c>
    </row>
    <row r="744">
      <c r="A744" s="4" t="s">
        <v>750</v>
      </c>
      <c r="B744" s="5" t="str">
        <f>IFERROR(__xludf.DUMMYFUNCTION("IF(A744="""","""",INDEX(SPLIT(A744,"" ""),COUNTA(SPLIT(A744,"" ""))))"),"d'Asti")</f>
        <v>d'Asti</v>
      </c>
      <c r="C744" s="6"/>
      <c r="D744" s="6" t="s">
        <v>745</v>
      </c>
      <c r="E744" s="7" t="s">
        <v>746</v>
      </c>
    </row>
    <row r="745">
      <c r="A745" s="4" t="s">
        <v>751</v>
      </c>
      <c r="B745" s="5" t="str">
        <f>IFERROR(__xludf.DUMMYFUNCTION("IF(A745="""","""",INDEX(SPLIT(A745,"" ""),COUNTA(SPLIT(A745,"" ""))))"),"d'Asti")</f>
        <v>d'Asti</v>
      </c>
      <c r="C745" s="6"/>
      <c r="D745" s="6" t="s">
        <v>745</v>
      </c>
      <c r="E745" s="7" t="s">
        <v>746</v>
      </c>
    </row>
    <row r="746">
      <c r="A746" s="4" t="s">
        <v>752</v>
      </c>
      <c r="B746" s="5" t="str">
        <f>IFERROR(__xludf.DUMMYFUNCTION("IF(A746="""","""",INDEX(SPLIT(A746,"" ""),COUNTA(SPLIT(A746,"" ""))))"),"Belveglio")</f>
        <v>Belveglio</v>
      </c>
      <c r="C746" s="6"/>
      <c r="D746" s="6" t="s">
        <v>745</v>
      </c>
      <c r="E746" s="7" t="s">
        <v>746</v>
      </c>
    </row>
    <row r="747">
      <c r="A747" s="4" t="s">
        <v>753</v>
      </c>
      <c r="B747" s="5" t="str">
        <f>IFERROR(__xludf.DUMMYFUNCTION("IF(A747="""","""",INDEX(SPLIT(A747,"" ""),COUNTA(SPLIT(A747,"" ""))))"),"Pietro")</f>
        <v>Pietro</v>
      </c>
      <c r="C747" s="6"/>
      <c r="D747" s="6" t="s">
        <v>745</v>
      </c>
      <c r="E747" s="7" t="s">
        <v>746</v>
      </c>
    </row>
    <row r="748">
      <c r="A748" s="4" t="s">
        <v>754</v>
      </c>
      <c r="B748" s="5" t="str">
        <f>IFERROR(__xludf.DUMMYFUNCTION("IF(A748="""","""",INDEX(SPLIT(A748,"" ""),COUNTA(SPLIT(A748,"" ""))))"),"Bruno")</f>
        <v>Bruno</v>
      </c>
      <c r="C748" s="6"/>
      <c r="D748" s="6" t="s">
        <v>745</v>
      </c>
      <c r="E748" s="7" t="s">
        <v>746</v>
      </c>
    </row>
    <row r="749">
      <c r="A749" s="4" t="s">
        <v>755</v>
      </c>
      <c r="B749" s="5" t="str">
        <f>IFERROR(__xludf.DUMMYFUNCTION("IF(A749="""","""",INDEX(SPLIT(A749,"" ""),COUNTA(SPLIT(A749,"" ""))))"),"Bubbio")</f>
        <v>Bubbio</v>
      </c>
      <c r="C749" s="6"/>
      <c r="D749" s="6" t="s">
        <v>745</v>
      </c>
      <c r="E749" s="7" t="s">
        <v>746</v>
      </c>
    </row>
    <row r="750">
      <c r="A750" s="4" t="s">
        <v>756</v>
      </c>
      <c r="B750" s="5" t="str">
        <f>IFERROR(__xludf.DUMMYFUNCTION("IF(A750="""","""",INDEX(SPLIT(A750,"" ""),COUNTA(SPLIT(A750,"" ""))))"),"d'Asti")</f>
        <v>d'Asti</v>
      </c>
      <c r="C750" s="6"/>
      <c r="D750" s="6" t="s">
        <v>745</v>
      </c>
      <c r="E750" s="7" t="s">
        <v>746</v>
      </c>
    </row>
    <row r="751">
      <c r="A751" s="4" t="s">
        <v>757</v>
      </c>
      <c r="B751" s="5" t="str">
        <f>IFERROR(__xludf.DUMMYFUNCTION("IF(A751="""","""",INDEX(SPLIT(A751,"" ""),COUNTA(SPLIT(A751,"" ""))))"),"Calamandrana")</f>
        <v>Calamandrana</v>
      </c>
      <c r="C751" s="6"/>
      <c r="D751" s="6" t="s">
        <v>745</v>
      </c>
      <c r="E751" s="7" t="s">
        <v>746</v>
      </c>
    </row>
    <row r="752">
      <c r="A752" s="4" t="s">
        <v>758</v>
      </c>
      <c r="B752" s="5" t="str">
        <f>IFERROR(__xludf.DUMMYFUNCTION("IF(A752="""","""",INDEX(SPLIT(A752,"" ""),COUNTA(SPLIT(A752,"" ""))))"),"Calliano")</f>
        <v>Calliano</v>
      </c>
      <c r="C752" s="6"/>
      <c r="D752" s="6" t="s">
        <v>745</v>
      </c>
      <c r="E752" s="7" t="s">
        <v>746</v>
      </c>
    </row>
    <row r="753">
      <c r="A753" s="4" t="s">
        <v>759</v>
      </c>
      <c r="B753" s="5" t="str">
        <f>IFERROR(__xludf.DUMMYFUNCTION("IF(A753="""","""",INDEX(SPLIT(A753,"" ""),COUNTA(SPLIT(A753,"" ""))))"),"Calosso")</f>
        <v>Calosso</v>
      </c>
      <c r="C753" s="6"/>
      <c r="D753" s="6" t="s">
        <v>745</v>
      </c>
      <c r="E753" s="7" t="s">
        <v>746</v>
      </c>
    </row>
    <row r="754">
      <c r="A754" s="4" t="s">
        <v>760</v>
      </c>
      <c r="B754" s="5" t="str">
        <f>IFERROR(__xludf.DUMMYFUNCTION("IF(A754="""","""",INDEX(SPLIT(A754,"" ""),COUNTA(SPLIT(A754,"" ""))))"),"Casasco")</f>
        <v>Casasco</v>
      </c>
      <c r="C754" s="6"/>
      <c r="D754" s="6" t="s">
        <v>745</v>
      </c>
      <c r="E754" s="7" t="s">
        <v>746</v>
      </c>
    </row>
    <row r="755">
      <c r="A755" s="4" t="s">
        <v>761</v>
      </c>
      <c r="B755" s="5" t="str">
        <f>IFERROR(__xludf.DUMMYFUNCTION("IF(A755="""","""",INDEX(SPLIT(A755,"" ""),COUNTA(SPLIT(A755,"" ""))))"),"Canelli")</f>
        <v>Canelli</v>
      </c>
      <c r="C755" s="6"/>
      <c r="D755" s="6" t="s">
        <v>745</v>
      </c>
      <c r="E755" s="7" t="s">
        <v>746</v>
      </c>
    </row>
    <row r="756">
      <c r="A756" s="4" t="s">
        <v>762</v>
      </c>
      <c r="B756" s="5" t="str">
        <f>IFERROR(__xludf.DUMMYFUNCTION("IF(A756="""","""",INDEX(SPLIT(A756,"" ""),COUNTA(SPLIT(A756,"" ""))))"),"Cantarana")</f>
        <v>Cantarana</v>
      </c>
      <c r="C756" s="6"/>
      <c r="D756" s="6" t="s">
        <v>745</v>
      </c>
      <c r="E756" s="7" t="s">
        <v>746</v>
      </c>
    </row>
    <row r="757">
      <c r="A757" s="4" t="s">
        <v>763</v>
      </c>
      <c r="B757" s="5" t="str">
        <f>IFERROR(__xludf.DUMMYFUNCTION("IF(A757="""","""",INDEX(SPLIT(A757,"" ""),COUNTA(SPLIT(A757,"" ""))))"),"Capriglio")</f>
        <v>Capriglio</v>
      </c>
      <c r="C757" s="6"/>
      <c r="D757" s="6" t="s">
        <v>745</v>
      </c>
      <c r="E757" s="7" t="s">
        <v>746</v>
      </c>
    </row>
    <row r="758">
      <c r="A758" s="4" t="s">
        <v>764</v>
      </c>
      <c r="B758" s="5" t="str">
        <f>IFERROR(__xludf.DUMMYFUNCTION("IF(A758="""","""",INDEX(SPLIT(A758,"" ""),COUNTA(SPLIT(A758,"" ""))))"),"Casorzo")</f>
        <v>Casorzo</v>
      </c>
      <c r="C758" s="6"/>
      <c r="D758" s="6" t="s">
        <v>745</v>
      </c>
      <c r="E758" s="7" t="s">
        <v>746</v>
      </c>
    </row>
    <row r="759">
      <c r="A759" s="4" t="s">
        <v>765</v>
      </c>
      <c r="B759" s="5" t="str">
        <f>IFERROR(__xludf.DUMMYFUNCTION("IF(A759="""","""",INDEX(SPLIT(A759,"" ""),COUNTA(SPLIT(A759,"" ""))))"),"Cassinasco")</f>
        <v>Cassinasco</v>
      </c>
      <c r="C759" s="6"/>
      <c r="D759" s="6" t="s">
        <v>745</v>
      </c>
      <c r="E759" s="7" t="s">
        <v>746</v>
      </c>
    </row>
    <row r="760">
      <c r="A760" s="4" t="s">
        <v>766</v>
      </c>
      <c r="B760" s="5" t="str">
        <f>IFERROR(__xludf.DUMMYFUNCTION("IF(A760="""","""",INDEX(SPLIT(A760,"" ""),COUNTA(SPLIT(A760,"" ""))))"),"Lanze")</f>
        <v>Lanze</v>
      </c>
      <c r="C760" s="6"/>
      <c r="D760" s="6" t="s">
        <v>745</v>
      </c>
      <c r="E760" s="7" t="s">
        <v>746</v>
      </c>
    </row>
    <row r="761">
      <c r="A761" s="4" t="s">
        <v>767</v>
      </c>
      <c r="B761" s="5" t="str">
        <f>IFERROR(__xludf.DUMMYFUNCTION("IF(A761="""","""",INDEX(SPLIT(A761,"" ""),COUNTA(SPLIT(A761,"" ""))))"),"Monferrato")</f>
        <v>Monferrato</v>
      </c>
      <c r="C761" s="6"/>
      <c r="D761" s="6" t="s">
        <v>745</v>
      </c>
      <c r="E761" s="7" t="s">
        <v>746</v>
      </c>
    </row>
    <row r="762">
      <c r="A762" s="4" t="s">
        <v>768</v>
      </c>
      <c r="B762" s="5" t="str">
        <f>IFERROR(__xludf.DUMMYFUNCTION("IF(A762="""","""",INDEX(SPLIT(A762,"" ""),COUNTA(SPLIT(A762,"" ""))))"),"Boglione")</f>
        <v>Boglione</v>
      </c>
      <c r="C762" s="6"/>
      <c r="D762" s="6" t="s">
        <v>745</v>
      </c>
      <c r="E762" s="7" t="s">
        <v>746</v>
      </c>
    </row>
    <row r="763">
      <c r="A763" s="4" t="s">
        <v>769</v>
      </c>
      <c r="B763" s="5" t="str">
        <f>IFERROR(__xludf.DUMMYFUNCTION("IF(A763="""","""",INDEX(SPLIT(A763,"" ""),COUNTA(SPLIT(A763,"" ""))))"),"Castell'Alfero")</f>
        <v>Castell'Alfero</v>
      </c>
      <c r="C763" s="6"/>
      <c r="D763" s="6" t="s">
        <v>745</v>
      </c>
      <c r="E763" s="7" t="s">
        <v>746</v>
      </c>
    </row>
    <row r="764">
      <c r="A764" s="4" t="s">
        <v>770</v>
      </c>
      <c r="B764" s="5" t="str">
        <f>IFERROR(__xludf.DUMMYFUNCTION("IF(A764="""","""",INDEX(SPLIT(A764,"" ""),COUNTA(SPLIT(A764,"" ""))))"),"Castellero")</f>
        <v>Castellero</v>
      </c>
      <c r="C764" s="6"/>
      <c r="D764" s="6" t="s">
        <v>745</v>
      </c>
      <c r="E764" s="7" t="s">
        <v>746</v>
      </c>
    </row>
    <row r="765">
      <c r="A765" s="4" t="s">
        <v>771</v>
      </c>
      <c r="B765" s="5" t="str">
        <f>IFERROR(__xludf.DUMMYFUNCTION("IF(A765="""","""",INDEX(SPLIT(A765,"" ""),COUNTA(SPLIT(A765,"" ""))))"),"Molina")</f>
        <v>Molina</v>
      </c>
      <c r="C765" s="6"/>
      <c r="D765" s="6" t="s">
        <v>745</v>
      </c>
      <c r="E765" s="7" t="s">
        <v>746</v>
      </c>
    </row>
    <row r="766">
      <c r="A766" s="4" t="s">
        <v>772</v>
      </c>
      <c r="B766" s="5" t="str">
        <f>IFERROR(__xludf.DUMMYFUNCTION("IF(A766="""","""",INDEX(SPLIT(A766,"" ""),COUNTA(SPLIT(A766,"" ""))))"),"Annone")</f>
        <v>Annone</v>
      </c>
      <c r="C766" s="6"/>
      <c r="D766" s="6" t="s">
        <v>745</v>
      </c>
      <c r="E766" s="7" t="s">
        <v>746</v>
      </c>
    </row>
    <row r="767">
      <c r="A767" s="4" t="s">
        <v>773</v>
      </c>
      <c r="B767" s="5" t="str">
        <f>IFERROR(__xludf.DUMMYFUNCTION("IF(A767="""","""",INDEX(SPLIT(A767,"" ""),COUNTA(SPLIT(A767,"" ""))))"),"Belbo")</f>
        <v>Belbo</v>
      </c>
      <c r="C767" s="6"/>
      <c r="D767" s="6" t="s">
        <v>745</v>
      </c>
      <c r="E767" s="7" t="s">
        <v>746</v>
      </c>
    </row>
    <row r="768">
      <c r="A768" s="4" t="s">
        <v>774</v>
      </c>
      <c r="B768" s="5" t="str">
        <f>IFERROR(__xludf.DUMMYFUNCTION("IF(A768="""","""",INDEX(SPLIT(A768,"" ""),COUNTA(SPLIT(A768,"" ""))))"),"Calcea")</f>
        <v>Calcea</v>
      </c>
      <c r="C768" s="6"/>
      <c r="D768" s="6" t="s">
        <v>745</v>
      </c>
      <c r="E768" s="7" t="s">
        <v>746</v>
      </c>
    </row>
    <row r="769">
      <c r="A769" s="4" t="s">
        <v>775</v>
      </c>
      <c r="B769" s="5" t="str">
        <f>IFERROR(__xludf.DUMMYFUNCTION("IF(A769="""","""",INDEX(SPLIT(A769,"" ""),COUNTA(SPLIT(A769,"" ""))))"),"Bosco")</f>
        <v>Bosco</v>
      </c>
      <c r="C769" s="6"/>
      <c r="D769" s="6" t="s">
        <v>745</v>
      </c>
      <c r="E769" s="7" t="s">
        <v>746</v>
      </c>
    </row>
    <row r="770">
      <c r="A770" s="4" t="s">
        <v>776</v>
      </c>
      <c r="B770" s="5" t="str">
        <f>IFERROR(__xludf.DUMMYFUNCTION("IF(A770="""","""",INDEX(SPLIT(A770,"" ""),COUNTA(SPLIT(A770,"" ""))))"),"Rocchero")</f>
        <v>Rocchero</v>
      </c>
      <c r="C770" s="6"/>
      <c r="D770" s="6" t="s">
        <v>745</v>
      </c>
      <c r="E770" s="7" t="s">
        <v>746</v>
      </c>
    </row>
    <row r="771">
      <c r="A771" s="4" t="s">
        <v>777</v>
      </c>
      <c r="B771" s="5" t="str">
        <f>IFERROR(__xludf.DUMMYFUNCTION("IF(A771="""","""",INDEX(SPLIT(A771,"" ""),COUNTA(SPLIT(A771,"" ""))))"),"Cellarengo")</f>
        <v>Cellarengo</v>
      </c>
      <c r="C771" s="6"/>
      <c r="D771" s="6" t="s">
        <v>745</v>
      </c>
      <c r="E771" s="7" t="s">
        <v>746</v>
      </c>
    </row>
    <row r="772">
      <c r="A772" s="4" t="s">
        <v>778</v>
      </c>
      <c r="B772" s="5" t="str">
        <f>IFERROR(__xludf.DUMMYFUNCTION("IF(A772="""","""",INDEX(SPLIT(A772,"" ""),COUNTA(SPLIT(A772,"" ""))))"),"Enomondo")</f>
        <v>Enomondo</v>
      </c>
      <c r="C772" s="6"/>
      <c r="D772" s="6" t="s">
        <v>745</v>
      </c>
      <c r="E772" s="7" t="s">
        <v>746</v>
      </c>
    </row>
    <row r="773">
      <c r="A773" s="4" t="s">
        <v>779</v>
      </c>
      <c r="B773" s="5" t="str">
        <f>IFERROR(__xludf.DUMMYFUNCTION("IF(A773="""","""",INDEX(SPLIT(A773,"" ""),COUNTA(SPLIT(A773,"" ""))))"),"d'Asti")</f>
        <v>d'Asti</v>
      </c>
      <c r="C773" s="6"/>
      <c r="D773" s="6" t="s">
        <v>745</v>
      </c>
      <c r="E773" s="7" t="s">
        <v>746</v>
      </c>
    </row>
    <row r="774">
      <c r="A774" s="4" t="s">
        <v>780</v>
      </c>
      <c r="B774" s="5" t="str">
        <f>IFERROR(__xludf.DUMMYFUNCTION("IF(A774="""","""",INDEX(SPLIT(A774,"" ""),COUNTA(SPLIT(A774,"" ""))))"),"Tanaro")</f>
        <v>Tanaro</v>
      </c>
      <c r="C774" s="6"/>
      <c r="D774" s="6" t="s">
        <v>745</v>
      </c>
      <c r="E774" s="7" t="s">
        <v>746</v>
      </c>
    </row>
    <row r="775">
      <c r="A775" s="4" t="s">
        <v>781</v>
      </c>
      <c r="B775" s="5" t="str">
        <f>IFERROR(__xludf.DUMMYFUNCTION("IF(A775="""","""",INDEX(SPLIT(A775,"" ""),COUNTA(SPLIT(A775,"" ""))))"),"Cessole")</f>
        <v>Cessole</v>
      </c>
      <c r="C775" s="6"/>
      <c r="D775" s="6" t="s">
        <v>745</v>
      </c>
      <c r="E775" s="7" t="s">
        <v>746</v>
      </c>
    </row>
    <row r="776">
      <c r="A776" s="4" t="s">
        <v>782</v>
      </c>
      <c r="B776" s="5" t="str">
        <f>IFERROR(__xludf.DUMMYFUNCTION("IF(A776="""","""",INDEX(SPLIT(A776,"" ""),COUNTA(SPLIT(A776,"" ""))))"),"d'Asti")</f>
        <v>d'Asti</v>
      </c>
      <c r="C776" s="6"/>
      <c r="D776" s="6" t="s">
        <v>745</v>
      </c>
      <c r="E776" s="7" t="s">
        <v>746</v>
      </c>
    </row>
    <row r="777">
      <c r="A777" s="4" t="s">
        <v>783</v>
      </c>
      <c r="B777" s="5" t="str">
        <f>IFERROR(__xludf.DUMMYFUNCTION("IF(A777="""","""",INDEX(SPLIT(A777,"" ""),COUNTA(SPLIT(A777,"" ""))))"),"Cinaglio")</f>
        <v>Cinaglio</v>
      </c>
      <c r="C777" s="6"/>
      <c r="D777" s="6" t="s">
        <v>745</v>
      </c>
      <c r="E777" s="7" t="s">
        <v>746</v>
      </c>
    </row>
    <row r="778">
      <c r="A778" s="4" t="s">
        <v>784</v>
      </c>
      <c r="B778" s="5" t="str">
        <f>IFERROR(__xludf.DUMMYFUNCTION("IF(A778="""","""",INDEX(SPLIT(A778,"" ""),COUNTA(SPLIT(A778,"" ""))))"),"d'Asti")</f>
        <v>d'Asti</v>
      </c>
      <c r="C778" s="6"/>
      <c r="D778" s="6" t="s">
        <v>745</v>
      </c>
      <c r="E778" s="7" t="s">
        <v>746</v>
      </c>
    </row>
    <row r="779">
      <c r="A779" s="4" t="s">
        <v>785</v>
      </c>
      <c r="B779" s="5" t="str">
        <f>IFERROR(__xludf.DUMMYFUNCTION("IF(A779="""","""",INDEX(SPLIT(A779,"" ""),COUNTA(SPLIT(A779,"" ""))))"),"Coazzolo")</f>
        <v>Coazzolo</v>
      </c>
      <c r="C779" s="6"/>
      <c r="D779" s="6" t="s">
        <v>745</v>
      </c>
      <c r="E779" s="7" t="s">
        <v>746</v>
      </c>
    </row>
    <row r="780">
      <c r="A780" s="4" t="s">
        <v>786</v>
      </c>
      <c r="B780" s="5" t="str">
        <f>IFERROR(__xludf.DUMMYFUNCTION("IF(A780="""","""",INDEX(SPLIT(A780,"" ""),COUNTA(SPLIT(A780,"" ""))))"),"Cocconato")</f>
        <v>Cocconato</v>
      </c>
      <c r="C780" s="6"/>
      <c r="D780" s="6" t="s">
        <v>745</v>
      </c>
      <c r="E780" s="7" t="s">
        <v>746</v>
      </c>
    </row>
    <row r="781">
      <c r="A781" s="4" t="s">
        <v>787</v>
      </c>
      <c r="B781" s="5" t="str">
        <f>IFERROR(__xludf.DUMMYFUNCTION("IF(A781="""","""",INDEX(SPLIT(A781,"" ""),COUNTA(SPLIT(A781,"" ""))))"),"Corsione")</f>
        <v>Corsione</v>
      </c>
      <c r="C781" s="6"/>
      <c r="D781" s="6" t="s">
        <v>745</v>
      </c>
      <c r="E781" s="7" t="s">
        <v>746</v>
      </c>
    </row>
    <row r="782">
      <c r="A782" s="4" t="s">
        <v>788</v>
      </c>
      <c r="B782" s="5" t="str">
        <f>IFERROR(__xludf.DUMMYFUNCTION("IF(A782="""","""",INDEX(SPLIT(A782,"" ""),COUNTA(SPLIT(A782,"" ""))))"),"Cortandone")</f>
        <v>Cortandone</v>
      </c>
      <c r="C782" s="6"/>
      <c r="D782" s="6" t="s">
        <v>745</v>
      </c>
      <c r="E782" s="7" t="s">
        <v>746</v>
      </c>
    </row>
    <row r="783">
      <c r="A783" s="4" t="s">
        <v>789</v>
      </c>
      <c r="B783" s="5" t="str">
        <f>IFERROR(__xludf.DUMMYFUNCTION("IF(A783="""","""",INDEX(SPLIT(A783,"" ""),COUNTA(SPLIT(A783,"" ""))))"),"Cortanze")</f>
        <v>Cortanze</v>
      </c>
      <c r="C783" s="6"/>
      <c r="D783" s="6" t="s">
        <v>745</v>
      </c>
      <c r="E783" s="7" t="s">
        <v>746</v>
      </c>
    </row>
    <row r="784">
      <c r="A784" s="4" t="s">
        <v>790</v>
      </c>
      <c r="B784" s="5" t="str">
        <f>IFERROR(__xludf.DUMMYFUNCTION("IF(A784="""","""",INDEX(SPLIT(A784,"" ""),COUNTA(SPLIT(A784,"" ""))))"),"Cortazzone")</f>
        <v>Cortazzone</v>
      </c>
      <c r="C784" s="6"/>
      <c r="D784" s="6" t="s">
        <v>745</v>
      </c>
      <c r="E784" s="7" t="s">
        <v>746</v>
      </c>
    </row>
    <row r="785">
      <c r="A785" s="4" t="s">
        <v>791</v>
      </c>
      <c r="B785" s="5" t="str">
        <f>IFERROR(__xludf.DUMMYFUNCTION("IF(A785="""","""",INDEX(SPLIT(A785,"" ""),COUNTA(SPLIT(A785,"" ""))))"),"Cortiglione")</f>
        <v>Cortiglione</v>
      </c>
      <c r="C785" s="6"/>
      <c r="D785" s="6" t="s">
        <v>745</v>
      </c>
      <c r="E785" s="7" t="s">
        <v>746</v>
      </c>
    </row>
    <row r="786">
      <c r="A786" s="4" t="s">
        <v>792</v>
      </c>
      <c r="B786" s="5" t="str">
        <f>IFERROR(__xludf.DUMMYFUNCTION("IF(A786="""","""",INDEX(SPLIT(A786,"" ""),COUNTA(SPLIT(A786,"" ""))))"),"Cossombrato")</f>
        <v>Cossombrato</v>
      </c>
      <c r="C786" s="6"/>
      <c r="D786" s="6" t="s">
        <v>745</v>
      </c>
      <c r="E786" s="7" t="s">
        <v>746</v>
      </c>
    </row>
    <row r="787">
      <c r="A787" s="4" t="s">
        <v>793</v>
      </c>
      <c r="B787" s="5" t="str">
        <f>IFERROR(__xludf.DUMMYFUNCTION("IF(A787="""","""",INDEX(SPLIT(A787,"" ""),COUNTA(SPLIT(A787,"" ""))))"),"d'Asti")</f>
        <v>d'Asti</v>
      </c>
      <c r="C787" s="6"/>
      <c r="D787" s="6" t="s">
        <v>745</v>
      </c>
      <c r="E787" s="7" t="s">
        <v>746</v>
      </c>
    </row>
    <row r="788">
      <c r="A788" s="4" t="s">
        <v>794</v>
      </c>
      <c r="B788" s="5" t="str">
        <f>IFERROR(__xludf.DUMMYFUNCTION("IF(A788="""","""",INDEX(SPLIT(A788,"" ""),COUNTA(SPLIT(A788,"" ""))))"),"Cunico")</f>
        <v>Cunico</v>
      </c>
      <c r="C788" s="6"/>
      <c r="D788" s="6" t="s">
        <v>745</v>
      </c>
      <c r="E788" s="7" t="s">
        <v>746</v>
      </c>
    </row>
    <row r="789">
      <c r="A789" s="4" t="s">
        <v>795</v>
      </c>
      <c r="B789" s="5" t="str">
        <f>IFERROR(__xludf.DUMMYFUNCTION("IF(A789="""","""",INDEX(SPLIT(A789,"" ""),COUNTA(SPLIT(A789,"" ""))))"),"Michele")</f>
        <v>Michele</v>
      </c>
      <c r="C789" s="6"/>
      <c r="D789" s="6" t="s">
        <v>745</v>
      </c>
      <c r="E789" s="7" t="s">
        <v>746</v>
      </c>
    </row>
    <row r="790">
      <c r="A790" s="4" t="s">
        <v>796</v>
      </c>
      <c r="B790" s="5" t="str">
        <f>IFERROR(__xludf.DUMMYFUNCTION("IF(A790="""","""",INDEX(SPLIT(A790,"" ""),COUNTA(SPLIT(A790,"" ""))))"),"Ferrere")</f>
        <v>Ferrere</v>
      </c>
      <c r="C790" s="6"/>
      <c r="D790" s="6" t="s">
        <v>745</v>
      </c>
      <c r="E790" s="7" t="s">
        <v>746</v>
      </c>
    </row>
    <row r="791">
      <c r="A791" s="4" t="s">
        <v>797</v>
      </c>
      <c r="B791" s="5" t="str">
        <f>IFERROR(__xludf.DUMMYFUNCTION("IF(A791="""","""",INDEX(SPLIT(A791,"" ""),COUNTA(SPLIT(A791,"" ""))))"),"Fontanile")</f>
        <v>Fontanile</v>
      </c>
      <c r="C791" s="6"/>
      <c r="D791" s="6" t="s">
        <v>745</v>
      </c>
      <c r="E791" s="7" t="s">
        <v>746</v>
      </c>
    </row>
    <row r="792">
      <c r="A792" s="4" t="s">
        <v>798</v>
      </c>
      <c r="B792" s="5" t="str">
        <f>IFERROR(__xludf.DUMMYFUNCTION("IF(A792="""","""",INDEX(SPLIT(A792,"" ""),COUNTA(SPLIT(A792,"" ""))))"),"Frinco")</f>
        <v>Frinco</v>
      </c>
      <c r="C792" s="6"/>
      <c r="D792" s="6" t="s">
        <v>745</v>
      </c>
      <c r="E792" s="7" t="s">
        <v>746</v>
      </c>
    </row>
    <row r="793">
      <c r="A793" s="4" t="s">
        <v>799</v>
      </c>
      <c r="B793" s="5" t="str">
        <f>IFERROR(__xludf.DUMMYFUNCTION("IF(A793="""","""",INDEX(SPLIT(A793,"" ""),COUNTA(SPLIT(A793,"" ""))))"),"Grana")</f>
        <v>Grana</v>
      </c>
      <c r="C793" s="6"/>
      <c r="D793" s="6" t="s">
        <v>745</v>
      </c>
      <c r="E793" s="7" t="s">
        <v>746</v>
      </c>
    </row>
    <row r="794">
      <c r="A794" s="4" t="s">
        <v>800</v>
      </c>
      <c r="B794" s="5" t="str">
        <f>IFERROR(__xludf.DUMMYFUNCTION("IF(A794="""","""",INDEX(SPLIT(A794,"" ""),COUNTA(SPLIT(A794,"" ""))))"),"Badoglio")</f>
        <v>Badoglio</v>
      </c>
      <c r="C794" s="6"/>
      <c r="D794" s="6" t="s">
        <v>745</v>
      </c>
      <c r="E794" s="7" t="s">
        <v>746</v>
      </c>
    </row>
    <row r="795">
      <c r="A795" s="4" t="s">
        <v>801</v>
      </c>
      <c r="B795" s="5" t="str">
        <f>IFERROR(__xludf.DUMMYFUNCTION("IF(A795="""","""",INDEX(SPLIT(A795,"" ""),COUNTA(SPLIT(A795,"" ""))))"),"Scapaccino")</f>
        <v>Scapaccino</v>
      </c>
      <c r="C795" s="6"/>
      <c r="D795" s="6" t="s">
        <v>745</v>
      </c>
      <c r="E795" s="7" t="s">
        <v>746</v>
      </c>
    </row>
    <row r="796">
      <c r="A796" s="4" t="s">
        <v>802</v>
      </c>
      <c r="B796" s="5" t="str">
        <f>IFERROR(__xludf.DUMMYFUNCTION("IF(A796="""","""",INDEX(SPLIT(A796,"" ""),COUNTA(SPLIT(A796,"" ""))))"),"d'Asti")</f>
        <v>d'Asti</v>
      </c>
      <c r="C796" s="6"/>
      <c r="D796" s="6" t="s">
        <v>745</v>
      </c>
      <c r="E796" s="7" t="s">
        <v>746</v>
      </c>
    </row>
    <row r="797">
      <c r="A797" s="4" t="s">
        <v>803</v>
      </c>
      <c r="B797" s="5" t="str">
        <f>IFERROR(__xludf.DUMMYFUNCTION("IF(A797="""","""",INDEX(SPLIT(A797,"" ""),COUNTA(SPLIT(A797,"" ""))))"),"Loazzolo")</f>
        <v>Loazzolo</v>
      </c>
      <c r="C797" s="6"/>
      <c r="D797" s="6" t="s">
        <v>745</v>
      </c>
      <c r="E797" s="7" t="s">
        <v>746</v>
      </c>
    </row>
    <row r="798">
      <c r="A798" s="4" t="s">
        <v>804</v>
      </c>
      <c r="B798" s="5" t="str">
        <f>IFERROR(__xludf.DUMMYFUNCTION("IF(A798="""","""",INDEX(SPLIT(A798,"" ""),COUNTA(SPLIT(A798,"" ""))))"),"Maranzana")</f>
        <v>Maranzana</v>
      </c>
      <c r="C798" s="6"/>
      <c r="D798" s="6" t="s">
        <v>745</v>
      </c>
      <c r="E798" s="7" t="s">
        <v>746</v>
      </c>
    </row>
    <row r="799">
      <c r="A799" s="4" t="s">
        <v>805</v>
      </c>
      <c r="B799" s="5" t="str">
        <f>IFERROR(__xludf.DUMMYFUNCTION("IF(A799="""","""",INDEX(SPLIT(A799,"" ""),COUNTA(SPLIT(A799,"" ""))))"),"Maretto")</f>
        <v>Maretto</v>
      </c>
      <c r="C799" s="6"/>
      <c r="D799" s="6" t="s">
        <v>745</v>
      </c>
      <c r="E799" s="7" t="s">
        <v>746</v>
      </c>
    </row>
    <row r="800">
      <c r="A800" s="4" t="s">
        <v>806</v>
      </c>
      <c r="B800" s="5" t="str">
        <f>IFERROR(__xludf.DUMMYFUNCTION("IF(A800="""","""",INDEX(SPLIT(A800,"" ""),COUNTA(SPLIT(A800,"" ""))))"),"Moasca")</f>
        <v>Moasca</v>
      </c>
      <c r="C800" s="6"/>
      <c r="D800" s="6" t="s">
        <v>745</v>
      </c>
      <c r="E800" s="7" t="s">
        <v>746</v>
      </c>
    </row>
    <row r="801">
      <c r="A801" s="4" t="s">
        <v>807</v>
      </c>
      <c r="B801" s="5" t="str">
        <f>IFERROR(__xludf.DUMMYFUNCTION("IF(A801="""","""",INDEX(SPLIT(A801,"" ""),COUNTA(SPLIT(A801,"" ""))))"),"Mombaldone")</f>
        <v>Mombaldone</v>
      </c>
      <c r="C801" s="6"/>
      <c r="D801" s="6" t="s">
        <v>745</v>
      </c>
      <c r="E801" s="7" t="s">
        <v>746</v>
      </c>
    </row>
    <row r="802">
      <c r="A802" s="4" t="s">
        <v>808</v>
      </c>
      <c r="B802" s="5" t="str">
        <f>IFERROR(__xludf.DUMMYFUNCTION("IF(A802="""","""",INDEX(SPLIT(A802,"" ""),COUNTA(SPLIT(A802,"" ""))))"),"Mombaruzzo")</f>
        <v>Mombaruzzo</v>
      </c>
      <c r="C802" s="6"/>
      <c r="D802" s="6" t="s">
        <v>745</v>
      </c>
      <c r="E802" s="7" t="s">
        <v>746</v>
      </c>
    </row>
    <row r="803">
      <c r="A803" s="4" t="s">
        <v>809</v>
      </c>
      <c r="B803" s="5" t="str">
        <f>IFERROR(__xludf.DUMMYFUNCTION("IF(A803="""","""",INDEX(SPLIT(A803,"" ""),COUNTA(SPLIT(A803,"" ""))))"),"Mombercelli")</f>
        <v>Mombercelli</v>
      </c>
      <c r="C803" s="6"/>
      <c r="D803" s="6" t="s">
        <v>745</v>
      </c>
      <c r="E803" s="7" t="s">
        <v>746</v>
      </c>
    </row>
    <row r="804">
      <c r="A804" s="4" t="s">
        <v>810</v>
      </c>
      <c r="B804" s="5" t="str">
        <f>IFERROR(__xludf.DUMMYFUNCTION("IF(A804="""","""",INDEX(SPLIT(A804,"" ""),COUNTA(SPLIT(A804,"" ""))))"),"Monale")</f>
        <v>Monale</v>
      </c>
      <c r="C804" s="6"/>
      <c r="D804" s="6" t="s">
        <v>745</v>
      </c>
      <c r="E804" s="7" t="s">
        <v>746</v>
      </c>
    </row>
    <row r="805">
      <c r="A805" s="4" t="s">
        <v>811</v>
      </c>
      <c r="B805" s="5" t="str">
        <f>IFERROR(__xludf.DUMMYFUNCTION("IF(A805="""","""",INDEX(SPLIT(A805,"" ""),COUNTA(SPLIT(A805,"" ""))))"),"Bormida")</f>
        <v>Bormida</v>
      </c>
      <c r="C805" s="6"/>
      <c r="D805" s="6" t="s">
        <v>745</v>
      </c>
      <c r="E805" s="7" t="s">
        <v>746</v>
      </c>
    </row>
    <row r="806">
      <c r="A806" s="4" t="s">
        <v>812</v>
      </c>
      <c r="B806" s="5" t="str">
        <f>IFERROR(__xludf.DUMMYFUNCTION("IF(A806="""","""",INDEX(SPLIT(A806,"" ""),COUNTA(SPLIT(A806,"" ""))))"),"Moncalvo")</f>
        <v>Moncalvo</v>
      </c>
      <c r="C806" s="6"/>
      <c r="D806" s="6" t="s">
        <v>745</v>
      </c>
      <c r="E806" s="7" t="s">
        <v>746</v>
      </c>
    </row>
    <row r="807">
      <c r="A807" s="4" t="s">
        <v>813</v>
      </c>
      <c r="B807" s="5" t="str">
        <f>IFERROR(__xludf.DUMMYFUNCTION("IF(A807="""","""",INDEX(SPLIT(A807,"" ""),COUNTA(SPLIT(A807,"" ""))))"),"Torinese")</f>
        <v>Torinese</v>
      </c>
      <c r="C807" s="6"/>
      <c r="D807" s="6" t="s">
        <v>745</v>
      </c>
      <c r="E807" s="7" t="s">
        <v>746</v>
      </c>
    </row>
    <row r="808">
      <c r="A808" s="4" t="s">
        <v>814</v>
      </c>
      <c r="B808" s="5" t="str">
        <f>IFERROR(__xludf.DUMMYFUNCTION("IF(A808="""","""",INDEX(SPLIT(A808,"" ""),COUNTA(SPLIT(A808,"" ""))))"),"Mongardino")</f>
        <v>Mongardino</v>
      </c>
      <c r="C808" s="6"/>
      <c r="D808" s="6" t="s">
        <v>745</v>
      </c>
      <c r="E808" s="7" t="s">
        <v>746</v>
      </c>
    </row>
    <row r="809">
      <c r="A809" s="4" t="s">
        <v>815</v>
      </c>
      <c r="B809" s="5" t="str">
        <f>IFERROR(__xludf.DUMMYFUNCTION("IF(A809="""","""",INDEX(SPLIT(A809,"" ""),COUNTA(SPLIT(A809,"" ""))))"),"Montabone")</f>
        <v>Montabone</v>
      </c>
      <c r="C809" s="6"/>
      <c r="D809" s="6" t="s">
        <v>745</v>
      </c>
      <c r="E809" s="7" t="s">
        <v>746</v>
      </c>
    </row>
    <row r="810">
      <c r="A810" s="4" t="s">
        <v>816</v>
      </c>
      <c r="B810" s="5" t="str">
        <f>IFERROR(__xludf.DUMMYFUNCTION("IF(A810="""","""",INDEX(SPLIT(A810,"" ""),COUNTA(SPLIT(A810,"" ""))))"),"Montafia")</f>
        <v>Montafia</v>
      </c>
      <c r="C810" s="6"/>
      <c r="D810" s="6" t="s">
        <v>745</v>
      </c>
      <c r="E810" s="7" t="s">
        <v>746</v>
      </c>
    </row>
    <row r="811">
      <c r="A811" s="4" t="s">
        <v>817</v>
      </c>
      <c r="B811" s="5" t="str">
        <f>IFERROR(__xludf.DUMMYFUNCTION("IF(A811="""","""",INDEX(SPLIT(A811,"" ""),COUNTA(SPLIT(A811,"" ""))))"),"Scarampi")</f>
        <v>Scarampi</v>
      </c>
      <c r="C811" s="6"/>
      <c r="D811" s="6" t="s">
        <v>745</v>
      </c>
      <c r="E811" s="7" t="s">
        <v>746</v>
      </c>
    </row>
    <row r="812">
      <c r="A812" s="4" t="s">
        <v>818</v>
      </c>
      <c r="B812" s="5" t="str">
        <f>IFERROR(__xludf.DUMMYFUNCTION("IF(A812="""","""",INDEX(SPLIT(A812,"" ""),COUNTA(SPLIT(A812,"" ""))))"),"d'Asti")</f>
        <v>d'Asti</v>
      </c>
      <c r="C812" s="6"/>
      <c r="D812" s="6" t="s">
        <v>745</v>
      </c>
      <c r="E812" s="7" t="s">
        <v>746</v>
      </c>
    </row>
    <row r="813">
      <c r="A813" s="4" t="s">
        <v>819</v>
      </c>
      <c r="B813" s="5" t="str">
        <f>IFERROR(__xludf.DUMMYFUNCTION("IF(A813="""","""",INDEX(SPLIT(A813,"" ""),COUNTA(SPLIT(A813,"" ""))))"),"d'Asti")</f>
        <v>d'Asti</v>
      </c>
      <c r="C813" s="6"/>
      <c r="D813" s="6" t="s">
        <v>745</v>
      </c>
      <c r="E813" s="7" t="s">
        <v>746</v>
      </c>
    </row>
    <row r="814">
      <c r="A814" s="4" t="s">
        <v>820</v>
      </c>
      <c r="B814" s="5" t="str">
        <f>IFERROR(__xludf.DUMMYFUNCTION("IF(A814="""","""",INDEX(SPLIT(A814,"" ""),COUNTA(SPLIT(A814,"" ""))))"),"Montemagno")</f>
        <v>Montemagno</v>
      </c>
      <c r="C814" s="6"/>
      <c r="D814" s="6" t="s">
        <v>745</v>
      </c>
      <c r="E814" s="7" t="s">
        <v>746</v>
      </c>
    </row>
    <row r="815">
      <c r="A815" s="4" t="s">
        <v>821</v>
      </c>
      <c r="B815" s="5" t="str">
        <f>IFERROR(__xludf.DUMMYFUNCTION("IF(A815="""","""",INDEX(SPLIT(A815,"" ""),COUNTA(SPLIT(A815,"" ""))))"),"Moransengo")</f>
        <v>Moransengo</v>
      </c>
      <c r="C815" s="6"/>
      <c r="D815" s="6" t="s">
        <v>745</v>
      </c>
      <c r="E815" s="7" t="s">
        <v>746</v>
      </c>
    </row>
    <row r="816">
      <c r="A816" s="4" t="s">
        <v>822</v>
      </c>
      <c r="B816" s="5" t="str">
        <f>IFERROR(__xludf.DUMMYFUNCTION("IF(A816="""","""",INDEX(SPLIT(A816,"" ""),COUNTA(SPLIT(A816,"" ""))))"),"Monferrato")</f>
        <v>Monferrato</v>
      </c>
      <c r="C816" s="6"/>
      <c r="D816" s="6" t="s">
        <v>745</v>
      </c>
      <c r="E816" s="7" t="s">
        <v>746</v>
      </c>
    </row>
    <row r="817">
      <c r="A817" s="4" t="s">
        <v>823</v>
      </c>
      <c r="B817" s="5" t="str">
        <f>IFERROR(__xludf.DUMMYFUNCTION("IF(A817="""","""",INDEX(SPLIT(A817,"" ""),COUNTA(SPLIT(A817,"" ""))))"),"Gentile")</f>
        <v>Gentile</v>
      </c>
      <c r="C817" s="6"/>
      <c r="D817" s="6" t="s">
        <v>745</v>
      </c>
      <c r="E817" s="7" t="s">
        <v>746</v>
      </c>
    </row>
    <row r="818">
      <c r="A818" s="4" t="s">
        <v>824</v>
      </c>
      <c r="B818" s="5" t="str">
        <f>IFERROR(__xludf.DUMMYFUNCTION("IF(A818="""","""",INDEX(SPLIT(A818,"" ""),COUNTA(SPLIT(A818,"" ""))))"),"Marmorito")</f>
        <v>Marmorito</v>
      </c>
      <c r="C818" s="6"/>
      <c r="D818" s="6" t="s">
        <v>745</v>
      </c>
      <c r="E818" s="7" t="s">
        <v>746</v>
      </c>
    </row>
    <row r="819">
      <c r="A819" s="4" t="s">
        <v>825</v>
      </c>
      <c r="B819" s="5" t="str">
        <f>IFERROR(__xludf.DUMMYFUNCTION("IF(A819="""","""",INDEX(SPLIT(A819,"" ""),COUNTA(SPLIT(A819,"" ""))))"),"Penango")</f>
        <v>Penango</v>
      </c>
      <c r="C819" s="6"/>
      <c r="D819" s="6" t="s">
        <v>745</v>
      </c>
      <c r="E819" s="7" t="s">
        <v>746</v>
      </c>
    </row>
    <row r="820">
      <c r="A820" s="4" t="s">
        <v>826</v>
      </c>
      <c r="B820" s="5" t="str">
        <f>IFERROR(__xludf.DUMMYFUNCTION("IF(A820="""","""",INDEX(SPLIT(A820,"" ""),COUNTA(SPLIT(A820,"" ""))))"),"Piea")</f>
        <v>Piea</v>
      </c>
      <c r="C820" s="6"/>
      <c r="D820" s="6" t="s">
        <v>745</v>
      </c>
      <c r="E820" s="7" t="s">
        <v>746</v>
      </c>
    </row>
    <row r="821">
      <c r="A821" s="4" t="s">
        <v>827</v>
      </c>
      <c r="B821" s="5" t="str">
        <f>IFERROR(__xludf.DUMMYFUNCTION("IF(A821="""","""",INDEX(SPLIT(A821,"" ""),COUNTA(SPLIT(A821,"" ""))))"),"d'Asti")</f>
        <v>d'Asti</v>
      </c>
      <c r="C821" s="6"/>
      <c r="D821" s="6" t="s">
        <v>745</v>
      </c>
      <c r="E821" s="7" t="s">
        <v>746</v>
      </c>
    </row>
    <row r="822">
      <c r="A822" s="4" t="s">
        <v>828</v>
      </c>
      <c r="B822" s="5" t="str">
        <f>IFERROR(__xludf.DUMMYFUNCTION("IF(A822="""","""",INDEX(SPLIT(A822,"" ""),COUNTA(SPLIT(A822,"" ""))))"),"Massaia")</f>
        <v>Massaia</v>
      </c>
      <c r="C822" s="6"/>
      <c r="D822" s="6" t="s">
        <v>745</v>
      </c>
      <c r="E822" s="7" t="s">
        <v>746</v>
      </c>
    </row>
    <row r="823">
      <c r="A823" s="4" t="s">
        <v>829</v>
      </c>
      <c r="B823" s="5" t="str">
        <f>IFERROR(__xludf.DUMMYFUNCTION("IF(A823="""","""",INDEX(SPLIT(A823,"" ""),COUNTA(SPLIT(A823,"" ""))))"),"Portacomaro")</f>
        <v>Portacomaro</v>
      </c>
      <c r="C823" s="6"/>
      <c r="D823" s="6" t="s">
        <v>745</v>
      </c>
      <c r="E823" s="7" t="s">
        <v>746</v>
      </c>
    </row>
    <row r="824">
      <c r="A824" s="4" t="s">
        <v>830</v>
      </c>
      <c r="B824" s="5" t="str">
        <f>IFERROR(__xludf.DUMMYFUNCTION("IF(A824="""","""",INDEX(SPLIT(A824,"" ""),COUNTA(SPLIT(A824,"" ""))))"),"Quaranti")</f>
        <v>Quaranti</v>
      </c>
      <c r="C824" s="6"/>
      <c r="D824" s="6" t="s">
        <v>745</v>
      </c>
      <c r="E824" s="7" t="s">
        <v>746</v>
      </c>
    </row>
    <row r="825">
      <c r="A825" s="4" t="s">
        <v>831</v>
      </c>
      <c r="B825" s="5" t="str">
        <f>IFERROR(__xludf.DUMMYFUNCTION("IF(A825="""","""",INDEX(SPLIT(A825,"" ""),COUNTA(SPLIT(A825,"" ""))))"),"Refrancore")</f>
        <v>Refrancore</v>
      </c>
      <c r="C825" s="6"/>
      <c r="D825" s="6" t="s">
        <v>745</v>
      </c>
      <c r="E825" s="7" t="s">
        <v>746</v>
      </c>
    </row>
    <row r="826">
      <c r="A826" s="4" t="s">
        <v>832</v>
      </c>
      <c r="B826" s="5" t="str">
        <f>IFERROR(__xludf.DUMMYFUNCTION("IF(A826="""","""",INDEX(SPLIT(A826,"" ""),COUNTA(SPLIT(A826,"" ""))))"),"d'Asti")</f>
        <v>d'Asti</v>
      </c>
      <c r="C826" s="6"/>
      <c r="D826" s="6" t="s">
        <v>745</v>
      </c>
      <c r="E826" s="7" t="s">
        <v>746</v>
      </c>
    </row>
    <row r="827">
      <c r="A827" s="4" t="s">
        <v>833</v>
      </c>
      <c r="B827" s="5" t="str">
        <f>IFERROR(__xludf.DUMMYFUNCTION("IF(A827="""","""",INDEX(SPLIT(A827,"" ""),COUNTA(SPLIT(A827,"" ""))))"),"Roatto")</f>
        <v>Roatto</v>
      </c>
      <c r="C827" s="6"/>
      <c r="D827" s="6" t="s">
        <v>745</v>
      </c>
      <c r="E827" s="7" t="s">
        <v>746</v>
      </c>
    </row>
    <row r="828">
      <c r="A828" s="4" t="s">
        <v>834</v>
      </c>
      <c r="B828" s="5" t="str">
        <f>IFERROR(__xludf.DUMMYFUNCTION("IF(A828="""","""",INDEX(SPLIT(A828,"" ""),COUNTA(SPLIT(A828,"" ""))))"),"Robella")</f>
        <v>Robella</v>
      </c>
      <c r="C828" s="6"/>
      <c r="D828" s="6" t="s">
        <v>745</v>
      </c>
      <c r="E828" s="7" t="s">
        <v>746</v>
      </c>
    </row>
    <row r="829">
      <c r="A829" s="4" t="s">
        <v>835</v>
      </c>
      <c r="B829" s="5" t="str">
        <f>IFERROR(__xludf.DUMMYFUNCTION("IF(A829="""","""",INDEX(SPLIT(A829,"" ""),COUNTA(SPLIT(A829,"" ""))))"),"d'Arazzo")</f>
        <v>d'Arazzo</v>
      </c>
      <c r="C829" s="6"/>
      <c r="D829" s="6" t="s">
        <v>745</v>
      </c>
      <c r="E829" s="7" t="s">
        <v>746</v>
      </c>
    </row>
    <row r="830">
      <c r="A830" s="4" t="s">
        <v>836</v>
      </c>
      <c r="B830" s="5" t="str">
        <f>IFERROR(__xludf.DUMMYFUNCTION("IF(A830="""","""",INDEX(SPLIT(A830,"" ""),COUNTA(SPLIT(A830,"" ""))))"),"Roccaverano")</f>
        <v>Roccaverano</v>
      </c>
      <c r="C830" s="6"/>
      <c r="D830" s="6" t="s">
        <v>745</v>
      </c>
      <c r="E830" s="7" t="s">
        <v>746</v>
      </c>
    </row>
    <row r="831">
      <c r="A831" s="4" t="s">
        <v>837</v>
      </c>
      <c r="B831" s="5" t="str">
        <f>IFERROR(__xludf.DUMMYFUNCTION("IF(A831="""","""",INDEX(SPLIT(A831,"" ""),COUNTA(SPLIT(A831,"" ""))))"),"Palafea")</f>
        <v>Palafea</v>
      </c>
      <c r="C831" s="6"/>
      <c r="D831" s="6" t="s">
        <v>745</v>
      </c>
      <c r="E831" s="7" t="s">
        <v>746</v>
      </c>
    </row>
    <row r="832">
      <c r="A832" s="4" t="s">
        <v>838</v>
      </c>
      <c r="B832" s="5" t="str">
        <f>IFERROR(__xludf.DUMMYFUNCTION("IF(A832="""","""",INDEX(SPLIT(A832,"" ""),COUNTA(SPLIT(A832,"" ""))))"),"Tanaro")</f>
        <v>Tanaro</v>
      </c>
      <c r="C832" s="6"/>
      <c r="D832" s="6" t="s">
        <v>745</v>
      </c>
      <c r="E832" s="7" t="s">
        <v>746</v>
      </c>
    </row>
    <row r="833">
      <c r="A833" s="4" t="s">
        <v>839</v>
      </c>
      <c r="B833" s="5" t="str">
        <f>IFERROR(__xludf.DUMMYFUNCTION("IF(A833="""","""",INDEX(SPLIT(A833,"" ""),COUNTA(SPLIT(A833,"" ""))))"),"d'Asti")</f>
        <v>d'Asti</v>
      </c>
      <c r="C833" s="6"/>
      <c r="D833" s="6" t="s">
        <v>745</v>
      </c>
      <c r="E833" s="7" t="s">
        <v>746</v>
      </c>
    </row>
    <row r="834">
      <c r="A834" s="4" t="s">
        <v>840</v>
      </c>
      <c r="B834" s="5" t="str">
        <f>IFERROR(__xludf.DUMMYFUNCTION("IF(A834="""","""",INDEX(SPLIT(A834,"" ""),COUNTA(SPLIT(A834,"" ""))))"),"Scarampi")</f>
        <v>Scarampi</v>
      </c>
      <c r="C834" s="6"/>
      <c r="D834" s="6" t="s">
        <v>745</v>
      </c>
      <c r="E834" s="7" t="s">
        <v>746</v>
      </c>
    </row>
    <row r="835">
      <c r="A835" s="4" t="s">
        <v>841</v>
      </c>
      <c r="B835" s="5" t="str">
        <f>IFERROR(__xludf.DUMMYFUNCTION("IF(A835="""","""",INDEX(SPLIT(A835,"" ""),COUNTA(SPLIT(A835,"" ""))))"),"Alfieri")</f>
        <v>Alfieri</v>
      </c>
      <c r="C835" s="6"/>
      <c r="D835" s="6" t="s">
        <v>745</v>
      </c>
      <c r="E835" s="7" t="s">
        <v>746</v>
      </c>
    </row>
    <row r="836">
      <c r="A836" s="4" t="s">
        <v>842</v>
      </c>
      <c r="B836" s="5" t="str">
        <f>IFERROR(__xludf.DUMMYFUNCTION("IF(A836="""","""",INDEX(SPLIT(A836,"" ""),COUNTA(SPLIT(A836,"" ""))))"),"Oliveto")</f>
        <v>Oliveto</v>
      </c>
      <c r="C836" s="6"/>
      <c r="D836" s="6" t="s">
        <v>745</v>
      </c>
      <c r="E836" s="7" t="s">
        <v>746</v>
      </c>
    </row>
    <row r="837">
      <c r="A837" s="4" t="s">
        <v>843</v>
      </c>
      <c r="B837" s="5" t="str">
        <f>IFERROR(__xludf.DUMMYFUNCTION("IF(A837="""","""",INDEX(SPLIT(A837,"" ""),COUNTA(SPLIT(A837,"" ""))))"),"Solbrito")</f>
        <v>Solbrito</v>
      </c>
      <c r="C837" s="6"/>
      <c r="D837" s="6" t="s">
        <v>745</v>
      </c>
      <c r="E837" s="7" t="s">
        <v>746</v>
      </c>
    </row>
    <row r="838">
      <c r="A838" s="4" t="s">
        <v>844</v>
      </c>
      <c r="B838" s="5" t="str">
        <f>IFERROR(__xludf.DUMMYFUNCTION("IF(A838="""","""",INDEX(SPLIT(A838,"" ""),COUNTA(SPLIT(A838,"" ""))))"),"Scurzolengo")</f>
        <v>Scurzolengo</v>
      </c>
      <c r="C838" s="6"/>
      <c r="D838" s="6" t="s">
        <v>745</v>
      </c>
      <c r="E838" s="7" t="s">
        <v>746</v>
      </c>
    </row>
    <row r="839">
      <c r="A839" s="4" t="s">
        <v>845</v>
      </c>
      <c r="B839" s="5" t="str">
        <f>IFERROR(__xludf.DUMMYFUNCTION("IF(A839="""","""",INDEX(SPLIT(A839,"" ""),COUNTA(SPLIT(A839,"" ""))))"),"Serole")</f>
        <v>Serole</v>
      </c>
      <c r="C839" s="6"/>
      <c r="D839" s="6" t="s">
        <v>745</v>
      </c>
      <c r="E839" s="7" t="s">
        <v>746</v>
      </c>
    </row>
    <row r="840">
      <c r="A840" s="4" t="s">
        <v>846</v>
      </c>
      <c r="B840" s="5" t="str">
        <f>IFERROR(__xludf.DUMMYFUNCTION("IF(A840="""","""",INDEX(SPLIT(A840,"" ""),COUNTA(SPLIT(A840,"" ""))))"),"Sessame")</f>
        <v>Sessame</v>
      </c>
      <c r="C840" s="6"/>
      <c r="D840" s="6" t="s">
        <v>745</v>
      </c>
      <c r="E840" s="7" t="s">
        <v>746</v>
      </c>
    </row>
    <row r="841">
      <c r="A841" s="4" t="s">
        <v>847</v>
      </c>
      <c r="B841" s="5" t="str">
        <f>IFERROR(__xludf.DUMMYFUNCTION("IF(A841="""","""",INDEX(SPLIT(A841,"" ""),COUNTA(SPLIT(A841,"" ""))))"),"Settime")</f>
        <v>Settime</v>
      </c>
      <c r="C841" s="6"/>
      <c r="D841" s="6" t="s">
        <v>745</v>
      </c>
      <c r="E841" s="7" t="s">
        <v>746</v>
      </c>
    </row>
    <row r="842">
      <c r="A842" s="4" t="s">
        <v>848</v>
      </c>
      <c r="B842" s="5" t="str">
        <f>IFERROR(__xludf.DUMMYFUNCTION("IF(A842="""","""",INDEX(SPLIT(A842,"" ""),COUNTA(SPLIT(A842,"" ""))))"),"Soglio")</f>
        <v>Soglio</v>
      </c>
      <c r="C842" s="6"/>
      <c r="D842" s="6" t="s">
        <v>745</v>
      </c>
      <c r="E842" s="7" t="s">
        <v>746</v>
      </c>
    </row>
    <row r="843">
      <c r="A843" s="4" t="s">
        <v>849</v>
      </c>
      <c r="B843" s="5" t="str">
        <f>IFERROR(__xludf.DUMMYFUNCTION("IF(A843="""","""",INDEX(SPLIT(A843,"" ""),COUNTA(SPLIT(A843,"" ""))))"),"Tigliole")</f>
        <v>Tigliole</v>
      </c>
      <c r="C843" s="6"/>
      <c r="D843" s="6" t="s">
        <v>745</v>
      </c>
      <c r="E843" s="7" t="s">
        <v>746</v>
      </c>
    </row>
    <row r="844">
      <c r="A844" s="4" t="s">
        <v>850</v>
      </c>
      <c r="B844" s="5" t="str">
        <f>IFERROR(__xludf.DUMMYFUNCTION("IF(A844="""","""",INDEX(SPLIT(A844,"" ""),COUNTA(SPLIT(A844,"" ""))))"),"Tonco")</f>
        <v>Tonco</v>
      </c>
      <c r="C844" s="6"/>
      <c r="D844" s="6" t="s">
        <v>745</v>
      </c>
      <c r="E844" s="7" t="s">
        <v>746</v>
      </c>
    </row>
    <row r="845">
      <c r="A845" s="4" t="s">
        <v>851</v>
      </c>
      <c r="B845" s="5" t="str">
        <f>IFERROR(__xludf.DUMMYFUNCTION("IF(A845="""","""",INDEX(SPLIT(A845,"" ""),COUNTA(SPLIT(A845,"" ""))))"),"Tonengo")</f>
        <v>Tonengo</v>
      </c>
      <c r="C845" s="6"/>
      <c r="D845" s="6" t="s">
        <v>745</v>
      </c>
      <c r="E845" s="7" t="s">
        <v>746</v>
      </c>
    </row>
    <row r="846">
      <c r="A846" s="4" t="s">
        <v>852</v>
      </c>
      <c r="B846" s="5" t="str">
        <f>IFERROR(__xludf.DUMMYFUNCTION("IF(A846="""","""",INDEX(SPLIT(A846,"" ""),COUNTA(SPLIT(A846,"" ""))))"),"Serra")</f>
        <v>Serra</v>
      </c>
      <c r="C846" s="6"/>
      <c r="D846" s="6" t="s">
        <v>745</v>
      </c>
      <c r="E846" s="7" t="s">
        <v>746</v>
      </c>
    </row>
    <row r="847">
      <c r="A847" s="4" t="s">
        <v>853</v>
      </c>
      <c r="B847" s="5" t="str">
        <f>IFERROR(__xludf.DUMMYFUNCTION("IF(A847="""","""",INDEX(SPLIT(A847,"" ""),COUNTA(SPLIT(A847,"" ""))))"),"Valfenera")</f>
        <v>Valfenera</v>
      </c>
      <c r="C847" s="6"/>
      <c r="D847" s="6" t="s">
        <v>745</v>
      </c>
      <c r="E847" s="7" t="s">
        <v>746</v>
      </c>
    </row>
    <row r="848">
      <c r="A848" s="4" t="s">
        <v>854</v>
      </c>
      <c r="B848" s="5" t="str">
        <f>IFERROR(__xludf.DUMMYFUNCTION("IF(A848="""","""",INDEX(SPLIT(A848,"" ""),COUNTA(SPLIT(A848,"" ""))))"),"Vesime")</f>
        <v>Vesime</v>
      </c>
      <c r="C848" s="6"/>
      <c r="D848" s="6" t="s">
        <v>745</v>
      </c>
      <c r="E848" s="7" t="s">
        <v>746</v>
      </c>
    </row>
    <row r="849">
      <c r="A849" s="4" t="s">
        <v>855</v>
      </c>
      <c r="B849" s="5" t="str">
        <f>IFERROR(__xludf.DUMMYFUNCTION("IF(A849="""","""",INDEX(SPLIT(A849,"" ""),COUNTA(SPLIT(A849,"" ""))))"),"Viale")</f>
        <v>Viale</v>
      </c>
      <c r="C849" s="6"/>
      <c r="D849" s="6" t="s">
        <v>745</v>
      </c>
      <c r="E849" s="7" t="s">
        <v>746</v>
      </c>
    </row>
    <row r="850">
      <c r="A850" s="4" t="s">
        <v>856</v>
      </c>
      <c r="B850" s="5" t="str">
        <f>IFERROR(__xludf.DUMMYFUNCTION("IF(A850="""","""",INDEX(SPLIT(A850,"" ""),COUNTA(SPLIT(A850,"" ""))))"),"Viarigi")</f>
        <v>Viarigi</v>
      </c>
      <c r="C850" s="6"/>
      <c r="D850" s="6" t="s">
        <v>745</v>
      </c>
      <c r="E850" s="7" t="s">
        <v>746</v>
      </c>
    </row>
    <row r="851">
      <c r="A851" s="4" t="s">
        <v>857</v>
      </c>
      <c r="B851" s="5" t="str">
        <f>IFERROR(__xludf.DUMMYFUNCTION("IF(A851="""","""",INDEX(SPLIT(A851,"" ""),COUNTA(SPLIT(A851,"" ""))))"),"d'Asti")</f>
        <v>d'Asti</v>
      </c>
      <c r="C851" s="6"/>
      <c r="D851" s="6" t="s">
        <v>745</v>
      </c>
      <c r="E851" s="7" t="s">
        <v>746</v>
      </c>
    </row>
    <row r="852">
      <c r="A852" s="4" t="s">
        <v>858</v>
      </c>
      <c r="B852" s="5" t="str">
        <f>IFERROR(__xludf.DUMMYFUNCTION("IF(A852="""","""",INDEX(SPLIT(A852,"" ""),COUNTA(SPLIT(A852,"" ""))))"),"d'Asti")</f>
        <v>d'Asti</v>
      </c>
      <c r="C852" s="6"/>
      <c r="D852" s="6" t="s">
        <v>745</v>
      </c>
      <c r="E852" s="7" t="s">
        <v>746</v>
      </c>
    </row>
    <row r="853">
      <c r="A853" s="4" t="s">
        <v>859</v>
      </c>
      <c r="B853" s="5" t="str">
        <f>IFERROR(__xludf.DUMMYFUNCTION("IF(A853="""","""",INDEX(SPLIT(A853,"" ""),COUNTA(SPLIT(A853,"" ""))))"),"d'Asti")</f>
        <v>d'Asti</v>
      </c>
      <c r="C853" s="6"/>
      <c r="D853" s="6" t="s">
        <v>745</v>
      </c>
      <c r="E853" s="7" t="s">
        <v>746</v>
      </c>
    </row>
    <row r="854">
      <c r="A854" s="4" t="s">
        <v>860</v>
      </c>
      <c r="B854" s="5" t="str">
        <f>IFERROR(__xludf.DUMMYFUNCTION("IF(A854="""","""",INDEX(SPLIT(A854,"" ""),COUNTA(SPLIT(A854,"" ""))))"),"Secondo")</f>
        <v>Secondo</v>
      </c>
      <c r="C854" s="6"/>
      <c r="D854" s="6" t="s">
        <v>745</v>
      </c>
      <c r="E854" s="7" t="s">
        <v>746</v>
      </c>
    </row>
    <row r="855">
      <c r="A855" s="4" t="s">
        <v>861</v>
      </c>
      <c r="B855" s="5" t="str">
        <f>IFERROR(__xludf.DUMMYFUNCTION("IF(A855="""","""",INDEX(SPLIT(A855,"" ""),COUNTA(SPLIT(A855,"" ""))))"),"Vinchio")</f>
        <v>Vinchio</v>
      </c>
      <c r="C855" s="6"/>
      <c r="D855" s="6" t="s">
        <v>745</v>
      </c>
      <c r="E855" s="7" t="s">
        <v>746</v>
      </c>
    </row>
    <row r="856">
      <c r="A856" s="4" t="s">
        <v>862</v>
      </c>
      <c r="B856" s="5" t="str">
        <f>IFERROR(__xludf.DUMMYFUNCTION("IF(A856="""","""",INDEX(SPLIT(A856,"" ""),COUNTA(SPLIT(A856,"" ""))))"),"Monferrato")</f>
        <v>Monferrato</v>
      </c>
      <c r="C856" s="6"/>
      <c r="D856" s="6" t="s">
        <v>745</v>
      </c>
      <c r="E856" s="7" t="s">
        <v>746</v>
      </c>
    </row>
    <row r="857">
      <c r="A857" s="4" t="s">
        <v>863</v>
      </c>
      <c r="B857" s="5" t="str">
        <f>IFERROR(__xludf.DUMMYFUNCTION("IF(A857="""","""",INDEX(SPLIT(A857,"" ""),COUNTA(SPLIT(A857,"" ""))))"),"Terme")</f>
        <v>Terme</v>
      </c>
      <c r="C857" s="6"/>
      <c r="D857" s="6" t="s">
        <v>864</v>
      </c>
      <c r="E857" s="7" t="s">
        <v>865</v>
      </c>
    </row>
    <row r="858">
      <c r="A858" s="4" t="s">
        <v>866</v>
      </c>
      <c r="B858" s="5" t="str">
        <f>IFERROR(__xludf.DUMMYFUNCTION("IF(A858="""","""",INDEX(SPLIT(A858,"" ""),COUNTA(SPLIT(A858,"" ""))))"),"Ligure")</f>
        <v>Ligure</v>
      </c>
      <c r="C858" s="6"/>
      <c r="D858" s="6" t="s">
        <v>864</v>
      </c>
      <c r="E858" s="7" t="s">
        <v>865</v>
      </c>
    </row>
    <row r="859">
      <c r="A859" s="4" t="s">
        <v>864</v>
      </c>
      <c r="B859" s="5" t="str">
        <f>IFERROR(__xludf.DUMMYFUNCTION("IF(A859="""","""",INDEX(SPLIT(A859,"" ""),COUNTA(SPLIT(A859,"" ""))))"),"Alessandria")</f>
        <v>Alessandria</v>
      </c>
      <c r="C859" s="6"/>
      <c r="D859" s="6" t="s">
        <v>864</v>
      </c>
      <c r="E859" s="7" t="s">
        <v>865</v>
      </c>
    </row>
    <row r="860">
      <c r="A860" s="4" t="s">
        <v>867</v>
      </c>
      <c r="B860" s="5" t="str">
        <f>IFERROR(__xludf.DUMMYFUNCTION("IF(A860="""","""",INDEX(SPLIT(A860,"" ""),COUNTA(SPLIT(A860,"" ""))))"),"Natta")</f>
        <v>Natta</v>
      </c>
      <c r="C860" s="6"/>
      <c r="D860" s="6" t="s">
        <v>864</v>
      </c>
      <c r="E860" s="7" t="s">
        <v>865</v>
      </c>
    </row>
    <row r="861">
      <c r="A861" s="4" t="s">
        <v>868</v>
      </c>
      <c r="B861" s="5" t="str">
        <f>IFERROR(__xludf.DUMMYFUNCTION("IF(A861="""","""",INDEX(SPLIT(A861,"" ""),COUNTA(SPLIT(A861,"" ""))))"),"Colle")</f>
        <v>Colle</v>
      </c>
      <c r="C861" s="6"/>
      <c r="D861" s="6" t="s">
        <v>864</v>
      </c>
      <c r="E861" s="7" t="s">
        <v>865</v>
      </c>
    </row>
    <row r="862">
      <c r="A862" s="4" t="s">
        <v>869</v>
      </c>
      <c r="B862" s="5" t="str">
        <f>IFERROR(__xludf.DUMMYFUNCTION("IF(A862="""","""",INDEX(SPLIT(A862,"" ""),COUNTA(SPLIT(A862,"" ""))))"),"Monferrato")</f>
        <v>Monferrato</v>
      </c>
      <c r="C862" s="6"/>
      <c r="D862" s="6" t="s">
        <v>864</v>
      </c>
      <c r="E862" s="7" t="s">
        <v>865</v>
      </c>
    </row>
    <row r="863">
      <c r="A863" s="4" t="s">
        <v>870</v>
      </c>
      <c r="B863" s="5" t="str">
        <f>IFERROR(__xludf.DUMMYFUNCTION("IF(A863="""","""",INDEX(SPLIT(A863,"" ""),COUNTA(SPLIT(A863,"" ""))))"),"Scrivia")</f>
        <v>Scrivia</v>
      </c>
      <c r="C863" s="6"/>
      <c r="D863" s="6" t="s">
        <v>864</v>
      </c>
      <c r="E863" s="7" t="s">
        <v>865</v>
      </c>
    </row>
    <row r="864">
      <c r="A864" s="4" t="s">
        <v>871</v>
      </c>
      <c r="B864" s="5" t="str">
        <f>IFERROR(__xludf.DUMMYFUNCTION("IF(A864="""","""",INDEX(SPLIT(A864,"" ""),COUNTA(SPLIT(A864,"" ""))))"),"Scrivia")</f>
        <v>Scrivia</v>
      </c>
      <c r="C864" s="6"/>
      <c r="D864" s="6" t="s">
        <v>864</v>
      </c>
      <c r="E864" s="7" t="s">
        <v>865</v>
      </c>
    </row>
    <row r="865">
      <c r="A865" s="4" t="s">
        <v>872</v>
      </c>
      <c r="B865" s="5" t="str">
        <f>IFERROR(__xludf.DUMMYFUNCTION("IF(A865="""","""",INDEX(SPLIT(A865,"" ""),COUNTA(SPLIT(A865,"" ""))))"),"Avolasca")</f>
        <v>Avolasca</v>
      </c>
      <c r="C865" s="6"/>
      <c r="D865" s="6" t="s">
        <v>864</v>
      </c>
      <c r="E865" s="7" t="s">
        <v>865</v>
      </c>
    </row>
    <row r="866">
      <c r="A866" s="4" t="s">
        <v>873</v>
      </c>
      <c r="B866" s="5" t="str">
        <f>IFERROR(__xludf.DUMMYFUNCTION("IF(A866="""","""",INDEX(SPLIT(A866,"" ""),COUNTA(SPLIT(A866,"" ""))))"),"Balzola")</f>
        <v>Balzola</v>
      </c>
      <c r="C866" s="6"/>
      <c r="D866" s="6" t="s">
        <v>864</v>
      </c>
      <c r="E866" s="7" t="s">
        <v>865</v>
      </c>
    </row>
    <row r="867">
      <c r="A867" s="4" t="s">
        <v>874</v>
      </c>
      <c r="B867" s="5" t="str">
        <f>IFERROR(__xludf.DUMMYFUNCTION("IF(A867="""","""",INDEX(SPLIT(A867,"" ""),COUNTA(SPLIT(A867,"" ""))))"),"Basaluzzo")</f>
        <v>Basaluzzo</v>
      </c>
      <c r="C867" s="6"/>
      <c r="D867" s="6" t="s">
        <v>864</v>
      </c>
      <c r="E867" s="7" t="s">
        <v>865</v>
      </c>
    </row>
    <row r="868">
      <c r="A868" s="4" t="s">
        <v>875</v>
      </c>
      <c r="B868" s="5" t="str">
        <f>IFERROR(__xludf.DUMMYFUNCTION("IF(A868="""","""",INDEX(SPLIT(A868,"" ""),COUNTA(SPLIT(A868,"" ""))))"),"Bassignana")</f>
        <v>Bassignana</v>
      </c>
      <c r="C868" s="6"/>
      <c r="D868" s="6" t="s">
        <v>864</v>
      </c>
      <c r="E868" s="7" t="s">
        <v>865</v>
      </c>
    </row>
    <row r="869">
      <c r="A869" s="4" t="s">
        <v>876</v>
      </c>
      <c r="B869" s="5" t="str">
        <f>IFERROR(__xludf.DUMMYFUNCTION("IF(A869="""","""",INDEX(SPLIT(A869,"" ""),COUNTA(SPLIT(A869,"" ""))))"),"Monferrato")</f>
        <v>Monferrato</v>
      </c>
      <c r="C869" s="6"/>
      <c r="D869" s="6" t="s">
        <v>864</v>
      </c>
      <c r="E869" s="7" t="s">
        <v>865</v>
      </c>
    </row>
    <row r="870">
      <c r="A870" s="4" t="s">
        <v>877</v>
      </c>
      <c r="B870" s="5" t="str">
        <f>IFERROR(__xludf.DUMMYFUNCTION("IF(A870="""","""",INDEX(SPLIT(A870,"" ""),COUNTA(SPLIT(A870,"" ""))))"),"Bergamasco")</f>
        <v>Bergamasco</v>
      </c>
      <c r="C870" s="6"/>
      <c r="D870" s="6" t="s">
        <v>864</v>
      </c>
      <c r="E870" s="7" t="s">
        <v>865</v>
      </c>
    </row>
    <row r="871">
      <c r="A871" s="4" t="s">
        <v>878</v>
      </c>
      <c r="B871" s="5" t="str">
        <f>IFERROR(__xludf.DUMMYFUNCTION("IF(A871="""","""",INDEX(SPLIT(A871,"" ""),COUNTA(SPLIT(A871,"" ""))))"),"Tortona")</f>
        <v>Tortona</v>
      </c>
      <c r="C871" s="6"/>
      <c r="D871" s="6" t="s">
        <v>864</v>
      </c>
      <c r="E871" s="7" t="s">
        <v>865</v>
      </c>
    </row>
    <row r="872">
      <c r="A872" s="4" t="s">
        <v>879</v>
      </c>
      <c r="B872" s="5" t="str">
        <f>IFERROR(__xludf.DUMMYFUNCTION("IF(A872="""","""",INDEX(SPLIT(A872,"" ""),COUNTA(SPLIT(A872,"" ""))))"),"Bistagno")</f>
        <v>Bistagno</v>
      </c>
      <c r="C872" s="6"/>
      <c r="D872" s="6" t="s">
        <v>864</v>
      </c>
      <c r="E872" s="7" t="s">
        <v>865</v>
      </c>
    </row>
    <row r="873">
      <c r="A873" s="4" t="s">
        <v>880</v>
      </c>
      <c r="B873" s="5" t="str">
        <f>IFERROR(__xludf.DUMMYFUNCTION("IF(A873="""","""",INDEX(SPLIT(A873,"" ""),COUNTA(SPLIT(A873,"" ""))))"),"Borbera")</f>
        <v>Borbera</v>
      </c>
      <c r="C873" s="6"/>
      <c r="D873" s="6" t="s">
        <v>864</v>
      </c>
      <c r="E873" s="7" t="s">
        <v>865</v>
      </c>
    </row>
    <row r="874">
      <c r="A874" s="4" t="s">
        <v>881</v>
      </c>
      <c r="B874" s="5" t="str">
        <f>IFERROR(__xludf.DUMMYFUNCTION("IF(A874="""","""",INDEX(SPLIT(A874,"" ""),COUNTA(SPLIT(A874,"" ""))))"),"Alessandrino")</f>
        <v>Alessandrino</v>
      </c>
      <c r="C874" s="6"/>
      <c r="D874" s="6" t="s">
        <v>864</v>
      </c>
      <c r="E874" s="7" t="s">
        <v>865</v>
      </c>
    </row>
    <row r="875">
      <c r="A875" s="4" t="s">
        <v>882</v>
      </c>
      <c r="B875" s="5" t="str">
        <f>IFERROR(__xludf.DUMMYFUNCTION("IF(A875="""","""",INDEX(SPLIT(A875,"" ""),COUNTA(SPLIT(A875,"" ""))))"),"Martino")</f>
        <v>Martino</v>
      </c>
      <c r="C875" s="6"/>
      <c r="D875" s="6" t="s">
        <v>864</v>
      </c>
      <c r="E875" s="7" t="s">
        <v>865</v>
      </c>
    </row>
    <row r="876">
      <c r="A876" s="4" t="s">
        <v>883</v>
      </c>
      <c r="B876" s="5" t="str">
        <f>IFERROR(__xludf.DUMMYFUNCTION("IF(A876="""","""",INDEX(SPLIT(A876,"" ""),COUNTA(SPLIT(A876,"" ""))))"),"Marengo")</f>
        <v>Marengo</v>
      </c>
      <c r="C876" s="6"/>
      <c r="D876" s="6" t="s">
        <v>864</v>
      </c>
      <c r="E876" s="7" t="s">
        <v>865</v>
      </c>
    </row>
    <row r="877">
      <c r="A877" s="4" t="s">
        <v>884</v>
      </c>
      <c r="B877" s="5" t="str">
        <f>IFERROR(__xludf.DUMMYFUNCTION("IF(A877="""","""",INDEX(SPLIT(A877,"" ""),COUNTA(SPLIT(A877,"" ""))))"),"Bosio")</f>
        <v>Bosio</v>
      </c>
      <c r="C877" s="6"/>
      <c r="D877" s="6" t="s">
        <v>864</v>
      </c>
      <c r="E877" s="7" t="s">
        <v>865</v>
      </c>
    </row>
    <row r="878">
      <c r="A878" s="4" t="s">
        <v>885</v>
      </c>
      <c r="B878" s="5" t="str">
        <f>IFERROR(__xludf.DUMMYFUNCTION("IF(A878="""","""",INDEX(SPLIT(A878,"" ""),COUNTA(SPLIT(A878,"" ""))))"),"Bozzole")</f>
        <v>Bozzole</v>
      </c>
      <c r="C878" s="6"/>
      <c r="D878" s="6" t="s">
        <v>864</v>
      </c>
      <c r="E878" s="7" t="s">
        <v>865</v>
      </c>
    </row>
    <row r="879">
      <c r="A879" s="4" t="s">
        <v>886</v>
      </c>
      <c r="B879" s="5" t="str">
        <f>IFERROR(__xludf.DUMMYFUNCTION("IF(A879="""","""",INDEX(SPLIT(A879,"" ""),COUNTA(SPLIT(A879,"" ""))))"),"BrignanoFrascata")</f>
        <v>BrignanoFrascata</v>
      </c>
      <c r="C879" s="6"/>
      <c r="D879" s="6" t="s">
        <v>864</v>
      </c>
      <c r="E879" s="7" t="s">
        <v>865</v>
      </c>
    </row>
    <row r="880">
      <c r="A880" s="4" t="s">
        <v>887</v>
      </c>
      <c r="B880" s="5" t="str">
        <f>IFERROR(__xludf.DUMMYFUNCTION("IF(A880="""","""",INDEX(SPLIT(A880,"" ""),COUNTA(SPLIT(A880,"" ""))))"),"Ligure")</f>
        <v>Ligure</v>
      </c>
      <c r="C880" s="6"/>
      <c r="D880" s="6" t="s">
        <v>864</v>
      </c>
      <c r="E880" s="7" t="s">
        <v>865</v>
      </c>
    </row>
    <row r="881">
      <c r="A881" s="4" t="s">
        <v>888</v>
      </c>
      <c r="B881" s="5" t="str">
        <f>IFERROR(__xludf.DUMMYFUNCTION("IF(A881="""","""",INDEX(SPLIT(A881,"" ""),COUNTA(SPLIT(A881,"" ""))))"),"Monferrato")</f>
        <v>Monferrato</v>
      </c>
      <c r="C881" s="6"/>
      <c r="D881" s="6" t="s">
        <v>864</v>
      </c>
      <c r="E881" s="7" t="s">
        <v>865</v>
      </c>
    </row>
    <row r="882">
      <c r="A882" s="4" t="s">
        <v>889</v>
      </c>
      <c r="B882" s="5" t="str">
        <f>IFERROR(__xludf.DUMMYFUNCTION("IF(A882="""","""",INDEX(SPLIT(A882,"" ""),COUNTA(SPLIT(A882,"" ""))))"),"Camino")</f>
        <v>Camino</v>
      </c>
      <c r="C882" s="6"/>
      <c r="D882" s="6" t="s">
        <v>864</v>
      </c>
      <c r="E882" s="7" t="s">
        <v>865</v>
      </c>
    </row>
    <row r="883">
      <c r="A883" s="4" t="s">
        <v>890</v>
      </c>
      <c r="B883" s="5" t="str">
        <f>IFERROR(__xludf.DUMMYFUNCTION("IF(A883="""","""",INDEX(SPLIT(A883,"" ""),COUNTA(SPLIT(A883,"" ""))))"),"Ligure")</f>
        <v>Ligure</v>
      </c>
      <c r="C883" s="6"/>
      <c r="D883" s="6" t="s">
        <v>864</v>
      </c>
      <c r="E883" s="7" t="s">
        <v>865</v>
      </c>
    </row>
    <row r="884">
      <c r="A884" s="4" t="s">
        <v>891</v>
      </c>
      <c r="B884" s="5" t="str">
        <f>IFERROR(__xludf.DUMMYFUNCTION("IF(A884="""","""",INDEX(SPLIT(A884,"" ""),COUNTA(SPLIT(A884,"" ""))))"),"d'Orba")</f>
        <v>d'Orba</v>
      </c>
      <c r="C884" s="6"/>
      <c r="D884" s="6" t="s">
        <v>864</v>
      </c>
      <c r="E884" s="7" t="s">
        <v>865</v>
      </c>
    </row>
    <row r="885">
      <c r="A885" s="4" t="s">
        <v>892</v>
      </c>
      <c r="B885" s="5" t="str">
        <f>IFERROR(__xludf.DUMMYFUNCTION("IF(A885="""","""",INDEX(SPLIT(A885,"" ""),COUNTA(SPLIT(A885,"" ""))))"),"Scrivia")</f>
        <v>Scrivia</v>
      </c>
      <c r="C885" s="6"/>
      <c r="D885" s="6" t="s">
        <v>864</v>
      </c>
      <c r="E885" s="7" t="s">
        <v>865</v>
      </c>
    </row>
    <row r="886">
      <c r="A886" s="4" t="s">
        <v>893</v>
      </c>
      <c r="B886" s="5" t="str">
        <f>IFERROR(__xludf.DUMMYFUNCTION("IF(A886="""","""",INDEX(SPLIT(A886,"" ""),COUNTA(SPLIT(A886,"" ""))))"),"Carentino")</f>
        <v>Carentino</v>
      </c>
      <c r="C886" s="6"/>
      <c r="D886" s="6" t="s">
        <v>864</v>
      </c>
      <c r="E886" s="7" t="s">
        <v>865</v>
      </c>
    </row>
    <row r="887">
      <c r="A887" s="4" t="s">
        <v>894</v>
      </c>
      <c r="B887" s="5" t="str">
        <f>IFERROR(__xludf.DUMMYFUNCTION("IF(A887="""","""",INDEX(SPLIT(A887,"" ""),COUNTA(SPLIT(A887,"" ""))))"),"Carezzano")</f>
        <v>Carezzano</v>
      </c>
      <c r="C887" s="6"/>
      <c r="D887" s="6" t="s">
        <v>864</v>
      </c>
      <c r="E887" s="7" t="s">
        <v>865</v>
      </c>
    </row>
    <row r="888">
      <c r="A888" s="4" t="s">
        <v>895</v>
      </c>
      <c r="B888" s="5" t="str">
        <f>IFERROR(__xludf.DUMMYFUNCTION("IF(A888="""","""",INDEX(SPLIT(A888,"" ""),COUNTA(SPLIT(A888,"" ""))))"),"Carpeneto")</f>
        <v>Carpeneto</v>
      </c>
      <c r="C888" s="6"/>
      <c r="D888" s="6" t="s">
        <v>864</v>
      </c>
      <c r="E888" s="7" t="s">
        <v>865</v>
      </c>
    </row>
    <row r="889">
      <c r="A889" s="4" t="s">
        <v>896</v>
      </c>
      <c r="B889" s="5" t="str">
        <f>IFERROR(__xludf.DUMMYFUNCTION("IF(A889="""","""",INDEX(SPLIT(A889,"" ""),COUNTA(SPLIT(A889,"" ""))))"),"Ligure")</f>
        <v>Ligure</v>
      </c>
      <c r="C889" s="6"/>
      <c r="D889" s="6" t="s">
        <v>864</v>
      </c>
      <c r="E889" s="7" t="s">
        <v>865</v>
      </c>
    </row>
    <row r="890">
      <c r="A890" s="4" t="s">
        <v>897</v>
      </c>
      <c r="B890" s="5" t="str">
        <f>IFERROR(__xludf.DUMMYFUNCTION("IF(A890="""","""",INDEX(SPLIT(A890,"" ""),COUNTA(SPLIT(A890,"" ""))))"),"Carrosio")</f>
        <v>Carrosio</v>
      </c>
      <c r="C890" s="6"/>
      <c r="D890" s="6" t="s">
        <v>864</v>
      </c>
      <c r="E890" s="7" t="s">
        <v>865</v>
      </c>
    </row>
    <row r="891">
      <c r="A891" s="4" t="s">
        <v>898</v>
      </c>
      <c r="B891" s="5" t="str">
        <f>IFERROR(__xludf.DUMMYFUNCTION("IF(A891="""","""",INDEX(SPLIT(A891,"" ""),COUNTA(SPLIT(A891,"" ""))))"),"Cartosio")</f>
        <v>Cartosio</v>
      </c>
      <c r="C891" s="6"/>
      <c r="D891" s="6" t="s">
        <v>864</v>
      </c>
      <c r="E891" s="7" t="s">
        <v>865</v>
      </c>
    </row>
    <row r="892">
      <c r="A892" s="4" t="s">
        <v>899</v>
      </c>
      <c r="B892" s="5" t="str">
        <f>IFERROR(__xludf.DUMMYFUNCTION("IF(A892="""","""",INDEX(SPLIT(A892,"" ""),COUNTA(SPLIT(A892,"" ""))))"),"Cermelli")</f>
        <v>Cermelli</v>
      </c>
      <c r="C892" s="6"/>
      <c r="D892" s="6" t="s">
        <v>864</v>
      </c>
      <c r="E892" s="7" t="s">
        <v>865</v>
      </c>
    </row>
    <row r="893">
      <c r="A893" s="4" t="s">
        <v>900</v>
      </c>
      <c r="B893" s="5" t="str">
        <f>IFERROR(__xludf.DUMMYFUNCTION("IF(A893="""","""",INDEX(SPLIT(A893,"" ""),COUNTA(SPLIT(A893,"" ""))))"),"Boiro")</f>
        <v>Boiro</v>
      </c>
      <c r="C893" s="6"/>
      <c r="D893" s="6" t="s">
        <v>864</v>
      </c>
      <c r="E893" s="7" t="s">
        <v>865</v>
      </c>
    </row>
    <row r="894">
      <c r="A894" s="4" t="s">
        <v>901</v>
      </c>
      <c r="B894" s="5" t="str">
        <f>IFERROR(__xludf.DUMMYFUNCTION("IF(A894="""","""",INDEX(SPLIT(A894,"" ""),COUNTA(SPLIT(A894,"" ""))))"),"Monferrato")</f>
        <v>Monferrato</v>
      </c>
      <c r="C894" s="6"/>
      <c r="D894" s="6" t="s">
        <v>864</v>
      </c>
      <c r="E894" s="7" t="s">
        <v>865</v>
      </c>
    </row>
    <row r="895">
      <c r="A895" s="4" t="s">
        <v>902</v>
      </c>
      <c r="B895" s="5" t="str">
        <f>IFERROR(__xludf.DUMMYFUNCTION("IF(A895="""","""",INDEX(SPLIT(A895,"" ""),COUNTA(SPLIT(A895,"" ""))))"),"Casalnoceto")</f>
        <v>Casalnoceto</v>
      </c>
      <c r="C895" s="6"/>
      <c r="D895" s="6" t="s">
        <v>864</v>
      </c>
      <c r="E895" s="7" t="s">
        <v>865</v>
      </c>
    </row>
    <row r="896">
      <c r="A896" s="4" t="s">
        <v>903</v>
      </c>
      <c r="B896" s="5" t="str">
        <f>IFERROR(__xludf.DUMMYFUNCTION("IF(A896="""","""",INDEX(SPLIT(A896,"" ""),COUNTA(SPLIT(A896,"" ""))))"),"Casasco")</f>
        <v>Casasco</v>
      </c>
      <c r="C896" s="6"/>
      <c r="D896" s="6" t="s">
        <v>864</v>
      </c>
      <c r="E896" s="7" t="s">
        <v>865</v>
      </c>
    </row>
    <row r="897">
      <c r="A897" s="4" t="s">
        <v>904</v>
      </c>
      <c r="B897" s="5" t="str">
        <f>IFERROR(__xludf.DUMMYFUNCTION("IF(A897="""","""",INDEX(SPLIT(A897,"" ""),COUNTA(SPLIT(A897,"" ""))))"),"Cassine")</f>
        <v>Cassine</v>
      </c>
      <c r="C897" s="6"/>
      <c r="D897" s="6" t="s">
        <v>864</v>
      </c>
      <c r="E897" s="7" t="s">
        <v>865</v>
      </c>
    </row>
    <row r="898">
      <c r="A898" s="4" t="s">
        <v>905</v>
      </c>
      <c r="B898" s="5" t="str">
        <f>IFERROR(__xludf.DUMMYFUNCTION("IF(A898="""","""",INDEX(SPLIT(A898,"" ""),COUNTA(SPLIT(A898,"" ""))))"),"Cassinelle")</f>
        <v>Cassinelle</v>
      </c>
      <c r="C898" s="6"/>
      <c r="D898" s="6" t="s">
        <v>864</v>
      </c>
      <c r="E898" s="7" t="s">
        <v>865</v>
      </c>
    </row>
    <row r="899">
      <c r="A899" s="4" t="s">
        <v>906</v>
      </c>
      <c r="B899" s="5" t="str">
        <f>IFERROR(__xludf.DUMMYFUNCTION("IF(A899="""","""",INDEX(SPLIT(A899,"" ""),COUNTA(SPLIT(A899,"" ""))))"),"Castellania")</f>
        <v>Castellania</v>
      </c>
      <c r="C899" s="6"/>
      <c r="D899" s="6" t="s">
        <v>864</v>
      </c>
      <c r="E899" s="7" t="s">
        <v>865</v>
      </c>
    </row>
    <row r="900">
      <c r="A900" s="4" t="s">
        <v>907</v>
      </c>
      <c r="B900" s="5" t="str">
        <f>IFERROR(__xludf.DUMMYFUNCTION("IF(A900="""","""",INDEX(SPLIT(A900,"" ""),COUNTA(SPLIT(A900,"" ""))))"),"Guidobono")</f>
        <v>Guidobono</v>
      </c>
      <c r="C900" s="6"/>
      <c r="D900" s="6" t="s">
        <v>864</v>
      </c>
      <c r="E900" s="7" t="s">
        <v>865</v>
      </c>
    </row>
    <row r="901">
      <c r="A901" s="4" t="s">
        <v>908</v>
      </c>
      <c r="B901" s="5" t="str">
        <f>IFERROR(__xludf.DUMMYFUNCTION("IF(A901="""","""",INDEX(SPLIT(A901,"" ""),COUNTA(SPLIT(A901,"" ""))))"),"Bormida")</f>
        <v>Bormida</v>
      </c>
      <c r="C901" s="6"/>
      <c r="D901" s="6" t="s">
        <v>864</v>
      </c>
      <c r="E901" s="7" t="s">
        <v>865</v>
      </c>
    </row>
    <row r="902">
      <c r="A902" s="4" t="s">
        <v>909</v>
      </c>
      <c r="B902" s="5" t="str">
        <f>IFERROR(__xludf.DUMMYFUNCTION("IF(A902="""","""",INDEX(SPLIT(A902,"" ""),COUNTA(SPLIT(A902,"" ""))))"),"d'Erro")</f>
        <v>d'Erro</v>
      </c>
      <c r="C902" s="6"/>
      <c r="D902" s="6" t="s">
        <v>864</v>
      </c>
      <c r="E902" s="7" t="s">
        <v>865</v>
      </c>
    </row>
    <row r="903">
      <c r="A903" s="4" t="s">
        <v>910</v>
      </c>
      <c r="B903" s="5" t="str">
        <f>IFERROR(__xludf.DUMMYFUNCTION("IF(A903="""","""",INDEX(SPLIT(A903,"" ""),COUNTA(SPLIT(A903,"" ""))))"),"d'Orba")</f>
        <v>d'Orba</v>
      </c>
      <c r="C903" s="6"/>
      <c r="D903" s="6" t="s">
        <v>864</v>
      </c>
      <c r="E903" s="7" t="s">
        <v>865</v>
      </c>
    </row>
    <row r="904">
      <c r="A904" s="4" t="s">
        <v>911</v>
      </c>
      <c r="B904" s="5" t="str">
        <f>IFERROR(__xludf.DUMMYFUNCTION("IF(A904="""","""",INDEX(SPLIT(A904,"" ""),COUNTA(SPLIT(A904,"" ""))))"),"Merli")</f>
        <v>Merli</v>
      </c>
      <c r="C904" s="6"/>
      <c r="D904" s="6" t="s">
        <v>864</v>
      </c>
      <c r="E904" s="7" t="s">
        <v>865</v>
      </c>
    </row>
    <row r="905">
      <c r="A905" s="4" t="s">
        <v>912</v>
      </c>
      <c r="B905" s="5" t="str">
        <f>IFERROR(__xludf.DUMMYFUNCTION("IF(A905="""","""",INDEX(SPLIT(A905,"" ""),COUNTA(SPLIT(A905,"" ""))))"),"Monferrato")</f>
        <v>Monferrato</v>
      </c>
      <c r="C905" s="6"/>
      <c r="D905" s="6" t="s">
        <v>864</v>
      </c>
      <c r="E905" s="7" t="s">
        <v>865</v>
      </c>
    </row>
    <row r="906">
      <c r="A906" s="4" t="s">
        <v>913</v>
      </c>
      <c r="B906" s="5" t="str">
        <f>IFERROR(__xludf.DUMMYFUNCTION("IF(A906="""","""",INDEX(SPLIT(A906,"" ""),COUNTA(SPLIT(A906,"" ""))))"),"Bormida")</f>
        <v>Bormida</v>
      </c>
      <c r="C906" s="6"/>
      <c r="D906" s="6" t="s">
        <v>864</v>
      </c>
      <c r="E906" s="7" t="s">
        <v>865</v>
      </c>
    </row>
    <row r="907">
      <c r="A907" s="4" t="s">
        <v>914</v>
      </c>
      <c r="B907" s="5" t="str">
        <f>IFERROR(__xludf.DUMMYFUNCTION("IF(A907="""","""",INDEX(SPLIT(A907,"" ""),COUNTA(SPLIT(A907,"" ""))))"),"Scrivia")</f>
        <v>Scrivia</v>
      </c>
      <c r="C907" s="6"/>
      <c r="D907" s="6" t="s">
        <v>864</v>
      </c>
      <c r="E907" s="7" t="s">
        <v>865</v>
      </c>
    </row>
    <row r="908">
      <c r="A908" s="4" t="s">
        <v>915</v>
      </c>
      <c r="B908" s="5" t="str">
        <f>IFERROR(__xludf.DUMMYFUNCTION("IF(A908="""","""",INDEX(SPLIT(A908,"" ""),COUNTA(SPLIT(A908,"" ""))))"),"Castelspina")</f>
        <v>Castelspina</v>
      </c>
      <c r="C908" s="6"/>
      <c r="D908" s="6" t="s">
        <v>864</v>
      </c>
      <c r="E908" s="7" t="s">
        <v>865</v>
      </c>
    </row>
    <row r="909">
      <c r="A909" s="4" t="s">
        <v>916</v>
      </c>
      <c r="B909" s="5" t="str">
        <f>IFERROR(__xludf.DUMMYFUNCTION("IF(A909="""","""",INDEX(SPLIT(A909,"" ""),COUNTA(SPLIT(A909,"" ""))))"),"Cavatore")</f>
        <v>Cavatore</v>
      </c>
      <c r="C909" s="6"/>
      <c r="D909" s="6" t="s">
        <v>864</v>
      </c>
      <c r="E909" s="7" t="s">
        <v>865</v>
      </c>
    </row>
    <row r="910">
      <c r="A910" s="4" t="s">
        <v>917</v>
      </c>
      <c r="B910" s="5" t="str">
        <f>IFERROR(__xludf.DUMMYFUNCTION("IF(A910="""","""",INDEX(SPLIT(A910,"" ""),COUNTA(SPLIT(A910,"" ""))))"),"Monte")</f>
        <v>Monte</v>
      </c>
      <c r="C910" s="6"/>
      <c r="D910" s="6" t="s">
        <v>864</v>
      </c>
      <c r="E910" s="7" t="s">
        <v>865</v>
      </c>
    </row>
    <row r="911">
      <c r="A911" s="4" t="s">
        <v>918</v>
      </c>
      <c r="B911" s="5" t="str">
        <f>IFERROR(__xludf.DUMMYFUNCTION("IF(A911="""","""",INDEX(SPLIT(A911,"" ""),COUNTA(SPLIT(A911,"" ""))))"),"Cereseto")</f>
        <v>Cereseto</v>
      </c>
      <c r="C911" s="6"/>
      <c r="D911" s="6" t="s">
        <v>864</v>
      </c>
      <c r="E911" s="7" t="s">
        <v>865</v>
      </c>
    </row>
    <row r="912">
      <c r="A912" s="4" t="s">
        <v>919</v>
      </c>
      <c r="B912" s="5" t="str">
        <f>IFERROR(__xludf.DUMMYFUNCTION("IF(A912="""","""",INDEX(SPLIT(A912,"" ""),COUNTA(SPLIT(A912,"" ""))))"),"Grue")</f>
        <v>Grue</v>
      </c>
      <c r="C912" s="6"/>
      <c r="D912" s="6" t="s">
        <v>864</v>
      </c>
      <c r="E912" s="7" t="s">
        <v>865</v>
      </c>
    </row>
    <row r="913">
      <c r="A913" s="4" t="s">
        <v>920</v>
      </c>
      <c r="B913" s="5" t="str">
        <f>IFERROR(__xludf.DUMMYFUNCTION("IF(A913="""","""",INDEX(SPLIT(A913,"" ""),COUNTA(SPLIT(A913,"" ""))))"),"Monferrato")</f>
        <v>Monferrato</v>
      </c>
      <c r="C913" s="6"/>
      <c r="D913" s="6" t="s">
        <v>864</v>
      </c>
      <c r="E913" s="7" t="s">
        <v>865</v>
      </c>
    </row>
    <row r="914">
      <c r="A914" s="4" t="s">
        <v>921</v>
      </c>
      <c r="B914" s="5" t="str">
        <f>IFERROR(__xludf.DUMMYFUNCTION("IF(A914="""","""",INDEX(SPLIT(A914,"" ""),COUNTA(SPLIT(A914,"" ""))))"),"Coniolo")</f>
        <v>Coniolo</v>
      </c>
      <c r="C914" s="6"/>
      <c r="D914" s="6" t="s">
        <v>864</v>
      </c>
      <c r="E914" s="7" t="s">
        <v>865</v>
      </c>
    </row>
    <row r="915">
      <c r="A915" s="4" t="s">
        <v>922</v>
      </c>
      <c r="B915" s="5" t="str">
        <f>IFERROR(__xludf.DUMMYFUNCTION("IF(A915="""","""",INDEX(SPLIT(A915,"" ""),COUNTA(SPLIT(A915,"" ""))))"),"Conzano")</f>
        <v>Conzano</v>
      </c>
      <c r="C915" s="6"/>
      <c r="D915" s="6" t="s">
        <v>864</v>
      </c>
      <c r="E915" s="7" t="s">
        <v>865</v>
      </c>
    </row>
    <row r="916">
      <c r="A916" s="4" t="s">
        <v>923</v>
      </c>
      <c r="B916" s="5" t="str">
        <f>IFERROR(__xludf.DUMMYFUNCTION("IF(A916="""","""",INDEX(SPLIT(A916,"" ""),COUNTA(SPLIT(A916,"" ""))))"),"Vescovato")</f>
        <v>Vescovato</v>
      </c>
      <c r="C916" s="6"/>
      <c r="D916" s="6" t="s">
        <v>864</v>
      </c>
      <c r="E916" s="7" t="s">
        <v>865</v>
      </c>
    </row>
    <row r="917">
      <c r="A917" s="4" t="s">
        <v>924</v>
      </c>
      <c r="B917" s="5" t="str">
        <f>IFERROR(__xludf.DUMMYFUNCTION("IF(A917="""","""",INDEX(SPLIT(A917,"" ""),COUNTA(SPLIT(A917,"" ""))))"),"Cremolino")</f>
        <v>Cremolino</v>
      </c>
      <c r="C917" s="6"/>
      <c r="D917" s="6" t="s">
        <v>864</v>
      </c>
      <c r="E917" s="7" t="s">
        <v>865</v>
      </c>
    </row>
    <row r="918">
      <c r="A918" s="4" t="s">
        <v>925</v>
      </c>
      <c r="B918" s="5" t="str">
        <f>IFERROR(__xludf.DUMMYFUNCTION("IF(A918="""","""",INDEX(SPLIT(A918,"" ""),COUNTA(SPLIT(A918,"" ""))))"),"Monferrato")</f>
        <v>Monferrato</v>
      </c>
      <c r="C918" s="6"/>
      <c r="D918" s="6" t="s">
        <v>864</v>
      </c>
      <c r="E918" s="7" t="s">
        <v>865</v>
      </c>
    </row>
    <row r="919">
      <c r="A919" s="4" t="s">
        <v>926</v>
      </c>
      <c r="B919" s="5" t="str">
        <f>IFERROR(__xludf.DUMMYFUNCTION("IF(A919="""","""",INDEX(SPLIT(A919,"" ""),COUNTA(SPLIT(A919,"" ""))))"),"Denice")</f>
        <v>Denice</v>
      </c>
      <c r="C919" s="6"/>
      <c r="D919" s="6" t="s">
        <v>864</v>
      </c>
      <c r="E919" s="7" t="s">
        <v>865</v>
      </c>
    </row>
    <row r="920">
      <c r="A920" s="4" t="s">
        <v>927</v>
      </c>
      <c r="B920" s="5" t="str">
        <f>IFERROR(__xludf.DUMMYFUNCTION("IF(A920="""","""",INDEX(SPLIT(A920,"" ""),COUNTA(SPLIT(A920,"" ""))))"),"Dernice")</f>
        <v>Dernice</v>
      </c>
      <c r="C920" s="6"/>
      <c r="D920" s="6" t="s">
        <v>864</v>
      </c>
      <c r="E920" s="7" t="s">
        <v>865</v>
      </c>
    </row>
    <row r="921">
      <c r="A921" s="4" t="s">
        <v>928</v>
      </c>
      <c r="B921" s="5" t="str">
        <f>IFERROR(__xludf.DUMMYFUNCTION("IF(A921="""","""",INDEX(SPLIT(A921,"" ""),COUNTA(SPLIT(A921,"" ""))))"),"Curone")</f>
        <v>Curone</v>
      </c>
      <c r="C921" s="6"/>
      <c r="D921" s="6" t="s">
        <v>864</v>
      </c>
      <c r="E921" s="7" t="s">
        <v>865</v>
      </c>
    </row>
    <row r="922">
      <c r="A922" s="4" t="s">
        <v>929</v>
      </c>
      <c r="B922" s="5" t="str">
        <f>IFERROR(__xludf.DUMMYFUNCTION("IF(A922="""","""",INDEX(SPLIT(A922,"" ""),COUNTA(SPLIT(A922,"" ""))))"),"Felizzano")</f>
        <v>Felizzano</v>
      </c>
      <c r="C922" s="6"/>
      <c r="D922" s="6" t="s">
        <v>864</v>
      </c>
      <c r="E922" s="7" t="s">
        <v>865</v>
      </c>
    </row>
    <row r="923">
      <c r="A923" s="4" t="s">
        <v>930</v>
      </c>
      <c r="B923" s="5" t="str">
        <f>IFERROR(__xludf.DUMMYFUNCTION("IF(A923="""","""",INDEX(SPLIT(A923,"" ""),COUNTA(SPLIT(A923,"" ""))))"),"Fraconalto")</f>
        <v>Fraconalto</v>
      </c>
      <c r="C923" s="6"/>
      <c r="D923" s="6" t="s">
        <v>864</v>
      </c>
      <c r="E923" s="7" t="s">
        <v>865</v>
      </c>
    </row>
    <row r="924">
      <c r="A924" s="4" t="s">
        <v>931</v>
      </c>
      <c r="B924" s="5" t="str">
        <f>IFERROR(__xludf.DUMMYFUNCTION("IF(A924="""","""",INDEX(SPLIT(A924,"" ""),COUNTA(SPLIT(A924,"" ""))))"),"Bisio")</f>
        <v>Bisio</v>
      </c>
      <c r="C924" s="6"/>
      <c r="D924" s="6" t="s">
        <v>864</v>
      </c>
      <c r="E924" s="7" t="s">
        <v>865</v>
      </c>
    </row>
    <row r="925">
      <c r="A925" s="4" t="s">
        <v>932</v>
      </c>
      <c r="B925" s="5" t="str">
        <f>IFERROR(__xludf.DUMMYFUNCTION("IF(A925="""","""",INDEX(SPLIT(A925,"" ""),COUNTA(SPLIT(A925,"" ""))))"),"Frascaro")</f>
        <v>Frascaro</v>
      </c>
      <c r="C925" s="6"/>
      <c r="D925" s="6" t="s">
        <v>864</v>
      </c>
      <c r="E925" s="7" t="s">
        <v>865</v>
      </c>
    </row>
    <row r="926">
      <c r="A926" s="4" t="s">
        <v>933</v>
      </c>
      <c r="B926" s="5" t="str">
        <f>IFERROR(__xludf.DUMMYFUNCTION("IF(A926="""","""",INDEX(SPLIT(A926,"" ""),COUNTA(SPLIT(A926,"" ""))))"),"Monferrato")</f>
        <v>Monferrato</v>
      </c>
      <c r="C926" s="6"/>
      <c r="D926" s="6" t="s">
        <v>864</v>
      </c>
      <c r="E926" s="7" t="s">
        <v>865</v>
      </c>
    </row>
    <row r="927">
      <c r="A927" s="4" t="s">
        <v>934</v>
      </c>
      <c r="B927" s="5" t="str">
        <f>IFERROR(__xludf.DUMMYFUNCTION("IF(A927="""","""",INDEX(SPLIT(A927,"" ""),COUNTA(SPLIT(A927,"" ""))))"),"Po")</f>
        <v>Po</v>
      </c>
      <c r="C927" s="6"/>
      <c r="D927" s="6" t="s">
        <v>864</v>
      </c>
      <c r="E927" s="7" t="s">
        <v>865</v>
      </c>
    </row>
    <row r="928">
      <c r="A928" s="4" t="s">
        <v>935</v>
      </c>
      <c r="B928" s="5" t="str">
        <f>IFERROR(__xludf.DUMMYFUNCTION("IF(A928="""","""",INDEX(SPLIT(A928,"" ""),COUNTA(SPLIT(A928,"" ""))))"),"Fresonara")</f>
        <v>Fresonara</v>
      </c>
      <c r="C928" s="6"/>
      <c r="D928" s="6" t="s">
        <v>864</v>
      </c>
      <c r="E928" s="7" t="s">
        <v>865</v>
      </c>
    </row>
    <row r="929">
      <c r="A929" s="4" t="s">
        <v>936</v>
      </c>
      <c r="B929" s="5" t="str">
        <f>IFERROR(__xludf.DUMMYFUNCTION("IF(A929="""","""",INDEX(SPLIT(A929,"" ""),COUNTA(SPLIT(A929,"" ""))))"),"Frugarolo")</f>
        <v>Frugarolo</v>
      </c>
      <c r="C929" s="6"/>
      <c r="D929" s="6" t="s">
        <v>864</v>
      </c>
      <c r="E929" s="7" t="s">
        <v>865</v>
      </c>
    </row>
    <row r="930">
      <c r="A930" s="4" t="s">
        <v>937</v>
      </c>
      <c r="B930" s="5" t="str">
        <f>IFERROR(__xludf.DUMMYFUNCTION("IF(A930="""","""",INDEX(SPLIT(A930,"" ""),COUNTA(SPLIT(A930,"" ""))))"),"Monferrato")</f>
        <v>Monferrato</v>
      </c>
      <c r="C930" s="6"/>
      <c r="D930" s="6" t="s">
        <v>864</v>
      </c>
      <c r="E930" s="7" t="s">
        <v>865</v>
      </c>
    </row>
    <row r="931">
      <c r="A931" s="4" t="s">
        <v>938</v>
      </c>
      <c r="B931" s="5" t="str">
        <f>IFERROR(__xludf.DUMMYFUNCTION("IF(A931="""","""",INDEX(SPLIT(A931,"" ""),COUNTA(SPLIT(A931,"" ""))))"),"Gabiano")</f>
        <v>Gabiano</v>
      </c>
      <c r="C931" s="6"/>
      <c r="D931" s="6" t="s">
        <v>864</v>
      </c>
      <c r="E931" s="7" t="s">
        <v>865</v>
      </c>
    </row>
    <row r="932">
      <c r="A932" s="4" t="s">
        <v>939</v>
      </c>
      <c r="B932" s="5" t="str">
        <f>IFERROR(__xludf.DUMMYFUNCTION("IF(A932="""","""",INDEX(SPLIT(A932,"" ""),COUNTA(SPLIT(A932,"" ""))))"),"Gamalero")</f>
        <v>Gamalero</v>
      </c>
      <c r="C932" s="6"/>
      <c r="D932" s="6" t="s">
        <v>864</v>
      </c>
      <c r="E932" s="7" t="s">
        <v>865</v>
      </c>
    </row>
    <row r="933">
      <c r="A933" s="4" t="s">
        <v>940</v>
      </c>
      <c r="B933" s="5" t="str">
        <f>IFERROR(__xludf.DUMMYFUNCTION("IF(A933="""","""",INDEX(SPLIT(A933,"" ""),COUNTA(SPLIT(A933,"" ""))))"),"Garbagna")</f>
        <v>Garbagna</v>
      </c>
      <c r="C933" s="6"/>
      <c r="D933" s="6" t="s">
        <v>864</v>
      </c>
      <c r="E933" s="7" t="s">
        <v>865</v>
      </c>
    </row>
    <row r="934">
      <c r="A934" s="4" t="s">
        <v>941</v>
      </c>
      <c r="B934" s="5" t="str">
        <f>IFERROR(__xludf.DUMMYFUNCTION("IF(A934="""","""",INDEX(SPLIT(A934,"" ""),COUNTA(SPLIT(A934,"" ""))))"),"Gavi")</f>
        <v>Gavi</v>
      </c>
      <c r="C934" s="6"/>
      <c r="D934" s="6" t="s">
        <v>864</v>
      </c>
      <c r="E934" s="7" t="s">
        <v>865</v>
      </c>
    </row>
    <row r="935">
      <c r="A935" s="4" t="s">
        <v>942</v>
      </c>
      <c r="B935" s="5" t="str">
        <f>IFERROR(__xludf.DUMMYFUNCTION("IF(A935="""","""",INDEX(SPLIT(A935,"" ""),COUNTA(SPLIT(A935,"" ""))))"),"Giarole")</f>
        <v>Giarole</v>
      </c>
      <c r="C935" s="6"/>
      <c r="D935" s="6" t="s">
        <v>864</v>
      </c>
      <c r="E935" s="7" t="s">
        <v>865</v>
      </c>
    </row>
    <row r="936">
      <c r="A936" s="4" t="s">
        <v>943</v>
      </c>
      <c r="B936" s="5" t="str">
        <f>IFERROR(__xludf.DUMMYFUNCTION("IF(A936="""","""",INDEX(SPLIT(A936,"" ""),COUNTA(SPLIT(A936,"" ""))))"),"Gremiasco")</f>
        <v>Gremiasco</v>
      </c>
      <c r="C936" s="6"/>
      <c r="D936" s="6" t="s">
        <v>864</v>
      </c>
      <c r="E936" s="7" t="s">
        <v>865</v>
      </c>
    </row>
    <row r="937">
      <c r="A937" s="4" t="s">
        <v>944</v>
      </c>
      <c r="B937" s="5" t="str">
        <f>IFERROR(__xludf.DUMMYFUNCTION("IF(A937="""","""",INDEX(SPLIT(A937,"" ""),COUNTA(SPLIT(A937,"" ""))))"),"Grognardo")</f>
        <v>Grognardo</v>
      </c>
      <c r="C937" s="6"/>
      <c r="D937" s="6" t="s">
        <v>864</v>
      </c>
      <c r="E937" s="7" t="s">
        <v>865</v>
      </c>
    </row>
    <row r="938">
      <c r="A938" s="4" t="s">
        <v>945</v>
      </c>
      <c r="B938" s="5" t="str">
        <f>IFERROR(__xludf.DUMMYFUNCTION("IF(A938="""","""",INDEX(SPLIT(A938,"" ""),COUNTA(SPLIT(A938,"" ""))))"),"Grondona")</f>
        <v>Grondona</v>
      </c>
      <c r="C938" s="6"/>
      <c r="D938" s="6" t="s">
        <v>864</v>
      </c>
      <c r="E938" s="7" t="s">
        <v>865</v>
      </c>
    </row>
    <row r="939">
      <c r="A939" s="4" t="s">
        <v>946</v>
      </c>
      <c r="B939" s="5" t="str">
        <f>IFERROR(__xludf.DUMMYFUNCTION("IF(A939="""","""",INDEX(SPLIT(A939,"" ""),COUNTA(SPLIT(A939,"" ""))))"),"Guazzora")</f>
        <v>Guazzora</v>
      </c>
      <c r="C939" s="6"/>
      <c r="D939" s="6" t="s">
        <v>864</v>
      </c>
      <c r="E939" s="7" t="s">
        <v>865</v>
      </c>
    </row>
    <row r="940">
      <c r="A940" s="4" t="s">
        <v>947</v>
      </c>
      <c r="B940" s="5" t="str">
        <f>IFERROR(__xludf.DUMMYFUNCTION("IF(A940="""","""",INDEX(SPLIT(A940,"" ""),COUNTA(SPLIT(A940,"" ""))))"),"Sant'Antonio")</f>
        <v>Sant'Antonio</v>
      </c>
      <c r="C940" s="6"/>
      <c r="D940" s="6" t="s">
        <v>864</v>
      </c>
      <c r="E940" s="7" t="s">
        <v>865</v>
      </c>
    </row>
    <row r="941">
      <c r="A941" s="4" t="s">
        <v>948</v>
      </c>
      <c r="B941" s="5" t="str">
        <f>IFERROR(__xludf.DUMMYFUNCTION("IF(A941="""","""",INDEX(SPLIT(A941,"" ""),COUNTA(SPLIT(A941,"" ""))))"),"Lerma")</f>
        <v>Lerma</v>
      </c>
      <c r="C941" s="6"/>
      <c r="D941" s="6" t="s">
        <v>864</v>
      </c>
      <c r="E941" s="7" t="s">
        <v>865</v>
      </c>
    </row>
    <row r="942">
      <c r="A942" s="4" t="s">
        <v>949</v>
      </c>
      <c r="B942" s="5" t="str">
        <f>IFERROR(__xludf.DUMMYFUNCTION("IF(A942="""","""",INDEX(SPLIT(A942,"" ""),COUNTA(SPLIT(A942,"" ""))))"),"Lu")</f>
        <v>Lu</v>
      </c>
      <c r="C942" s="6"/>
      <c r="D942" s="6" t="s">
        <v>864</v>
      </c>
      <c r="E942" s="7" t="s">
        <v>865</v>
      </c>
    </row>
    <row r="943">
      <c r="A943" s="4" t="s">
        <v>950</v>
      </c>
      <c r="B943" s="5" t="str">
        <f>IFERROR(__xludf.DUMMYFUNCTION("IF(A943="""","""",INDEX(SPLIT(A943,"" ""),COUNTA(SPLIT(A943,"" ""))))"),"Malvicino")</f>
        <v>Malvicino</v>
      </c>
      <c r="C943" s="6"/>
      <c r="D943" s="6" t="s">
        <v>864</v>
      </c>
      <c r="E943" s="7" t="s">
        <v>865</v>
      </c>
    </row>
    <row r="944">
      <c r="A944" s="4" t="s">
        <v>951</v>
      </c>
      <c r="B944" s="5" t="str">
        <f>IFERROR(__xludf.DUMMYFUNCTION("IF(A944="""","""",INDEX(SPLIT(A944,"" ""),COUNTA(SPLIT(A944,"" ""))))"),"Masio")</f>
        <v>Masio</v>
      </c>
      <c r="C944" s="6"/>
      <c r="D944" s="6" t="s">
        <v>864</v>
      </c>
      <c r="E944" s="7" t="s">
        <v>865</v>
      </c>
    </row>
    <row r="945">
      <c r="A945" s="4" t="s">
        <v>952</v>
      </c>
      <c r="B945" s="5" t="str">
        <f>IFERROR(__xludf.DUMMYFUNCTION("IF(A945="""","""",INDEX(SPLIT(A945,"" ""),COUNTA(SPLIT(A945,"" ""))))"),"Melazzo")</f>
        <v>Melazzo</v>
      </c>
      <c r="C945" s="6"/>
      <c r="D945" s="6" t="s">
        <v>864</v>
      </c>
      <c r="E945" s="7" t="s">
        <v>865</v>
      </c>
    </row>
    <row r="946">
      <c r="A946" s="4" t="s">
        <v>953</v>
      </c>
      <c r="B946" s="5" t="str">
        <f>IFERROR(__xludf.DUMMYFUNCTION("IF(A946="""","""",INDEX(SPLIT(A946,"" ""),COUNTA(SPLIT(A946,"" ""))))"),"Merana")</f>
        <v>Merana</v>
      </c>
      <c r="C946" s="6"/>
      <c r="D946" s="6" t="s">
        <v>864</v>
      </c>
      <c r="E946" s="7" t="s">
        <v>865</v>
      </c>
    </row>
    <row r="947">
      <c r="A947" s="4" t="s">
        <v>954</v>
      </c>
      <c r="B947" s="5" t="str">
        <f>IFERROR(__xludf.DUMMYFUNCTION("IF(A947="""","""",INDEX(SPLIT(A947,"" ""),COUNTA(SPLIT(A947,"" ""))))"),"Monferrato")</f>
        <v>Monferrato</v>
      </c>
      <c r="C947" s="6"/>
      <c r="D947" s="6" t="s">
        <v>864</v>
      </c>
      <c r="E947" s="7" t="s">
        <v>865</v>
      </c>
    </row>
    <row r="948">
      <c r="A948" s="4" t="s">
        <v>955</v>
      </c>
      <c r="B948" s="5" t="str">
        <f>IFERROR(__xludf.DUMMYFUNCTION("IF(A948="""","""",INDEX(SPLIT(A948,"" ""),COUNTA(SPLIT(A948,"" ""))))"),"Molare")</f>
        <v>Molare</v>
      </c>
      <c r="C948" s="6"/>
      <c r="D948" s="6" t="s">
        <v>864</v>
      </c>
      <c r="E948" s="7" t="s">
        <v>865</v>
      </c>
    </row>
    <row r="949">
      <c r="A949" s="4" t="s">
        <v>956</v>
      </c>
      <c r="B949" s="5" t="str">
        <f>IFERROR(__xludf.DUMMYFUNCTION("IF(A949="""","""",INDEX(SPLIT(A949,"" ""),COUNTA(SPLIT(A949,"" ""))))"),"Torti")</f>
        <v>Torti</v>
      </c>
      <c r="C949" s="6"/>
      <c r="D949" s="6" t="s">
        <v>864</v>
      </c>
      <c r="E949" s="7" t="s">
        <v>865</v>
      </c>
    </row>
    <row r="950">
      <c r="A950" s="4" t="s">
        <v>957</v>
      </c>
      <c r="B950" s="5" t="str">
        <f>IFERROR(__xludf.DUMMYFUNCTION("IF(A950="""","""",INDEX(SPLIT(A950,"" ""),COUNTA(SPLIT(A950,"" ""))))"),"Monferrato")</f>
        <v>Monferrato</v>
      </c>
      <c r="C950" s="6"/>
      <c r="D950" s="6" t="s">
        <v>864</v>
      </c>
      <c r="E950" s="7" t="s">
        <v>865</v>
      </c>
    </row>
    <row r="951">
      <c r="A951" s="4" t="s">
        <v>958</v>
      </c>
      <c r="B951" s="5" t="str">
        <f>IFERROR(__xludf.DUMMYFUNCTION("IF(A951="""","""",INDEX(SPLIT(A951,"" ""),COUNTA(SPLIT(A951,"" ""))))"),"Momperone")</f>
        <v>Momperone</v>
      </c>
      <c r="C951" s="6"/>
      <c r="D951" s="6" t="s">
        <v>864</v>
      </c>
      <c r="E951" s="7" t="s">
        <v>865</v>
      </c>
    </row>
    <row r="952">
      <c r="A952" s="4" t="s">
        <v>959</v>
      </c>
      <c r="B952" s="5" t="str">
        <f>IFERROR(__xludf.DUMMYFUNCTION("IF(A952="""","""",INDEX(SPLIT(A952,"" ""),COUNTA(SPLIT(A952,"" ""))))"),"Moncestino")</f>
        <v>Moncestino</v>
      </c>
      <c r="C952" s="6"/>
      <c r="D952" s="6" t="s">
        <v>864</v>
      </c>
      <c r="E952" s="7" t="s">
        <v>865</v>
      </c>
    </row>
    <row r="953">
      <c r="A953" s="4" t="s">
        <v>960</v>
      </c>
      <c r="B953" s="5" t="str">
        <f>IFERROR(__xludf.DUMMYFUNCTION("IF(A953="""","""",INDEX(SPLIT(A953,"" ""),COUNTA(SPLIT(A953,"" ""))))"),"Ligure")</f>
        <v>Ligure</v>
      </c>
      <c r="C953" s="6"/>
      <c r="D953" s="6" t="s">
        <v>864</v>
      </c>
      <c r="E953" s="7" t="s">
        <v>865</v>
      </c>
    </row>
    <row r="954">
      <c r="A954" s="4" t="s">
        <v>961</v>
      </c>
      <c r="B954" s="5" t="str">
        <f>IFERROR(__xludf.DUMMYFUNCTION("IF(A954="""","""",INDEX(SPLIT(A954,"" ""),COUNTA(SPLIT(A954,"" ""))))"),"Monleale")</f>
        <v>Monleale</v>
      </c>
      <c r="C954" s="6"/>
      <c r="D954" s="6" t="s">
        <v>864</v>
      </c>
      <c r="E954" s="7" t="s">
        <v>865</v>
      </c>
    </row>
    <row r="955">
      <c r="A955" s="4" t="s">
        <v>962</v>
      </c>
      <c r="B955" s="5" t="str">
        <f>IFERROR(__xludf.DUMMYFUNCTION("IF(A955="""","""",INDEX(SPLIT(A955,"" ""),COUNTA(SPLIT(A955,"" ""))))"),"Montacuto")</f>
        <v>Montacuto</v>
      </c>
      <c r="C955" s="6"/>
      <c r="D955" s="6" t="s">
        <v>864</v>
      </c>
      <c r="E955" s="7" t="s">
        <v>865</v>
      </c>
    </row>
    <row r="956">
      <c r="A956" s="4" t="s">
        <v>963</v>
      </c>
      <c r="B956" s="5" t="str">
        <f>IFERROR(__xludf.DUMMYFUNCTION("IF(A956="""","""",INDEX(SPLIT(A956,"" ""),COUNTA(SPLIT(A956,"" ""))))"),"Montaldeo")</f>
        <v>Montaldeo</v>
      </c>
      <c r="C956" s="6"/>
      <c r="D956" s="6" t="s">
        <v>864</v>
      </c>
      <c r="E956" s="7" t="s">
        <v>865</v>
      </c>
    </row>
    <row r="957">
      <c r="A957" s="4" t="s">
        <v>964</v>
      </c>
      <c r="B957" s="5" t="str">
        <f>IFERROR(__xludf.DUMMYFUNCTION("IF(A957="""","""",INDEX(SPLIT(A957,"" ""),COUNTA(SPLIT(A957,"" ""))))"),"Bormida")</f>
        <v>Bormida</v>
      </c>
      <c r="C957" s="6"/>
      <c r="D957" s="6" t="s">
        <v>864</v>
      </c>
      <c r="E957" s="7" t="s">
        <v>865</v>
      </c>
    </row>
    <row r="958">
      <c r="A958" s="4" t="s">
        <v>965</v>
      </c>
      <c r="B958" s="5" t="str">
        <f>IFERROR(__xludf.DUMMYFUNCTION("IF(A958="""","""",INDEX(SPLIT(A958,"" ""),COUNTA(SPLIT(A958,"" ""))))"),"Montecastello")</f>
        <v>Montecastello</v>
      </c>
      <c r="C958" s="6"/>
      <c r="D958" s="6" t="s">
        <v>864</v>
      </c>
      <c r="E958" s="7" t="s">
        <v>865</v>
      </c>
    </row>
    <row r="959">
      <c r="A959" s="4" t="s">
        <v>966</v>
      </c>
      <c r="B959" s="5" t="str">
        <f>IFERROR(__xludf.DUMMYFUNCTION("IF(A959="""","""",INDEX(SPLIT(A959,"" ""),COUNTA(SPLIT(A959,"" ""))))"),"d'Acqui")</f>
        <v>d'Acqui</v>
      </c>
      <c r="C959" s="6"/>
      <c r="D959" s="6" t="s">
        <v>864</v>
      </c>
      <c r="E959" s="7" t="s">
        <v>865</v>
      </c>
    </row>
    <row r="960">
      <c r="A960" s="4" t="s">
        <v>967</v>
      </c>
      <c r="B960" s="5" t="str">
        <f>IFERROR(__xludf.DUMMYFUNCTION("IF(A960="""","""",INDEX(SPLIT(A960,"" ""),COUNTA(SPLIT(A960,"" ""))))"),"Montegioco")</f>
        <v>Montegioco</v>
      </c>
      <c r="C960" s="6"/>
      <c r="D960" s="6" t="s">
        <v>864</v>
      </c>
      <c r="E960" s="7" t="s">
        <v>865</v>
      </c>
    </row>
    <row r="961">
      <c r="A961" s="4" t="s">
        <v>968</v>
      </c>
      <c r="B961" s="5" t="str">
        <f>IFERROR(__xludf.DUMMYFUNCTION("IF(A961="""","""",INDEX(SPLIT(A961,"" ""),COUNTA(SPLIT(A961,"" ""))))"),"Montemarzino")</f>
        <v>Montemarzino</v>
      </c>
      <c r="C961" s="6"/>
      <c r="D961" s="6" t="s">
        <v>864</v>
      </c>
      <c r="E961" s="7" t="s">
        <v>865</v>
      </c>
    </row>
    <row r="962">
      <c r="A962" s="4" t="s">
        <v>969</v>
      </c>
      <c r="B962" s="5" t="str">
        <f>IFERROR(__xludf.DUMMYFUNCTION("IF(A962="""","""",INDEX(SPLIT(A962,"" ""),COUNTA(SPLIT(A962,"" ""))))"),"Po")</f>
        <v>Po</v>
      </c>
      <c r="C962" s="6"/>
      <c r="D962" s="6" t="s">
        <v>864</v>
      </c>
      <c r="E962" s="7" t="s">
        <v>865</v>
      </c>
    </row>
    <row r="963">
      <c r="A963" s="4" t="s">
        <v>970</v>
      </c>
      <c r="B963" s="5" t="str">
        <f>IFERROR(__xludf.DUMMYFUNCTION("IF(A963="""","""",INDEX(SPLIT(A963,"" ""),COUNTA(SPLIT(A963,"" ""))))"),"Morbello")</f>
        <v>Morbello</v>
      </c>
      <c r="C963" s="6"/>
      <c r="D963" s="6" t="s">
        <v>864</v>
      </c>
      <c r="E963" s="7" t="s">
        <v>865</v>
      </c>
    </row>
    <row r="964">
      <c r="A964" s="4" t="s">
        <v>971</v>
      </c>
      <c r="B964" s="5" t="str">
        <f>IFERROR(__xludf.DUMMYFUNCTION("IF(A964="""","""",INDEX(SPLIT(A964,"" ""),COUNTA(SPLIT(A964,"" ""))))"),"Mornese")</f>
        <v>Mornese</v>
      </c>
      <c r="C964" s="6"/>
      <c r="D964" s="6" t="s">
        <v>864</v>
      </c>
      <c r="E964" s="7" t="s">
        <v>865</v>
      </c>
    </row>
    <row r="965">
      <c r="A965" s="4" t="s">
        <v>972</v>
      </c>
      <c r="B965" s="5" t="str">
        <f>IFERROR(__xludf.DUMMYFUNCTION("IF(A965="""","""",INDEX(SPLIT(A965,"" ""),COUNTA(SPLIT(A965,"" ""))))"),"Morsasco")</f>
        <v>Morsasco</v>
      </c>
      <c r="C965" s="6"/>
      <c r="D965" s="6" t="s">
        <v>864</v>
      </c>
      <c r="E965" s="7" t="s">
        <v>865</v>
      </c>
    </row>
    <row r="966">
      <c r="A966" s="4" t="s">
        <v>973</v>
      </c>
      <c r="B966" s="5" t="str">
        <f>IFERROR(__xludf.DUMMYFUNCTION("IF(A966="""","""",INDEX(SPLIT(A966,"" ""),COUNTA(SPLIT(A966,"" ""))))"),"Murisengo")</f>
        <v>Murisengo</v>
      </c>
      <c r="C966" s="6"/>
      <c r="D966" s="6" t="s">
        <v>864</v>
      </c>
      <c r="E966" s="7" t="s">
        <v>865</v>
      </c>
    </row>
    <row r="967">
      <c r="A967" s="4" t="s">
        <v>974</v>
      </c>
      <c r="B967" s="5" t="str">
        <f>IFERROR(__xludf.DUMMYFUNCTION("IF(A967="""","""",INDEX(SPLIT(A967,"" ""),COUNTA(SPLIT(A967,"" ""))))"),"Ligure")</f>
        <v>Ligure</v>
      </c>
      <c r="C967" s="6"/>
      <c r="D967" s="6" t="s">
        <v>864</v>
      </c>
      <c r="E967" s="7" t="s">
        <v>865</v>
      </c>
    </row>
    <row r="968">
      <c r="A968" s="4" t="s">
        <v>975</v>
      </c>
      <c r="B968" s="5" t="str">
        <f>IFERROR(__xludf.DUMMYFUNCTION("IF(A968="""","""",INDEX(SPLIT(A968,"" ""),COUNTA(SPLIT(A968,"" ""))))"),"Occimiano")</f>
        <v>Occimiano</v>
      </c>
      <c r="C968" s="6"/>
      <c r="D968" s="6" t="s">
        <v>864</v>
      </c>
      <c r="E968" s="7" t="s">
        <v>865</v>
      </c>
    </row>
    <row r="969">
      <c r="A969" s="4" t="s">
        <v>976</v>
      </c>
      <c r="B969" s="5" t="str">
        <f>IFERROR(__xludf.DUMMYFUNCTION("IF(A969="""","""",INDEX(SPLIT(A969,"" ""),COUNTA(SPLIT(A969,"" ""))))"),"Grande")</f>
        <v>Grande</v>
      </c>
      <c r="C969" s="6"/>
      <c r="D969" s="6" t="s">
        <v>864</v>
      </c>
      <c r="E969" s="7" t="s">
        <v>865</v>
      </c>
    </row>
    <row r="970">
      <c r="A970" s="4" t="s">
        <v>977</v>
      </c>
      <c r="B970" s="5" t="str">
        <f>IFERROR(__xludf.DUMMYFUNCTION("IF(A970="""","""",INDEX(SPLIT(A970,"" ""),COUNTA(SPLIT(A970,"" ""))))"),"Piccolo")</f>
        <v>Piccolo</v>
      </c>
      <c r="C970" s="6"/>
      <c r="D970" s="6" t="s">
        <v>864</v>
      </c>
      <c r="E970" s="7" t="s">
        <v>865</v>
      </c>
    </row>
    <row r="971">
      <c r="A971" s="4" t="s">
        <v>978</v>
      </c>
      <c r="B971" s="5" t="str">
        <f>IFERROR(__xludf.DUMMYFUNCTION("IF(A971="""","""",INDEX(SPLIT(A971,"" ""),COUNTA(SPLIT(A971,"" ""))))"),"Olivola")</f>
        <v>Olivola</v>
      </c>
      <c r="C971" s="6"/>
      <c r="D971" s="6" t="s">
        <v>864</v>
      </c>
      <c r="E971" s="7" t="s">
        <v>865</v>
      </c>
    </row>
    <row r="972">
      <c r="A972" s="4" t="s">
        <v>979</v>
      </c>
      <c r="B972" s="5" t="str">
        <f>IFERROR(__xludf.DUMMYFUNCTION("IF(A972="""","""",INDEX(SPLIT(A972,"" ""),COUNTA(SPLIT(A972,"" ""))))"),"Bormida")</f>
        <v>Bormida</v>
      </c>
      <c r="C972" s="6"/>
      <c r="D972" s="6" t="s">
        <v>864</v>
      </c>
      <c r="E972" s="7" t="s">
        <v>865</v>
      </c>
    </row>
    <row r="973">
      <c r="A973" s="4" t="s">
        <v>980</v>
      </c>
      <c r="B973" s="5" t="str">
        <f>IFERROR(__xludf.DUMMYFUNCTION("IF(A973="""","""",INDEX(SPLIT(A973,"" ""),COUNTA(SPLIT(A973,"" ""))))"),"Ottiglio")</f>
        <v>Ottiglio</v>
      </c>
      <c r="C973" s="6"/>
      <c r="D973" s="6" t="s">
        <v>864</v>
      </c>
      <c r="E973" s="7" t="s">
        <v>865</v>
      </c>
    </row>
    <row r="974">
      <c r="A974" s="4" t="s">
        <v>981</v>
      </c>
      <c r="B974" s="5" t="str">
        <f>IFERROR(__xludf.DUMMYFUNCTION("IF(A974="""","""",INDEX(SPLIT(A974,"" ""),COUNTA(SPLIT(A974,"" ""))))"),"Ovada")</f>
        <v>Ovada</v>
      </c>
      <c r="C974" s="6"/>
      <c r="D974" s="6" t="s">
        <v>864</v>
      </c>
      <c r="E974" s="7" t="s">
        <v>865</v>
      </c>
    </row>
    <row r="975">
      <c r="A975" s="4" t="s">
        <v>982</v>
      </c>
      <c r="B975" s="5" t="str">
        <f>IFERROR(__xludf.DUMMYFUNCTION("IF(A975="""","""",INDEX(SPLIT(A975,"" ""),COUNTA(SPLIT(A975,"" ""))))"),"Oviglio")</f>
        <v>Oviglio</v>
      </c>
      <c r="C975" s="6"/>
      <c r="D975" s="6" t="s">
        <v>864</v>
      </c>
      <c r="E975" s="7" t="s">
        <v>865</v>
      </c>
    </row>
    <row r="976">
      <c r="A976" s="4" t="s">
        <v>983</v>
      </c>
      <c r="B976" s="5" t="str">
        <f>IFERROR(__xludf.DUMMYFUNCTION("IF(A976="""","""",INDEX(SPLIT(A976,"" ""),COUNTA(SPLIT(A976,"" ""))))"),"Monferrato")</f>
        <v>Monferrato</v>
      </c>
      <c r="C976" s="6"/>
      <c r="D976" s="6" t="s">
        <v>864</v>
      </c>
      <c r="E976" s="7" t="s">
        <v>865</v>
      </c>
    </row>
    <row r="977">
      <c r="A977" s="4" t="s">
        <v>984</v>
      </c>
      <c r="B977" s="5" t="str">
        <f>IFERROR(__xludf.DUMMYFUNCTION("IF(A977="""","""",INDEX(SPLIT(A977,"" ""),COUNTA(SPLIT(A977,"" ""))))"),"Paderna")</f>
        <v>Paderna</v>
      </c>
      <c r="C977" s="6"/>
      <c r="D977" s="6" t="s">
        <v>864</v>
      </c>
      <c r="E977" s="7" t="s">
        <v>865</v>
      </c>
    </row>
    <row r="978">
      <c r="A978" s="4" t="s">
        <v>985</v>
      </c>
      <c r="B978" s="5" t="str">
        <f>IFERROR(__xludf.DUMMYFUNCTION("IF(A978="""","""",INDEX(SPLIT(A978,"" ""),COUNTA(SPLIT(A978,"" ""))))"),"Pareto")</f>
        <v>Pareto</v>
      </c>
      <c r="C978" s="6"/>
      <c r="D978" s="6" t="s">
        <v>864</v>
      </c>
      <c r="E978" s="7" t="s">
        <v>865</v>
      </c>
    </row>
    <row r="979">
      <c r="A979" s="4" t="s">
        <v>986</v>
      </c>
      <c r="B979" s="5" t="str">
        <f>IFERROR(__xludf.DUMMYFUNCTION("IF(A979="""","""",INDEX(SPLIT(A979,"" ""),COUNTA(SPLIT(A979,"" ""))))"),"Ligure")</f>
        <v>Ligure</v>
      </c>
      <c r="C979" s="6"/>
      <c r="D979" s="6" t="s">
        <v>864</v>
      </c>
      <c r="E979" s="7" t="s">
        <v>865</v>
      </c>
    </row>
    <row r="980">
      <c r="A980" s="4" t="s">
        <v>987</v>
      </c>
      <c r="B980" s="5" t="str">
        <f>IFERROR(__xludf.DUMMYFUNCTION("IF(A980="""","""",INDEX(SPLIT(A980,"" ""),COUNTA(SPLIT(A980,"" ""))))"),"Pasturana")</f>
        <v>Pasturana</v>
      </c>
      <c r="C980" s="6"/>
      <c r="D980" s="6" t="s">
        <v>864</v>
      </c>
      <c r="E980" s="7" t="s">
        <v>865</v>
      </c>
    </row>
    <row r="981">
      <c r="A981" s="4" t="s">
        <v>988</v>
      </c>
      <c r="B981" s="5" t="str">
        <f>IFERROR(__xludf.DUMMYFUNCTION("IF(A981="""","""",INDEX(SPLIT(A981,"" ""),COUNTA(SPLIT(A981,"" ""))))"),"Valenza")</f>
        <v>Valenza</v>
      </c>
      <c r="C981" s="6"/>
      <c r="D981" s="6" t="s">
        <v>864</v>
      </c>
      <c r="E981" s="7" t="s">
        <v>865</v>
      </c>
    </row>
    <row r="982">
      <c r="A982" s="4" t="s">
        <v>989</v>
      </c>
      <c r="B982" s="5" t="str">
        <f>IFERROR(__xludf.DUMMYFUNCTION("IF(A982="""","""",INDEX(SPLIT(A982,"" ""),COUNTA(SPLIT(A982,"" ""))))"),"Marazzi")</f>
        <v>Marazzi</v>
      </c>
      <c r="C982" s="6"/>
      <c r="D982" s="6" t="s">
        <v>864</v>
      </c>
      <c r="E982" s="7" t="s">
        <v>865</v>
      </c>
    </row>
    <row r="983">
      <c r="A983" s="4" t="s">
        <v>990</v>
      </c>
      <c r="B983" s="5" t="str">
        <f>IFERROR(__xludf.DUMMYFUNCTION("IF(A983="""","""",INDEX(SPLIT(A983,"" ""),COUNTA(SPLIT(A983,"" ""))))"),"Monferrato")</f>
        <v>Monferrato</v>
      </c>
      <c r="C983" s="6"/>
      <c r="D983" s="6" t="s">
        <v>864</v>
      </c>
      <c r="E983" s="7" t="s">
        <v>865</v>
      </c>
    </row>
    <row r="984">
      <c r="A984" s="4" t="s">
        <v>991</v>
      </c>
      <c r="B984" s="5" t="str">
        <f>IFERROR(__xludf.DUMMYFUNCTION("IF(A984="""","""",INDEX(SPLIT(A984,"" ""),COUNTA(SPLIT(A984,"" ""))))"),"Pontecurone")</f>
        <v>Pontecurone</v>
      </c>
      <c r="C984" s="6"/>
      <c r="D984" s="6" t="s">
        <v>864</v>
      </c>
      <c r="E984" s="7" t="s">
        <v>865</v>
      </c>
    </row>
    <row r="985">
      <c r="A985" s="4" t="s">
        <v>992</v>
      </c>
      <c r="B985" s="5" t="str">
        <f>IFERROR(__xludf.DUMMYFUNCTION("IF(A985="""","""",INDEX(SPLIT(A985,"" ""),COUNTA(SPLIT(A985,"" ""))))"),"Pontestura")</f>
        <v>Pontestura</v>
      </c>
      <c r="C985" s="6"/>
      <c r="D985" s="6" t="s">
        <v>864</v>
      </c>
      <c r="E985" s="7" t="s">
        <v>865</v>
      </c>
    </row>
    <row r="986">
      <c r="A986" s="4" t="s">
        <v>993</v>
      </c>
      <c r="B986" s="5" t="str">
        <f>IFERROR(__xludf.DUMMYFUNCTION("IF(A986="""","""",INDEX(SPLIT(A986,"" ""),COUNTA(SPLIT(A986,"" ""))))"),"Ponti")</f>
        <v>Ponti</v>
      </c>
      <c r="C986" s="6"/>
      <c r="D986" s="6" t="s">
        <v>864</v>
      </c>
      <c r="E986" s="7" t="s">
        <v>865</v>
      </c>
    </row>
    <row r="987">
      <c r="A987" s="4" t="s">
        <v>994</v>
      </c>
      <c r="B987" s="5" t="str">
        <f>IFERROR(__xludf.DUMMYFUNCTION("IF(A987="""","""",INDEX(SPLIT(A987,"" ""),COUNTA(SPLIT(A987,"" ""))))"),"Monferrato")</f>
        <v>Monferrato</v>
      </c>
      <c r="C987" s="6"/>
      <c r="D987" s="6" t="s">
        <v>864</v>
      </c>
      <c r="E987" s="7" t="s">
        <v>865</v>
      </c>
    </row>
    <row r="988">
      <c r="A988" s="4" t="s">
        <v>995</v>
      </c>
      <c r="B988" s="5" t="str">
        <f>IFERROR(__xludf.DUMMYFUNCTION("IF(A988="""","""",INDEX(SPLIT(A988,"" ""),COUNTA(SPLIT(A988,"" ""))))"),"Ponzone")</f>
        <v>Ponzone</v>
      </c>
      <c r="C988" s="6"/>
      <c r="D988" s="6" t="s">
        <v>864</v>
      </c>
      <c r="E988" s="7" t="s">
        <v>865</v>
      </c>
    </row>
    <row r="989">
      <c r="A989" s="4" t="s">
        <v>996</v>
      </c>
      <c r="B989" s="5" t="str">
        <f>IFERROR(__xludf.DUMMYFUNCTION("IF(A989="""","""",INDEX(SPLIT(A989,"" ""),COUNTA(SPLIT(A989,"" ""))))"),"Groppo")</f>
        <v>Groppo</v>
      </c>
      <c r="C989" s="6"/>
      <c r="D989" s="6" t="s">
        <v>864</v>
      </c>
      <c r="E989" s="7" t="s">
        <v>865</v>
      </c>
    </row>
    <row r="990">
      <c r="A990" s="4" t="s">
        <v>997</v>
      </c>
      <c r="B990" s="5" t="str">
        <f>IFERROR(__xludf.DUMMYFUNCTION("IF(A990="""","""",INDEX(SPLIT(A990,"" ""),COUNTA(SPLIT(A990,"" ""))))"),"Formigaro")</f>
        <v>Formigaro</v>
      </c>
      <c r="C990" s="6"/>
      <c r="D990" s="6" t="s">
        <v>864</v>
      </c>
      <c r="E990" s="7" t="s">
        <v>865</v>
      </c>
    </row>
    <row r="991">
      <c r="A991" s="4" t="s">
        <v>998</v>
      </c>
      <c r="B991" s="5" t="str">
        <f>IFERROR(__xludf.DUMMYFUNCTION("IF(A991="""","""",INDEX(SPLIT(A991,"" ""),COUNTA(SPLIT(A991,"" ""))))"),"Prasco")</f>
        <v>Prasco</v>
      </c>
      <c r="C991" s="6"/>
      <c r="D991" s="6" t="s">
        <v>864</v>
      </c>
      <c r="E991" s="7" t="s">
        <v>865</v>
      </c>
    </row>
    <row r="992">
      <c r="A992" s="4" t="s">
        <v>999</v>
      </c>
      <c r="B992" s="5" t="str">
        <f>IFERROR(__xludf.DUMMYFUNCTION("IF(A992="""","""",INDEX(SPLIT(A992,"" ""),COUNTA(SPLIT(A992,"" ""))))"),"Predosa")</f>
        <v>Predosa</v>
      </c>
      <c r="C992" s="6"/>
      <c r="D992" s="6" t="s">
        <v>864</v>
      </c>
      <c r="E992" s="7" t="s">
        <v>865</v>
      </c>
    </row>
    <row r="993">
      <c r="A993" s="4" t="s">
        <v>1000</v>
      </c>
      <c r="B993" s="5" t="str">
        <f>IFERROR(__xludf.DUMMYFUNCTION("IF(A993="""","""",INDEX(SPLIT(A993,"" ""),COUNTA(SPLIT(A993,"" ""))))"),"Quargnento")</f>
        <v>Quargnento</v>
      </c>
      <c r="C993" s="6"/>
      <c r="D993" s="6" t="s">
        <v>864</v>
      </c>
      <c r="E993" s="7" t="s">
        <v>865</v>
      </c>
    </row>
    <row r="994">
      <c r="A994" s="4" t="s">
        <v>1001</v>
      </c>
      <c r="B994" s="5" t="str">
        <f>IFERROR(__xludf.DUMMYFUNCTION("IF(A994="""","""",INDEX(SPLIT(A994,"" ""),COUNTA(SPLIT(A994,"" ""))))"),"Quattordio")</f>
        <v>Quattordio</v>
      </c>
      <c r="C994" s="6"/>
      <c r="D994" s="6" t="s">
        <v>864</v>
      </c>
      <c r="E994" s="7" t="s">
        <v>865</v>
      </c>
    </row>
    <row r="995">
      <c r="A995" s="4" t="s">
        <v>1002</v>
      </c>
      <c r="B995" s="5" t="str">
        <f>IFERROR(__xludf.DUMMYFUNCTION("IF(A995="""","""",INDEX(SPLIT(A995,"" ""),COUNTA(SPLIT(A995,"" ""))))"),"Ricaldone")</f>
        <v>Ricaldone</v>
      </c>
      <c r="C995" s="6"/>
      <c r="D995" s="6" t="s">
        <v>864</v>
      </c>
      <c r="E995" s="7" t="s">
        <v>865</v>
      </c>
    </row>
    <row r="996">
      <c r="A996" s="4" t="s">
        <v>1003</v>
      </c>
      <c r="B996" s="5" t="str">
        <f>IFERROR(__xludf.DUMMYFUNCTION("IF(A996="""","""",INDEX(SPLIT(A996,"" ""),COUNTA(SPLIT(A996,"" ""))))"),"Bormida")</f>
        <v>Bormida</v>
      </c>
      <c r="C996" s="6"/>
      <c r="D996" s="6" t="s">
        <v>864</v>
      </c>
      <c r="E996" s="7" t="s">
        <v>865</v>
      </c>
    </row>
    <row r="997">
      <c r="A997" s="4" t="s">
        <v>1004</v>
      </c>
      <c r="B997" s="5" t="str">
        <f>IFERROR(__xludf.DUMMYFUNCTION("IF(A997="""","""",INDEX(SPLIT(A997,"" ""),COUNTA(SPLIT(A997,"" ""))))"),"Rivarone")</f>
        <v>Rivarone</v>
      </c>
      <c r="C997" s="6"/>
      <c r="D997" s="6" t="s">
        <v>864</v>
      </c>
      <c r="E997" s="7" t="s">
        <v>865</v>
      </c>
    </row>
    <row r="998">
      <c r="A998" s="4" t="s">
        <v>1005</v>
      </c>
      <c r="B998" s="5" t="str">
        <f>IFERROR(__xludf.DUMMYFUNCTION("IF(A998="""","""",INDEX(SPLIT(A998,"" ""),COUNTA(SPLIT(A998,"" ""))))"),"Ligure")</f>
        <v>Ligure</v>
      </c>
      <c r="C998" s="6"/>
      <c r="D998" s="6" t="s">
        <v>864</v>
      </c>
      <c r="E998" s="7" t="s">
        <v>865</v>
      </c>
    </row>
    <row r="999">
      <c r="A999" s="4" t="s">
        <v>1006</v>
      </c>
      <c r="B999" s="5" t="str">
        <f>IFERROR(__xludf.DUMMYFUNCTION("IF(A999="""","""",INDEX(SPLIT(A999,"" ""),COUNTA(SPLIT(A999,"" ""))))"),"Grimalda")</f>
        <v>Grimalda</v>
      </c>
      <c r="C999" s="6"/>
      <c r="D999" s="6" t="s">
        <v>864</v>
      </c>
      <c r="E999" s="7" t="s">
        <v>865</v>
      </c>
    </row>
    <row r="1000">
      <c r="A1000" s="4" t="s">
        <v>1007</v>
      </c>
      <c r="B1000" s="5" t="str">
        <f>IFERROR(__xludf.DUMMYFUNCTION("IF(A1000="""","""",INDEX(SPLIT(A1000,"" ""),COUNTA(SPLIT(A1000,"" ""))))"),"Ligure")</f>
        <v>Ligure</v>
      </c>
      <c r="C1000" s="6"/>
      <c r="D1000" s="6" t="s">
        <v>864</v>
      </c>
      <c r="E1000" s="7" t="s">
        <v>865</v>
      </c>
    </row>
    <row r="1001">
      <c r="A1001" s="4" t="s">
        <v>1008</v>
      </c>
      <c r="B1001" s="5" t="str">
        <f>IFERROR(__xludf.DUMMYFUNCTION("IF(A1001="""","""",INDEX(SPLIT(A1001,"" ""),COUNTA(SPLIT(A1001,"" ""))))"),"Monferrato")</f>
        <v>Monferrato</v>
      </c>
      <c r="C1001" s="6"/>
      <c r="D1001" s="6" t="s">
        <v>864</v>
      </c>
      <c r="E1001" s="7" t="s">
        <v>865</v>
      </c>
    </row>
    <row r="1002">
      <c r="A1002" s="4" t="s">
        <v>1009</v>
      </c>
      <c r="B1002" s="5" t="str">
        <f>IFERROR(__xludf.DUMMYFUNCTION("IF(A1002="""","""",INDEX(SPLIT(A1002,"" ""),COUNTA(SPLIT(A1002,"" ""))))"),"Monferrato")</f>
        <v>Monferrato</v>
      </c>
      <c r="C1002" s="6"/>
      <c r="D1002" s="6" t="s">
        <v>864</v>
      </c>
      <c r="E1002" s="7" t="s">
        <v>865</v>
      </c>
    </row>
    <row r="1003">
      <c r="A1003" s="4" t="s">
        <v>1010</v>
      </c>
      <c r="B1003" s="5" t="str">
        <f>IFERROR(__xludf.DUMMYFUNCTION("IF(A1003="""","""",INDEX(SPLIT(A1003,"" ""),COUNTA(SPLIT(A1003,"" ""))))"),"Sale")</f>
        <v>Sale</v>
      </c>
      <c r="C1003" s="6"/>
      <c r="D1003" s="6" t="s">
        <v>864</v>
      </c>
      <c r="E1003" s="7" t="s">
        <v>865</v>
      </c>
    </row>
    <row r="1004">
      <c r="A1004" s="4" t="s">
        <v>1011</v>
      </c>
      <c r="B1004" s="5" t="str">
        <f>IFERROR(__xludf.DUMMYFUNCTION("IF(A1004="""","""",INDEX(SPLIT(A1004,"" ""),COUNTA(SPLIT(A1004,"" ""))))"),"Cristoforo")</f>
        <v>Cristoforo</v>
      </c>
      <c r="C1004" s="6"/>
      <c r="D1004" s="6" t="s">
        <v>864</v>
      </c>
      <c r="E1004" s="7" t="s">
        <v>865</v>
      </c>
    </row>
    <row r="1005">
      <c r="A1005" s="4" t="s">
        <v>1012</v>
      </c>
      <c r="B1005" s="5" t="str">
        <f>IFERROR(__xludf.DUMMYFUNCTION("IF(A1005="""","""",INDEX(SPLIT(A1005,"" ""),COUNTA(SPLIT(A1005,"" ""))))"),"Monferrato")</f>
        <v>Monferrato</v>
      </c>
      <c r="C1005" s="6"/>
      <c r="D1005" s="6" t="s">
        <v>864</v>
      </c>
      <c r="E1005" s="7" t="s">
        <v>865</v>
      </c>
    </row>
    <row r="1006">
      <c r="A1006" s="4" t="s">
        <v>1013</v>
      </c>
      <c r="B1006" s="5" t="str">
        <f>IFERROR(__xludf.DUMMYFUNCTION("IF(A1006="""","""",INDEX(SPLIT(A1006,"" ""),COUNTA(SPLIT(A1006,"" ""))))"),"Monferrato")</f>
        <v>Monferrato</v>
      </c>
      <c r="C1006" s="6"/>
      <c r="D1006" s="6" t="s">
        <v>864</v>
      </c>
      <c r="E1006" s="7" t="s">
        <v>865</v>
      </c>
    </row>
    <row r="1007">
      <c r="A1007" s="4" t="s">
        <v>1014</v>
      </c>
      <c r="B1007" s="5" t="str">
        <f>IFERROR(__xludf.DUMMYFUNCTION("IF(A1007="""","""",INDEX(SPLIT(A1007,"" ""),COUNTA(SPLIT(A1007,"" ""))))"),"Curone")</f>
        <v>Curone</v>
      </c>
      <c r="C1007" s="6"/>
      <c r="D1007" s="6" t="s">
        <v>864</v>
      </c>
      <c r="E1007" s="7" t="s">
        <v>865</v>
      </c>
    </row>
    <row r="1008">
      <c r="A1008" s="4" t="s">
        <v>1015</v>
      </c>
      <c r="B1008" s="5" t="str">
        <f>IFERROR(__xludf.DUMMYFUNCTION("IF(A1008="""","""",INDEX(SPLIT(A1008,"" ""),COUNTA(SPLIT(A1008,"" ""))))"),"Fossili")</f>
        <v>Fossili</v>
      </c>
      <c r="C1008" s="6"/>
      <c r="D1008" s="6" t="s">
        <v>864</v>
      </c>
      <c r="E1008" s="7" t="s">
        <v>865</v>
      </c>
    </row>
    <row r="1009">
      <c r="A1009" s="4" t="s">
        <v>1016</v>
      </c>
      <c r="B1009" s="5" t="str">
        <f>IFERROR(__xludf.DUMMYFUNCTION("IF(A1009="""","""",INDEX(SPLIT(A1009,"" ""),COUNTA(SPLIT(A1009,"" ""))))"),"Sardigliano")</f>
        <v>Sardigliano</v>
      </c>
      <c r="C1009" s="6"/>
      <c r="D1009" s="6" t="s">
        <v>864</v>
      </c>
      <c r="E1009" s="7" t="s">
        <v>865</v>
      </c>
    </row>
    <row r="1010">
      <c r="A1010" s="4" t="s">
        <v>1017</v>
      </c>
      <c r="B1010" s="5" t="str">
        <f>IFERROR(__xludf.DUMMYFUNCTION("IF(A1010="""","""",INDEX(SPLIT(A1010,"" ""),COUNTA(SPLIT(A1010,"" ""))))"),"Sarezzano")</f>
        <v>Sarezzano</v>
      </c>
      <c r="C1010" s="6"/>
      <c r="D1010" s="6" t="s">
        <v>864</v>
      </c>
      <c r="E1010" s="7" t="s">
        <v>865</v>
      </c>
    </row>
    <row r="1011">
      <c r="A1011" s="4" t="s">
        <v>1018</v>
      </c>
      <c r="B1011" s="5" t="str">
        <f>IFERROR(__xludf.DUMMYFUNCTION("IF(A1011="""","""",INDEX(SPLIT(A1011,"" ""),COUNTA(SPLIT(A1011,"" ""))))"),"Crea")</f>
        <v>Crea</v>
      </c>
      <c r="C1011" s="6"/>
      <c r="D1011" s="6" t="s">
        <v>864</v>
      </c>
      <c r="E1011" s="7" t="s">
        <v>865</v>
      </c>
    </row>
    <row r="1012">
      <c r="A1012" s="4" t="s">
        <v>1019</v>
      </c>
      <c r="B1012" s="5" t="str">
        <f>IFERROR(__xludf.DUMMYFUNCTION("IF(A1012="""","""",INDEX(SPLIT(A1012,"" ""),COUNTA(SPLIT(A1012,"" ""))))"),"Scrivia")</f>
        <v>Scrivia</v>
      </c>
      <c r="C1012" s="6"/>
      <c r="D1012" s="6" t="s">
        <v>864</v>
      </c>
      <c r="E1012" s="7" t="s">
        <v>865</v>
      </c>
    </row>
    <row r="1013">
      <c r="A1013" s="4" t="s">
        <v>1020</v>
      </c>
      <c r="B1013" s="5" t="str">
        <f>IFERROR(__xludf.DUMMYFUNCTION("IF(A1013="""","""",INDEX(SPLIT(A1013,"" ""),COUNTA(SPLIT(A1013,"" ""))))"),"Sezzadio")</f>
        <v>Sezzadio</v>
      </c>
      <c r="C1013" s="6"/>
      <c r="D1013" s="6" t="s">
        <v>864</v>
      </c>
      <c r="E1013" s="7" t="s">
        <v>865</v>
      </c>
    </row>
    <row r="1014">
      <c r="A1014" s="4" t="s">
        <v>1021</v>
      </c>
      <c r="B1014" s="5" t="str">
        <f>IFERROR(__xludf.DUMMYFUNCTION("IF(A1014="""","""",INDEX(SPLIT(A1014,"" ""),COUNTA(SPLIT(A1014,"" ""))))"),"d'Orba")</f>
        <v>d'Orba</v>
      </c>
      <c r="C1014" s="6"/>
      <c r="D1014" s="6" t="s">
        <v>864</v>
      </c>
      <c r="E1014" s="7" t="s">
        <v>865</v>
      </c>
    </row>
    <row r="1015">
      <c r="A1015" s="4" t="s">
        <v>1022</v>
      </c>
      <c r="B1015" s="5" t="str">
        <f>IFERROR(__xludf.DUMMYFUNCTION("IF(A1015="""","""",INDEX(SPLIT(A1015,"" ""),COUNTA(SPLIT(A1015,"" ""))))"),"Solero")</f>
        <v>Solero</v>
      </c>
      <c r="C1015" s="6"/>
      <c r="D1015" s="6" t="s">
        <v>864</v>
      </c>
      <c r="E1015" s="7" t="s">
        <v>865</v>
      </c>
    </row>
    <row r="1016">
      <c r="A1016" s="4" t="s">
        <v>1023</v>
      </c>
      <c r="B1016" s="5" t="str">
        <f>IFERROR(__xludf.DUMMYFUNCTION("IF(A1016="""","""",INDEX(SPLIT(A1016,"" ""),COUNTA(SPLIT(A1016,"" ""))))"),"Solonghello")</f>
        <v>Solonghello</v>
      </c>
      <c r="C1016" s="6"/>
      <c r="D1016" s="6" t="s">
        <v>864</v>
      </c>
      <c r="E1016" s="7" t="s">
        <v>865</v>
      </c>
    </row>
    <row r="1017">
      <c r="A1017" s="4" t="s">
        <v>1024</v>
      </c>
      <c r="B1017" s="5" t="str">
        <f>IFERROR(__xludf.DUMMYFUNCTION("IF(A1017="""","""",INDEX(SPLIT(A1017,"" ""),COUNTA(SPLIT(A1017,"" ""))))"),"Monferrato")</f>
        <v>Monferrato</v>
      </c>
      <c r="C1017" s="6"/>
      <c r="D1017" s="6" t="s">
        <v>864</v>
      </c>
      <c r="E1017" s="7" t="s">
        <v>865</v>
      </c>
    </row>
    <row r="1018">
      <c r="A1018" s="4" t="s">
        <v>1025</v>
      </c>
      <c r="B1018" s="5" t="str">
        <f>IFERROR(__xludf.DUMMYFUNCTION("IF(A1018="""","""",INDEX(SPLIT(A1018,"" ""),COUNTA(SPLIT(A1018,"" ""))))"),"Scrivia")</f>
        <v>Scrivia</v>
      </c>
      <c r="C1018" s="6"/>
      <c r="D1018" s="6" t="s">
        <v>864</v>
      </c>
      <c r="E1018" s="7" t="s">
        <v>865</v>
      </c>
    </row>
    <row r="1019">
      <c r="A1019" s="4" t="s">
        <v>1026</v>
      </c>
      <c r="B1019" s="5" t="str">
        <f>IFERROR(__xludf.DUMMYFUNCTION("IF(A1019="""","""",INDEX(SPLIT(A1019,"" ""),COUNTA(SPLIT(A1019,"" ""))))"),"Stazzano")</f>
        <v>Stazzano</v>
      </c>
      <c r="C1019" s="6"/>
      <c r="D1019" s="6" t="s">
        <v>864</v>
      </c>
      <c r="E1019" s="7" t="s">
        <v>865</v>
      </c>
    </row>
    <row r="1020">
      <c r="A1020" s="4" t="s">
        <v>1027</v>
      </c>
      <c r="B1020" s="5" t="str">
        <f>IFERROR(__xludf.DUMMYFUNCTION("IF(A1020="""","""",INDEX(SPLIT(A1020,"" ""),COUNTA(SPLIT(A1020,"" ""))))"),"Strevi")</f>
        <v>Strevi</v>
      </c>
      <c r="C1020" s="6"/>
      <c r="D1020" s="6" t="s">
        <v>864</v>
      </c>
      <c r="E1020" s="7" t="s">
        <v>865</v>
      </c>
    </row>
    <row r="1021">
      <c r="A1021" s="4" t="s">
        <v>1028</v>
      </c>
      <c r="B1021" s="5" t="str">
        <f>IFERROR(__xludf.DUMMYFUNCTION("IF(A1021="""","""",INDEX(SPLIT(A1021,"" ""),COUNTA(SPLIT(A1021,"" ""))))"),"Monferrato")</f>
        <v>Monferrato</v>
      </c>
      <c r="C1021" s="6"/>
      <c r="D1021" s="6" t="s">
        <v>864</v>
      </c>
      <c r="E1021" s="7" t="s">
        <v>865</v>
      </c>
    </row>
    <row r="1022">
      <c r="A1022" s="4" t="s">
        <v>1029</v>
      </c>
      <c r="B1022" s="5" t="str">
        <f>IFERROR(__xludf.DUMMYFUNCTION("IF(A1022="""","""",INDEX(SPLIT(A1022,"" ""),COUNTA(SPLIT(A1022,"" ""))))"),"Tassarolo")</f>
        <v>Tassarolo</v>
      </c>
      <c r="C1022" s="6"/>
      <c r="D1022" s="6" t="s">
        <v>864</v>
      </c>
      <c r="E1022" s="7" t="s">
        <v>865</v>
      </c>
    </row>
    <row r="1023">
      <c r="A1023" s="4" t="s">
        <v>1030</v>
      </c>
      <c r="B1023" s="5" t="str">
        <f>IFERROR(__xludf.DUMMYFUNCTION("IF(A1023="""","""",INDEX(SPLIT(A1023,"" ""),COUNTA(SPLIT(A1023,"" ""))))"),"Terruggia")</f>
        <v>Terruggia</v>
      </c>
      <c r="C1023" s="6"/>
      <c r="D1023" s="6" t="s">
        <v>864</v>
      </c>
      <c r="E1023" s="7" t="s">
        <v>865</v>
      </c>
    </row>
    <row r="1024">
      <c r="A1024" s="4" t="s">
        <v>1031</v>
      </c>
      <c r="B1024" s="5" t="str">
        <f>IFERROR(__xludf.DUMMYFUNCTION("IF(A1024="""","""",INDEX(SPLIT(A1024,"" ""),COUNTA(SPLIT(A1024,"" ""))))"),"Terzo")</f>
        <v>Terzo</v>
      </c>
      <c r="C1024" s="6"/>
      <c r="D1024" s="6" t="s">
        <v>864</v>
      </c>
      <c r="E1024" s="7" t="s">
        <v>865</v>
      </c>
    </row>
    <row r="1025">
      <c r="A1025" s="4" t="s">
        <v>1032</v>
      </c>
      <c r="B1025" s="5" t="str">
        <f>IFERROR(__xludf.DUMMYFUNCTION("IF(A1025="""","""",INDEX(SPLIT(A1025,"" ""),COUNTA(SPLIT(A1025,"" ""))))"),"Ticineto")</f>
        <v>Ticineto</v>
      </c>
      <c r="C1025" s="6"/>
      <c r="D1025" s="6" t="s">
        <v>864</v>
      </c>
      <c r="E1025" s="7" t="s">
        <v>865</v>
      </c>
    </row>
    <row r="1026">
      <c r="A1026" s="4" t="s">
        <v>1033</v>
      </c>
      <c r="B1026" s="5" t="str">
        <f>IFERROR(__xludf.DUMMYFUNCTION("IF(A1026="""","""",INDEX(SPLIT(A1026,"" ""),COUNTA(SPLIT(A1026,"" ""))))"),"Tortona")</f>
        <v>Tortona</v>
      </c>
      <c r="C1026" s="6"/>
      <c r="D1026" s="6" t="s">
        <v>864</v>
      </c>
      <c r="E1026" s="7" t="s">
        <v>865</v>
      </c>
    </row>
    <row r="1027">
      <c r="A1027" s="4" t="s">
        <v>1034</v>
      </c>
      <c r="B1027" s="5" t="str">
        <f>IFERROR(__xludf.DUMMYFUNCTION("IF(A1027="""","""",INDEX(SPLIT(A1027,"" ""),COUNTA(SPLIT(A1027,"" ""))))"),"Treville")</f>
        <v>Treville</v>
      </c>
      <c r="C1027" s="6"/>
      <c r="D1027" s="6" t="s">
        <v>864</v>
      </c>
      <c r="E1027" s="7" t="s">
        <v>865</v>
      </c>
    </row>
    <row r="1028">
      <c r="A1028" s="4" t="s">
        <v>1035</v>
      </c>
      <c r="B1028" s="5" t="str">
        <f>IFERROR(__xludf.DUMMYFUNCTION("IF(A1028="""","""",INDEX(SPLIT(A1028,"" ""),COUNTA(SPLIT(A1028,"" ""))))"),"Trisobbio")</f>
        <v>Trisobbio</v>
      </c>
      <c r="C1028" s="6"/>
      <c r="D1028" s="6" t="s">
        <v>864</v>
      </c>
      <c r="E1028" s="7" t="s">
        <v>865</v>
      </c>
    </row>
    <row r="1029">
      <c r="A1029" s="4" t="s">
        <v>1036</v>
      </c>
      <c r="B1029" s="5" t="str">
        <f>IFERROR(__xludf.DUMMYFUNCTION("IF(A1029="""","""",INDEX(SPLIT(A1029,"" ""),COUNTA(SPLIT(A1029,"" ""))))"),"Valenza")</f>
        <v>Valenza</v>
      </c>
      <c r="C1029" s="6"/>
      <c r="D1029" s="6" t="s">
        <v>864</v>
      </c>
      <c r="E1029" s="7" t="s">
        <v>865</v>
      </c>
    </row>
    <row r="1030">
      <c r="A1030" s="4" t="s">
        <v>1037</v>
      </c>
      <c r="B1030" s="5" t="str">
        <f>IFERROR(__xludf.DUMMYFUNCTION("IF(A1030="""","""",INDEX(SPLIT(A1030,"" ""),COUNTA(SPLIT(A1030,"" ""))))"),"Valmacca")</f>
        <v>Valmacca</v>
      </c>
      <c r="C1030" s="6"/>
      <c r="D1030" s="6" t="s">
        <v>864</v>
      </c>
      <c r="E1030" s="7" t="s">
        <v>865</v>
      </c>
    </row>
    <row r="1031">
      <c r="A1031" s="4" t="s">
        <v>1038</v>
      </c>
      <c r="B1031" s="5" t="str">
        <f>IFERROR(__xludf.DUMMYFUNCTION("IF(A1031="""","""",INDEX(SPLIT(A1031,"" ""),COUNTA(SPLIT(A1031,"" ""))))"),"Monferrato")</f>
        <v>Monferrato</v>
      </c>
      <c r="C1031" s="6"/>
      <c r="D1031" s="6" t="s">
        <v>864</v>
      </c>
      <c r="E1031" s="7" t="s">
        <v>865</v>
      </c>
    </row>
    <row r="1032">
      <c r="A1032" s="4" t="s">
        <v>1039</v>
      </c>
      <c r="B1032" s="5" t="str">
        <f>IFERROR(__xludf.DUMMYFUNCTION("IF(A1032="""","""",INDEX(SPLIT(A1032,"" ""),COUNTA(SPLIT(A1032,"" ""))))"),"Borbera")</f>
        <v>Borbera</v>
      </c>
      <c r="C1032" s="6"/>
      <c r="D1032" s="6" t="s">
        <v>864</v>
      </c>
      <c r="E1032" s="7" t="s">
        <v>865</v>
      </c>
    </row>
    <row r="1033">
      <c r="A1033" s="4" t="s">
        <v>1040</v>
      </c>
      <c r="B1033" s="5" t="str">
        <f>IFERROR(__xludf.DUMMYFUNCTION("IF(A1033="""","""",INDEX(SPLIT(A1033,"" ""),COUNTA(SPLIT(A1033,"" ""))))"),"Viguzzolo")</f>
        <v>Viguzzolo</v>
      </c>
      <c r="C1033" s="6"/>
      <c r="D1033" s="6" t="s">
        <v>864</v>
      </c>
      <c r="E1033" s="7" t="s">
        <v>865</v>
      </c>
    </row>
    <row r="1034">
      <c r="A1034" s="4" t="s">
        <v>1041</v>
      </c>
      <c r="B1034" s="5" t="str">
        <f>IFERROR(__xludf.DUMMYFUNCTION("IF(A1034="""","""",INDEX(SPLIT(A1034,"" ""),COUNTA(SPLIT(A1034,"" ""))))"),"Villadeati")</f>
        <v>Villadeati</v>
      </c>
      <c r="C1034" s="6"/>
      <c r="D1034" s="6" t="s">
        <v>864</v>
      </c>
      <c r="E1034" s="7" t="s">
        <v>865</v>
      </c>
    </row>
    <row r="1035">
      <c r="A1035" s="4" t="s">
        <v>1042</v>
      </c>
      <c r="B1035" s="5" t="str">
        <f>IFERROR(__xludf.DUMMYFUNCTION("IF(A1035="""","""",INDEX(SPLIT(A1035,"" ""),COUNTA(SPLIT(A1035,"" ""))))"),"Villalvernia")</f>
        <v>Villalvernia</v>
      </c>
      <c r="C1035" s="6"/>
      <c r="D1035" s="6" t="s">
        <v>864</v>
      </c>
      <c r="E1035" s="7" t="s">
        <v>865</v>
      </c>
    </row>
    <row r="1036">
      <c r="A1036" s="4" t="s">
        <v>1043</v>
      </c>
      <c r="B1036" s="5" t="str">
        <f>IFERROR(__xludf.DUMMYFUNCTION("IF(A1036="""","""",INDEX(SPLIT(A1036,"" ""),COUNTA(SPLIT(A1036,"" ""))))"),"Villamiroglio")</f>
        <v>Villamiroglio</v>
      </c>
      <c r="C1036" s="6"/>
      <c r="D1036" s="6" t="s">
        <v>864</v>
      </c>
      <c r="E1036" s="7" t="s">
        <v>865</v>
      </c>
    </row>
    <row r="1037">
      <c r="A1037" s="4" t="s">
        <v>1044</v>
      </c>
      <c r="B1037" s="5" t="str">
        <f>IFERROR(__xludf.DUMMYFUNCTION("IF(A1037="""","""",INDEX(SPLIT(A1037,"" ""),COUNTA(SPLIT(A1037,"" ""))))"),"Monferrato")</f>
        <v>Monferrato</v>
      </c>
      <c r="C1037" s="6"/>
      <c r="D1037" s="6" t="s">
        <v>864</v>
      </c>
      <c r="E1037" s="7" t="s">
        <v>865</v>
      </c>
    </row>
    <row r="1038">
      <c r="A1038" s="4" t="s">
        <v>1045</v>
      </c>
      <c r="B1038" s="5" t="str">
        <f>IFERROR(__xludf.DUMMYFUNCTION("IF(A1038="""","""",INDEX(SPLIT(A1038,"" ""),COUNTA(SPLIT(A1038,"" ""))))"),"Villaromagnano")</f>
        <v>Villaromagnano</v>
      </c>
      <c r="C1038" s="6"/>
      <c r="D1038" s="6" t="s">
        <v>864</v>
      </c>
      <c r="E1038" s="7" t="s">
        <v>865</v>
      </c>
    </row>
    <row r="1039">
      <c r="A1039" s="4" t="s">
        <v>1046</v>
      </c>
      <c r="B1039" s="5" t="str">
        <f>IFERROR(__xludf.DUMMYFUNCTION("IF(A1039="""","""",INDEX(SPLIT(A1039,"" ""),COUNTA(SPLIT(A1039,"" ""))))"),"Visone")</f>
        <v>Visone</v>
      </c>
      <c r="C1039" s="6"/>
      <c r="D1039" s="6" t="s">
        <v>864</v>
      </c>
      <c r="E1039" s="7" t="s">
        <v>865</v>
      </c>
    </row>
    <row r="1040">
      <c r="A1040" s="4" t="s">
        <v>1047</v>
      </c>
      <c r="B1040" s="5" t="str">
        <f>IFERROR(__xludf.DUMMYFUNCTION("IF(A1040="""","""",INDEX(SPLIT(A1040,"" ""),COUNTA(SPLIT(A1040,"" ""))))"),"Volpedo")</f>
        <v>Volpedo</v>
      </c>
      <c r="C1040" s="6"/>
      <c r="D1040" s="6" t="s">
        <v>864</v>
      </c>
      <c r="E1040" s="7" t="s">
        <v>865</v>
      </c>
    </row>
    <row r="1041">
      <c r="A1041" s="4" t="s">
        <v>1048</v>
      </c>
      <c r="B1041" s="5" t="str">
        <f>IFERROR(__xludf.DUMMYFUNCTION("IF(A1041="""","""",INDEX(SPLIT(A1041,"" ""),COUNTA(SPLIT(A1041,"" ""))))"),"Volpeglino")</f>
        <v>Volpeglino</v>
      </c>
      <c r="C1041" s="6"/>
      <c r="D1041" s="6" t="s">
        <v>864</v>
      </c>
      <c r="E1041" s="7" t="s">
        <v>865</v>
      </c>
    </row>
    <row r="1042">
      <c r="A1042" s="4" t="s">
        <v>1049</v>
      </c>
      <c r="B1042" s="5" t="str">
        <f>IFERROR(__xludf.DUMMYFUNCTION("IF(A1042="""","""",INDEX(SPLIT(A1042,"" ""),COUNTA(SPLIT(A1042,"" ""))))"),"Voltaggio")</f>
        <v>Voltaggio</v>
      </c>
      <c r="C1042" s="6"/>
      <c r="D1042" s="6" t="s">
        <v>864</v>
      </c>
      <c r="E1042" s="7" t="s">
        <v>865</v>
      </c>
    </row>
    <row r="1043">
      <c r="A1043" s="4" t="s">
        <v>1050</v>
      </c>
      <c r="B1043" s="5" t="str">
        <f>IFERROR(__xludf.DUMMYFUNCTION("IF(A1043="""","""",INDEX(SPLIT(A1043,"" ""),COUNTA(SPLIT(A1043,"" ""))))"),"Spinola")</f>
        <v>Spinola</v>
      </c>
      <c r="C1043" s="6"/>
      <c r="D1043" s="6" t="s">
        <v>864</v>
      </c>
      <c r="E1043" s="7" t="s">
        <v>865</v>
      </c>
    </row>
    <row r="1044">
      <c r="A1044" s="4" t="s">
        <v>1051</v>
      </c>
      <c r="B1044" s="5" t="str">
        <f>IFERROR(__xludf.DUMMYFUNCTION("IF(A1044="""","""",INDEX(SPLIT(A1044,"" ""),COUNTA(SPLIT(A1044,"" ""))))"),"Piovera")</f>
        <v>Piovera</v>
      </c>
      <c r="C1044" s="6"/>
      <c r="D1044" s="6" t="s">
        <v>864</v>
      </c>
      <c r="E1044" s="7" t="s">
        <v>865</v>
      </c>
    </row>
    <row r="1045">
      <c r="A1045" s="4" t="s">
        <v>1052</v>
      </c>
      <c r="B1045" s="5" t="str">
        <f>IFERROR(__xludf.DUMMYFUNCTION("IF(A1045="""","""",INDEX(SPLIT(A1045,"" ""),COUNTA(SPLIT(A1045,"" ""))))"),"Ailoche")</f>
        <v>Ailoche</v>
      </c>
      <c r="C1045" s="6"/>
      <c r="D1045" s="6" t="s">
        <v>1053</v>
      </c>
      <c r="E1045" s="7" t="s">
        <v>1054</v>
      </c>
    </row>
    <row r="1046">
      <c r="A1046" s="4" t="s">
        <v>1055</v>
      </c>
      <c r="B1046" s="5" t="str">
        <f>IFERROR(__xludf.DUMMYFUNCTION("IF(A1046="""","""",INDEX(SPLIT(A1046,"" ""),COUNTA(SPLIT(A1046,"" ""))))"),"Micca")</f>
        <v>Micca</v>
      </c>
      <c r="C1046" s="6"/>
      <c r="D1046" s="6" t="s">
        <v>1053</v>
      </c>
      <c r="E1046" s="7" t="s">
        <v>1054</v>
      </c>
    </row>
    <row r="1047">
      <c r="A1047" s="4" t="s">
        <v>1056</v>
      </c>
      <c r="B1047" s="5" t="str">
        <f>IFERROR(__xludf.DUMMYFUNCTION("IF(A1047="""","""",INDEX(SPLIT(A1047,"" ""),COUNTA(SPLIT(A1047,"" ""))))"),"Benna")</f>
        <v>Benna</v>
      </c>
      <c r="C1047" s="6"/>
      <c r="D1047" s="6" t="s">
        <v>1053</v>
      </c>
      <c r="E1047" s="7" t="s">
        <v>1054</v>
      </c>
    </row>
    <row r="1048">
      <c r="A1048" s="4" t="s">
        <v>1053</v>
      </c>
      <c r="B1048" s="5" t="str">
        <f>IFERROR(__xludf.DUMMYFUNCTION("IF(A1048="""","""",INDEX(SPLIT(A1048,"" ""),COUNTA(SPLIT(A1048,"" ""))))"),"Biella")</f>
        <v>Biella</v>
      </c>
      <c r="C1048" s="6"/>
      <c r="D1048" s="6" t="s">
        <v>1053</v>
      </c>
      <c r="E1048" s="7" t="s">
        <v>1054</v>
      </c>
    </row>
    <row r="1049">
      <c r="A1049" s="4" t="s">
        <v>1057</v>
      </c>
      <c r="B1049" s="5" t="str">
        <f>IFERROR(__xludf.DUMMYFUNCTION("IF(A1049="""","""",INDEX(SPLIT(A1049,"" ""),COUNTA(SPLIT(A1049,"" ""))))"),"Bioglio")</f>
        <v>Bioglio</v>
      </c>
      <c r="C1049" s="6"/>
      <c r="D1049" s="6" t="s">
        <v>1053</v>
      </c>
      <c r="E1049" s="7" t="s">
        <v>1054</v>
      </c>
    </row>
    <row r="1050">
      <c r="A1050" s="4" t="s">
        <v>1058</v>
      </c>
      <c r="B1050" s="5" t="str">
        <f>IFERROR(__xludf.DUMMYFUNCTION("IF(A1050="""","""",INDEX(SPLIT(A1050,"" ""),COUNTA(SPLIT(A1050,"" ""))))"),"Borriana")</f>
        <v>Borriana</v>
      </c>
      <c r="C1050" s="6"/>
      <c r="D1050" s="6" t="s">
        <v>1053</v>
      </c>
      <c r="E1050" s="7" t="s">
        <v>1054</v>
      </c>
    </row>
    <row r="1051">
      <c r="A1051" s="4" t="s">
        <v>1059</v>
      </c>
      <c r="B1051" s="5" t="str">
        <f>IFERROR(__xludf.DUMMYFUNCTION("IF(A1051="""","""",INDEX(SPLIT(A1051,"" ""),COUNTA(SPLIT(A1051,"" ""))))"),"Brusnengo")</f>
        <v>Brusnengo</v>
      </c>
      <c r="C1051" s="6"/>
      <c r="D1051" s="6" t="s">
        <v>1053</v>
      </c>
      <c r="E1051" s="7" t="s">
        <v>1054</v>
      </c>
    </row>
    <row r="1052">
      <c r="A1052" s="4" t="s">
        <v>1060</v>
      </c>
      <c r="B1052" s="5" t="str">
        <f>IFERROR(__xludf.DUMMYFUNCTION("IF(A1052="""","""",INDEX(SPLIT(A1052,"" ""),COUNTA(SPLIT(A1052,"" ""))))"),"Callabiana")</f>
        <v>Callabiana</v>
      </c>
      <c r="C1052" s="6"/>
      <c r="D1052" s="6" t="s">
        <v>1053</v>
      </c>
      <c r="E1052" s="7" t="s">
        <v>1054</v>
      </c>
    </row>
    <row r="1053">
      <c r="A1053" s="4" t="s">
        <v>1061</v>
      </c>
      <c r="B1053" s="5" t="str">
        <f>IFERROR(__xludf.DUMMYFUNCTION("IF(A1053="""","""",INDEX(SPLIT(A1053,"" ""),COUNTA(SPLIT(A1053,"" ""))))"),"Camandona")</f>
        <v>Camandona</v>
      </c>
      <c r="C1053" s="6"/>
      <c r="D1053" s="6" t="s">
        <v>1053</v>
      </c>
      <c r="E1053" s="7" t="s">
        <v>1054</v>
      </c>
    </row>
    <row r="1054">
      <c r="A1054" s="4" t="s">
        <v>1062</v>
      </c>
      <c r="B1054" s="5" t="str">
        <f>IFERROR(__xludf.DUMMYFUNCTION("IF(A1054="""","""",INDEX(SPLIT(A1054,"" ""),COUNTA(SPLIT(A1054,"" ""))))"),"Camburzano")</f>
        <v>Camburzano</v>
      </c>
      <c r="C1054" s="6"/>
      <c r="D1054" s="6" t="s">
        <v>1053</v>
      </c>
      <c r="E1054" s="7" t="s">
        <v>1054</v>
      </c>
    </row>
    <row r="1055">
      <c r="A1055" s="4" t="s">
        <v>1063</v>
      </c>
      <c r="B1055" s="5" t="str">
        <f>IFERROR(__xludf.DUMMYFUNCTION("IF(A1055="""","""",INDEX(SPLIT(A1055,"" ""),COUNTA(SPLIT(A1055,"" ""))))"),"Candelo")</f>
        <v>Candelo</v>
      </c>
      <c r="C1055" s="6"/>
      <c r="D1055" s="6" t="s">
        <v>1053</v>
      </c>
      <c r="E1055" s="7" t="s">
        <v>1054</v>
      </c>
    </row>
    <row r="1056">
      <c r="A1056" s="4" t="s">
        <v>1064</v>
      </c>
      <c r="B1056" s="5" t="str">
        <f>IFERROR(__xludf.DUMMYFUNCTION("IF(A1056="""","""",INDEX(SPLIT(A1056,"" ""),COUNTA(SPLIT(A1056,"" ""))))"),"Caprile")</f>
        <v>Caprile</v>
      </c>
      <c r="C1056" s="6"/>
      <c r="D1056" s="6" t="s">
        <v>1053</v>
      </c>
      <c r="E1056" s="7" t="s">
        <v>1054</v>
      </c>
    </row>
    <row r="1057">
      <c r="A1057" s="4" t="s">
        <v>1065</v>
      </c>
      <c r="B1057" s="5" t="str">
        <f>IFERROR(__xludf.DUMMYFUNCTION("IF(A1057="""","""",INDEX(SPLIT(A1057,"" ""),COUNTA(SPLIT(A1057,"" ""))))"),"Casapinta")</f>
        <v>Casapinta</v>
      </c>
      <c r="C1057" s="6"/>
      <c r="D1057" s="6" t="s">
        <v>1053</v>
      </c>
      <c r="E1057" s="7" t="s">
        <v>1054</v>
      </c>
    </row>
    <row r="1058">
      <c r="A1058" s="4" t="s">
        <v>1066</v>
      </c>
      <c r="B1058" s="5" t="str">
        <f>IFERROR(__xludf.DUMMYFUNCTION("IF(A1058="""","""",INDEX(SPLIT(A1058,"" ""),COUNTA(SPLIT(A1058,"" ""))))"),"Cervo")</f>
        <v>Cervo</v>
      </c>
      <c r="C1058" s="6"/>
      <c r="D1058" s="6" t="s">
        <v>1053</v>
      </c>
      <c r="E1058" s="7" t="s">
        <v>1054</v>
      </c>
    </row>
    <row r="1059">
      <c r="A1059" s="4" t="s">
        <v>1067</v>
      </c>
      <c r="B1059" s="5" t="str">
        <f>IFERROR(__xludf.DUMMYFUNCTION("IF(A1059="""","""",INDEX(SPLIT(A1059,"" ""),COUNTA(SPLIT(A1059,"" ""))))"),"Cavaglià")</f>
        <v>Cavaglià</v>
      </c>
      <c r="C1059" s="6"/>
      <c r="D1059" s="6" t="s">
        <v>1053</v>
      </c>
      <c r="E1059" s="7" t="s">
        <v>1054</v>
      </c>
    </row>
    <row r="1060">
      <c r="A1060" s="4" t="s">
        <v>1068</v>
      </c>
      <c r="B1060" s="5" t="str">
        <f>IFERROR(__xludf.DUMMYFUNCTION("IF(A1060="""","""",INDEX(SPLIT(A1060,"" ""),COUNTA(SPLIT(A1060,"" ""))))"),"Castello")</f>
        <v>Castello</v>
      </c>
      <c r="C1060" s="6"/>
      <c r="D1060" s="6" t="s">
        <v>1053</v>
      </c>
      <c r="E1060" s="7" t="s">
        <v>1054</v>
      </c>
    </row>
    <row r="1061">
      <c r="A1061" s="4" t="s">
        <v>1069</v>
      </c>
      <c r="B1061" s="5" t="str">
        <f>IFERROR(__xludf.DUMMYFUNCTION("IF(A1061="""","""",INDEX(SPLIT(A1061,"" ""),COUNTA(SPLIT(A1061,"" ""))))"),"Cerrione")</f>
        <v>Cerrione</v>
      </c>
      <c r="C1061" s="6"/>
      <c r="D1061" s="6" t="s">
        <v>1053</v>
      </c>
      <c r="E1061" s="7" t="s">
        <v>1054</v>
      </c>
    </row>
    <row r="1062">
      <c r="A1062" s="4" t="s">
        <v>1070</v>
      </c>
      <c r="B1062" s="5" t="str">
        <f>IFERROR(__xludf.DUMMYFUNCTION("IF(A1062="""","""",INDEX(SPLIT(A1062,"" ""),COUNTA(SPLIT(A1062,"" ""))))"),"Coggiola")</f>
        <v>Coggiola</v>
      </c>
      <c r="C1062" s="6"/>
      <c r="D1062" s="6" t="s">
        <v>1053</v>
      </c>
      <c r="E1062" s="7" t="s">
        <v>1054</v>
      </c>
    </row>
    <row r="1063">
      <c r="A1063" s="4" t="s">
        <v>1071</v>
      </c>
      <c r="B1063" s="5" t="str">
        <f>IFERROR(__xludf.DUMMYFUNCTION("IF(A1063="""","""",INDEX(SPLIT(A1063,"" ""),COUNTA(SPLIT(A1063,"" ""))))"),"Cossato")</f>
        <v>Cossato</v>
      </c>
      <c r="C1063" s="6"/>
      <c r="D1063" s="6" t="s">
        <v>1053</v>
      </c>
      <c r="E1063" s="7" t="s">
        <v>1054</v>
      </c>
    </row>
    <row r="1064">
      <c r="A1064" s="4" t="s">
        <v>1072</v>
      </c>
      <c r="B1064" s="5" t="str">
        <f>IFERROR(__xludf.DUMMYFUNCTION("IF(A1064="""","""",INDEX(SPLIT(A1064,"" ""),COUNTA(SPLIT(A1064,"" ""))))"),"Crevacuore")</f>
        <v>Crevacuore</v>
      </c>
      <c r="C1064" s="6"/>
      <c r="D1064" s="6" t="s">
        <v>1053</v>
      </c>
      <c r="E1064" s="7" t="s">
        <v>1054</v>
      </c>
    </row>
    <row r="1065">
      <c r="A1065" s="4" t="s">
        <v>1073</v>
      </c>
      <c r="B1065" s="5" t="str">
        <f>IFERROR(__xludf.DUMMYFUNCTION("IF(A1065="""","""",INDEX(SPLIT(A1065,"" ""),COUNTA(SPLIT(A1065,"" ""))))"),"Curino")</f>
        <v>Curino</v>
      </c>
      <c r="C1065" s="6"/>
      <c r="D1065" s="6" t="s">
        <v>1053</v>
      </c>
      <c r="E1065" s="7" t="s">
        <v>1054</v>
      </c>
    </row>
    <row r="1066">
      <c r="A1066" s="4" t="s">
        <v>1074</v>
      </c>
      <c r="B1066" s="5" t="str">
        <f>IFERROR(__xludf.DUMMYFUNCTION("IF(A1066="""","""",INDEX(SPLIT(A1066,"" ""),COUNTA(SPLIT(A1066,"" ""))))"),"Donato")</f>
        <v>Donato</v>
      </c>
      <c r="C1066" s="6"/>
      <c r="D1066" s="6" t="s">
        <v>1053</v>
      </c>
      <c r="E1066" s="7" t="s">
        <v>1054</v>
      </c>
    </row>
    <row r="1067">
      <c r="A1067" s="4" t="s">
        <v>1075</v>
      </c>
      <c r="B1067" s="5" t="str">
        <f>IFERROR(__xludf.DUMMYFUNCTION("IF(A1067="""","""",INDEX(SPLIT(A1067,"" ""),COUNTA(SPLIT(A1067,"" ""))))"),"Dorzano")</f>
        <v>Dorzano</v>
      </c>
      <c r="C1067" s="6"/>
      <c r="D1067" s="6" t="s">
        <v>1053</v>
      </c>
      <c r="E1067" s="7" t="s">
        <v>1054</v>
      </c>
    </row>
    <row r="1068">
      <c r="A1068" s="4" t="s">
        <v>1076</v>
      </c>
      <c r="B1068" s="5" t="str">
        <f>IFERROR(__xludf.DUMMYFUNCTION("IF(A1068="""","""",INDEX(SPLIT(A1068,"" ""),COUNTA(SPLIT(A1068,"" ""))))"),"Gaglianico")</f>
        <v>Gaglianico</v>
      </c>
      <c r="C1068" s="6"/>
      <c r="D1068" s="6" t="s">
        <v>1053</v>
      </c>
      <c r="E1068" s="7" t="s">
        <v>1054</v>
      </c>
    </row>
    <row r="1069">
      <c r="A1069" s="4" t="s">
        <v>1077</v>
      </c>
      <c r="B1069" s="5" t="str">
        <f>IFERROR(__xludf.DUMMYFUNCTION("IF(A1069="""","""",INDEX(SPLIT(A1069,"" ""),COUNTA(SPLIT(A1069,"" ""))))"),"Gifflenga")</f>
        <v>Gifflenga</v>
      </c>
      <c r="C1069" s="6"/>
      <c r="D1069" s="6" t="s">
        <v>1053</v>
      </c>
      <c r="E1069" s="7" t="s">
        <v>1054</v>
      </c>
    </row>
    <row r="1070">
      <c r="A1070" s="4" t="s">
        <v>1078</v>
      </c>
      <c r="B1070" s="5" t="str">
        <f>IFERROR(__xludf.DUMMYFUNCTION("IF(A1070="""","""",INDEX(SPLIT(A1070,"" ""),COUNTA(SPLIT(A1070,"" ""))))"),"Graglia")</f>
        <v>Graglia</v>
      </c>
      <c r="C1070" s="6"/>
      <c r="D1070" s="6" t="s">
        <v>1053</v>
      </c>
      <c r="E1070" s="7" t="s">
        <v>1054</v>
      </c>
    </row>
    <row r="1071">
      <c r="A1071" s="4" t="s">
        <v>1079</v>
      </c>
      <c r="B1071" s="5" t="str">
        <f>IFERROR(__xludf.DUMMYFUNCTION("IF(A1071="""","""",INDEX(SPLIT(A1071,"" ""),COUNTA(SPLIT(A1071,"" ""))))"),"Magnano")</f>
        <v>Magnano</v>
      </c>
      <c r="C1071" s="6"/>
      <c r="D1071" s="6" t="s">
        <v>1053</v>
      </c>
      <c r="E1071" s="7" t="s">
        <v>1054</v>
      </c>
    </row>
    <row r="1072">
      <c r="A1072" s="4" t="s">
        <v>1080</v>
      </c>
      <c r="B1072" s="5" t="str">
        <f>IFERROR(__xludf.DUMMYFUNCTION("IF(A1072="""","""",INDEX(SPLIT(A1072,"" ""),COUNTA(SPLIT(A1072,"" ""))))"),"Massazza")</f>
        <v>Massazza</v>
      </c>
      <c r="C1072" s="6"/>
      <c r="D1072" s="6" t="s">
        <v>1053</v>
      </c>
      <c r="E1072" s="7" t="s">
        <v>1054</v>
      </c>
    </row>
    <row r="1073">
      <c r="A1073" s="4" t="s">
        <v>1081</v>
      </c>
      <c r="B1073" s="5" t="str">
        <f>IFERROR(__xludf.DUMMYFUNCTION("IF(A1073="""","""",INDEX(SPLIT(A1073,"" ""),COUNTA(SPLIT(A1073,"" ""))))"),"Masserano")</f>
        <v>Masserano</v>
      </c>
      <c r="C1073" s="6"/>
      <c r="D1073" s="6" t="s">
        <v>1053</v>
      </c>
      <c r="E1073" s="7" t="s">
        <v>1054</v>
      </c>
    </row>
    <row r="1074">
      <c r="A1074" s="4" t="s">
        <v>1082</v>
      </c>
      <c r="B1074" s="5" t="str">
        <f>IFERROR(__xludf.DUMMYFUNCTION("IF(A1074="""","""",INDEX(SPLIT(A1074,"" ""),COUNTA(SPLIT(A1074,"" ""))))"),"Mortigliengo")</f>
        <v>Mortigliengo</v>
      </c>
      <c r="C1074" s="6"/>
      <c r="D1074" s="6" t="s">
        <v>1053</v>
      </c>
      <c r="E1074" s="7" t="s">
        <v>1054</v>
      </c>
    </row>
    <row r="1075">
      <c r="A1075" s="4" t="s">
        <v>1083</v>
      </c>
      <c r="B1075" s="5" t="str">
        <f>IFERROR(__xludf.DUMMYFUNCTION("IF(A1075="""","""",INDEX(SPLIT(A1075,"" ""),COUNTA(SPLIT(A1075,"" ""))))"),"Miagliano")</f>
        <v>Miagliano</v>
      </c>
      <c r="C1075" s="6"/>
      <c r="D1075" s="6" t="s">
        <v>1053</v>
      </c>
      <c r="E1075" s="7" t="s">
        <v>1054</v>
      </c>
    </row>
    <row r="1076">
      <c r="A1076" s="4" t="s">
        <v>1084</v>
      </c>
      <c r="B1076" s="5" t="str">
        <f>IFERROR(__xludf.DUMMYFUNCTION("IF(A1076="""","""",INDEX(SPLIT(A1076,"" ""),COUNTA(SPLIT(A1076,"" ""))))"),"Mongrando")</f>
        <v>Mongrando</v>
      </c>
      <c r="C1076" s="6"/>
      <c r="D1076" s="6" t="s">
        <v>1053</v>
      </c>
      <c r="E1076" s="7" t="s">
        <v>1054</v>
      </c>
    </row>
    <row r="1077">
      <c r="A1077" s="4" t="s">
        <v>1085</v>
      </c>
      <c r="B1077" s="5" t="str">
        <f>IFERROR(__xludf.DUMMYFUNCTION("IF(A1077="""","""",INDEX(SPLIT(A1077,"" ""),COUNTA(SPLIT(A1077,"" ""))))"),"Mottalciata")</f>
        <v>Mottalciata</v>
      </c>
      <c r="C1077" s="6"/>
      <c r="D1077" s="6" t="s">
        <v>1053</v>
      </c>
      <c r="E1077" s="7" t="s">
        <v>1054</v>
      </c>
    </row>
    <row r="1078">
      <c r="A1078" s="4" t="s">
        <v>1086</v>
      </c>
      <c r="B1078" s="5" t="str">
        <f>IFERROR(__xludf.DUMMYFUNCTION("IF(A1078="""","""",INDEX(SPLIT(A1078,"" ""),COUNTA(SPLIT(A1078,"" ""))))"),"Muzzano")</f>
        <v>Muzzano</v>
      </c>
      <c r="C1078" s="6"/>
      <c r="D1078" s="6" t="s">
        <v>1053</v>
      </c>
      <c r="E1078" s="7" t="s">
        <v>1054</v>
      </c>
    </row>
    <row r="1079">
      <c r="A1079" s="4" t="s">
        <v>1087</v>
      </c>
      <c r="B1079" s="5" t="str">
        <f>IFERROR(__xludf.DUMMYFUNCTION("IF(A1079="""","""",INDEX(SPLIT(A1079,"" ""),COUNTA(SPLIT(A1079,"" ""))))"),"Netro")</f>
        <v>Netro</v>
      </c>
      <c r="C1079" s="6"/>
      <c r="D1079" s="6" t="s">
        <v>1053</v>
      </c>
      <c r="E1079" s="7" t="s">
        <v>1054</v>
      </c>
    </row>
    <row r="1080">
      <c r="A1080" s="4" t="s">
        <v>1088</v>
      </c>
      <c r="B1080" s="5" t="str">
        <f>IFERROR(__xludf.DUMMYFUNCTION("IF(A1080="""","""",INDEX(SPLIT(A1080,"" ""),COUNTA(SPLIT(A1080,"" ""))))"),"Inferiore")</f>
        <v>Inferiore</v>
      </c>
      <c r="C1080" s="6"/>
      <c r="D1080" s="6" t="s">
        <v>1053</v>
      </c>
      <c r="E1080" s="7" t="s">
        <v>1054</v>
      </c>
    </row>
    <row r="1081">
      <c r="A1081" s="4" t="s">
        <v>1089</v>
      </c>
      <c r="B1081" s="5" t="str">
        <f>IFERROR(__xludf.DUMMYFUNCTION("IF(A1081="""","""",INDEX(SPLIT(A1081,"" ""),COUNTA(SPLIT(A1081,"" ""))))"),"Superiore")</f>
        <v>Superiore</v>
      </c>
      <c r="C1081" s="6"/>
      <c r="D1081" s="6" t="s">
        <v>1053</v>
      </c>
      <c r="E1081" s="7" t="s">
        <v>1054</v>
      </c>
    </row>
    <row r="1082">
      <c r="A1082" s="4" t="s">
        <v>1090</v>
      </c>
      <c r="B1082" s="5" t="str">
        <f>IFERROR(__xludf.DUMMYFUNCTION("IF(A1082="""","""",INDEX(SPLIT(A1082,"" ""),COUNTA(SPLIT(A1082,"" ""))))"),"Pettinengo")</f>
        <v>Pettinengo</v>
      </c>
      <c r="C1082" s="6"/>
      <c r="D1082" s="6" t="s">
        <v>1053</v>
      </c>
      <c r="E1082" s="7" t="s">
        <v>1054</v>
      </c>
    </row>
    <row r="1083">
      <c r="A1083" s="4" t="s">
        <v>1091</v>
      </c>
      <c r="B1083" s="5" t="str">
        <f>IFERROR(__xludf.DUMMYFUNCTION("IF(A1083="""","""",INDEX(SPLIT(A1083,"" ""),COUNTA(SPLIT(A1083,"" ""))))"),"Piatto")</f>
        <v>Piatto</v>
      </c>
      <c r="C1083" s="6"/>
      <c r="D1083" s="6" t="s">
        <v>1053</v>
      </c>
      <c r="E1083" s="7" t="s">
        <v>1054</v>
      </c>
    </row>
    <row r="1084">
      <c r="A1084" s="4" t="s">
        <v>1092</v>
      </c>
      <c r="B1084" s="5" t="str">
        <f>IFERROR(__xludf.DUMMYFUNCTION("IF(A1084="""","""",INDEX(SPLIT(A1084,"" ""),COUNTA(SPLIT(A1084,"" ""))))"),"Piedicavallo")</f>
        <v>Piedicavallo</v>
      </c>
      <c r="C1084" s="6"/>
      <c r="D1084" s="6" t="s">
        <v>1053</v>
      </c>
      <c r="E1084" s="7" t="s">
        <v>1054</v>
      </c>
    </row>
    <row r="1085">
      <c r="A1085" s="4" t="s">
        <v>1093</v>
      </c>
      <c r="B1085" s="5" t="str">
        <f>IFERROR(__xludf.DUMMYFUNCTION("IF(A1085="""","""",INDEX(SPLIT(A1085,"" ""),COUNTA(SPLIT(A1085,"" ""))))"),"Pollone")</f>
        <v>Pollone</v>
      </c>
      <c r="C1085" s="6"/>
      <c r="D1085" s="6" t="s">
        <v>1053</v>
      </c>
      <c r="E1085" s="7" t="s">
        <v>1054</v>
      </c>
    </row>
    <row r="1086">
      <c r="A1086" s="4" t="s">
        <v>1094</v>
      </c>
      <c r="B1086" s="5" t="str">
        <f>IFERROR(__xludf.DUMMYFUNCTION("IF(A1086="""","""",INDEX(SPLIT(A1086,"" ""),COUNTA(SPLIT(A1086,"" ""))))"),"Ponderano")</f>
        <v>Ponderano</v>
      </c>
      <c r="C1086" s="6"/>
      <c r="D1086" s="6" t="s">
        <v>1053</v>
      </c>
      <c r="E1086" s="7" t="s">
        <v>1054</v>
      </c>
    </row>
    <row r="1087">
      <c r="A1087" s="4" t="s">
        <v>1095</v>
      </c>
      <c r="B1087" s="5" t="str">
        <f>IFERROR(__xludf.DUMMYFUNCTION("IF(A1087="""","""",INDEX(SPLIT(A1087,"" ""),COUNTA(SPLIT(A1087,"" ""))))"),"Portula")</f>
        <v>Portula</v>
      </c>
      <c r="C1087" s="6"/>
      <c r="D1087" s="6" t="s">
        <v>1053</v>
      </c>
      <c r="E1087" s="7" t="s">
        <v>1054</v>
      </c>
    </row>
    <row r="1088">
      <c r="A1088" s="4" t="s">
        <v>1096</v>
      </c>
      <c r="B1088" s="5" t="str">
        <f>IFERROR(__xludf.DUMMYFUNCTION("IF(A1088="""","""",INDEX(SPLIT(A1088,"" ""),COUNTA(SPLIT(A1088,"" ""))))"),"Pralungo")</f>
        <v>Pralungo</v>
      </c>
      <c r="C1088" s="6"/>
      <c r="D1088" s="6" t="s">
        <v>1053</v>
      </c>
      <c r="E1088" s="7" t="s">
        <v>1054</v>
      </c>
    </row>
    <row r="1089">
      <c r="A1089" s="4" t="s">
        <v>1097</v>
      </c>
      <c r="B1089" s="5" t="str">
        <f>IFERROR(__xludf.DUMMYFUNCTION("IF(A1089="""","""",INDEX(SPLIT(A1089,"" ""),COUNTA(SPLIT(A1089,"" ""))))"),"Pray")</f>
        <v>Pray</v>
      </c>
      <c r="C1089" s="6"/>
      <c r="D1089" s="6" t="s">
        <v>1053</v>
      </c>
      <c r="E1089" s="7" t="s">
        <v>1054</v>
      </c>
    </row>
    <row r="1090">
      <c r="A1090" s="4" t="s">
        <v>1098</v>
      </c>
      <c r="B1090" s="5" t="str">
        <f>IFERROR(__xludf.DUMMYFUNCTION("IF(A1090="""","""",INDEX(SPLIT(A1090,"" ""),COUNTA(SPLIT(A1090,"" ""))))"),"Quaregna")</f>
        <v>Quaregna</v>
      </c>
      <c r="C1090" s="6"/>
      <c r="D1090" s="6" t="s">
        <v>1053</v>
      </c>
      <c r="E1090" s="7" t="s">
        <v>1054</v>
      </c>
    </row>
    <row r="1091">
      <c r="A1091" s="4" t="s">
        <v>1099</v>
      </c>
      <c r="B1091" s="5" t="str">
        <f>IFERROR(__xludf.DUMMYFUNCTION("IF(A1091="""","""",INDEX(SPLIT(A1091,"" ""),COUNTA(SPLIT(A1091,"" ""))))"),"Biellese")</f>
        <v>Biellese</v>
      </c>
      <c r="C1091" s="6"/>
      <c r="D1091" s="6" t="s">
        <v>1053</v>
      </c>
      <c r="E1091" s="7" t="s">
        <v>1054</v>
      </c>
    </row>
    <row r="1092">
      <c r="A1092" s="4" t="s">
        <v>1100</v>
      </c>
      <c r="B1092" s="5" t="str">
        <f>IFERROR(__xludf.DUMMYFUNCTION("IF(A1092="""","""",INDEX(SPLIT(A1092,"" ""),COUNTA(SPLIT(A1092,"" ""))))"),"Roppolo")</f>
        <v>Roppolo</v>
      </c>
      <c r="C1092" s="6"/>
      <c r="D1092" s="6" t="s">
        <v>1053</v>
      </c>
      <c r="E1092" s="7" t="s">
        <v>1054</v>
      </c>
    </row>
    <row r="1093">
      <c r="A1093" s="4" t="s">
        <v>1101</v>
      </c>
      <c r="B1093" s="5" t="str">
        <f>IFERROR(__xludf.DUMMYFUNCTION("IF(A1093="""","""",INDEX(SPLIT(A1093,"" ""),COUNTA(SPLIT(A1093,"" ""))))"),"Rosazza")</f>
        <v>Rosazza</v>
      </c>
      <c r="C1093" s="6"/>
      <c r="D1093" s="6" t="s">
        <v>1053</v>
      </c>
      <c r="E1093" s="7" t="s">
        <v>1054</v>
      </c>
    </row>
    <row r="1094">
      <c r="A1094" s="4" t="s">
        <v>1102</v>
      </c>
      <c r="B1094" s="5" t="str">
        <f>IFERROR(__xludf.DUMMYFUNCTION("IF(A1094="""","""",INDEX(SPLIT(A1094,"" ""),COUNTA(SPLIT(A1094,"" ""))))"),"Micca")</f>
        <v>Micca</v>
      </c>
      <c r="C1094" s="6"/>
      <c r="D1094" s="6" t="s">
        <v>1053</v>
      </c>
      <c r="E1094" s="7" t="s">
        <v>1054</v>
      </c>
    </row>
    <row r="1095">
      <c r="A1095" s="4" t="s">
        <v>1103</v>
      </c>
      <c r="B1095" s="5" t="str">
        <f>IFERROR(__xludf.DUMMYFUNCTION("IF(A1095="""","""",INDEX(SPLIT(A1095,"" ""),COUNTA(SPLIT(A1095,"" ""))))"),"Biellese")</f>
        <v>Biellese</v>
      </c>
      <c r="C1095" s="6"/>
      <c r="D1095" s="6" t="s">
        <v>1053</v>
      </c>
      <c r="E1095" s="7" t="s">
        <v>1054</v>
      </c>
    </row>
    <row r="1096">
      <c r="A1096" s="4" t="s">
        <v>1104</v>
      </c>
      <c r="B1096" s="5" t="str">
        <f>IFERROR(__xludf.DUMMYFUNCTION("IF(A1096="""","""",INDEX(SPLIT(A1096,"" ""),COUNTA(SPLIT(A1096,"" ""))))"),"Salussola")</f>
        <v>Salussola</v>
      </c>
      <c r="C1096" s="6"/>
      <c r="D1096" s="6" t="s">
        <v>1053</v>
      </c>
      <c r="E1096" s="7" t="s">
        <v>1054</v>
      </c>
    </row>
    <row r="1097">
      <c r="A1097" s="4" t="s">
        <v>1105</v>
      </c>
      <c r="B1097" s="5" t="str">
        <f>IFERROR(__xludf.DUMMYFUNCTION("IF(A1097="""","""",INDEX(SPLIT(A1097,"" ""),COUNTA(SPLIT(A1097,"" ""))))"),"Sandigliano")</f>
        <v>Sandigliano</v>
      </c>
      <c r="C1097" s="6"/>
      <c r="D1097" s="6" t="s">
        <v>1053</v>
      </c>
      <c r="E1097" s="7" t="s">
        <v>1054</v>
      </c>
    </row>
    <row r="1098">
      <c r="A1098" s="4" t="s">
        <v>1106</v>
      </c>
      <c r="B1098" s="5" t="str">
        <f>IFERROR(__xludf.DUMMYFUNCTION("IF(A1098="""","""",INDEX(SPLIT(A1098,"" ""),COUNTA(SPLIT(A1098,"" ""))))"),"Soprana")</f>
        <v>Soprana</v>
      </c>
      <c r="C1098" s="6"/>
      <c r="D1098" s="6" t="s">
        <v>1053</v>
      </c>
      <c r="E1098" s="7" t="s">
        <v>1054</v>
      </c>
    </row>
    <row r="1099">
      <c r="A1099" s="4" t="s">
        <v>1107</v>
      </c>
      <c r="B1099" s="5" t="str">
        <f>IFERROR(__xludf.DUMMYFUNCTION("IF(A1099="""","""",INDEX(SPLIT(A1099,"" ""),COUNTA(SPLIT(A1099,"" ""))))"),"Sordevolo")</f>
        <v>Sordevolo</v>
      </c>
      <c r="C1099" s="6"/>
      <c r="D1099" s="6" t="s">
        <v>1053</v>
      </c>
      <c r="E1099" s="7" t="s">
        <v>1054</v>
      </c>
    </row>
    <row r="1100">
      <c r="A1100" s="4" t="s">
        <v>1108</v>
      </c>
      <c r="B1100" s="5" t="str">
        <f>IFERROR(__xludf.DUMMYFUNCTION("IF(A1100="""","""",INDEX(SPLIT(A1100,"" ""),COUNTA(SPLIT(A1100,"" ""))))"),"Sostegno")</f>
        <v>Sostegno</v>
      </c>
      <c r="C1100" s="6"/>
      <c r="D1100" s="6" t="s">
        <v>1053</v>
      </c>
      <c r="E1100" s="7" t="s">
        <v>1054</v>
      </c>
    </row>
    <row r="1101">
      <c r="A1101" s="4" t="s">
        <v>1109</v>
      </c>
      <c r="B1101" s="5" t="str">
        <f>IFERROR(__xludf.DUMMYFUNCTION("IF(A1101="""","""",INDEX(SPLIT(A1101,"" ""),COUNTA(SPLIT(A1101,"" ""))))"),"Strona")</f>
        <v>Strona</v>
      </c>
      <c r="C1101" s="6"/>
      <c r="D1101" s="6" t="s">
        <v>1053</v>
      </c>
      <c r="E1101" s="7" t="s">
        <v>1054</v>
      </c>
    </row>
    <row r="1102">
      <c r="A1102" s="4" t="s">
        <v>1110</v>
      </c>
      <c r="B1102" s="5" t="str">
        <f>IFERROR(__xludf.DUMMYFUNCTION("IF(A1102="""","""",INDEX(SPLIT(A1102,"" ""),COUNTA(SPLIT(A1102,"" ""))))"),"Tavigliano")</f>
        <v>Tavigliano</v>
      </c>
      <c r="C1102" s="6"/>
      <c r="D1102" s="6" t="s">
        <v>1053</v>
      </c>
      <c r="E1102" s="7" t="s">
        <v>1054</v>
      </c>
    </row>
    <row r="1103">
      <c r="A1103" s="4" t="s">
        <v>1111</v>
      </c>
      <c r="B1103" s="5" t="str">
        <f>IFERROR(__xludf.DUMMYFUNCTION("IF(A1103="""","""",INDEX(SPLIT(A1103,"" ""),COUNTA(SPLIT(A1103,"" ""))))"),"Ternengo")</f>
        <v>Ternengo</v>
      </c>
      <c r="C1103" s="6"/>
      <c r="D1103" s="6" t="s">
        <v>1053</v>
      </c>
      <c r="E1103" s="7" t="s">
        <v>1054</v>
      </c>
    </row>
    <row r="1104">
      <c r="A1104" s="4" t="s">
        <v>1112</v>
      </c>
      <c r="B1104" s="5" t="str">
        <f>IFERROR(__xludf.DUMMYFUNCTION("IF(A1104="""","""",INDEX(SPLIT(A1104,"" ""),COUNTA(SPLIT(A1104,"" ""))))"),"Tollegno")</f>
        <v>Tollegno</v>
      </c>
      <c r="C1104" s="6"/>
      <c r="D1104" s="6" t="s">
        <v>1053</v>
      </c>
      <c r="E1104" s="7" t="s">
        <v>1054</v>
      </c>
    </row>
    <row r="1105">
      <c r="A1105" s="4" t="s">
        <v>1113</v>
      </c>
      <c r="B1105" s="5" t="str">
        <f>IFERROR(__xludf.DUMMYFUNCTION("IF(A1105="""","""",INDEX(SPLIT(A1105,"" ""),COUNTA(SPLIT(A1105,"" ""))))"),"Torrazzo")</f>
        <v>Torrazzo</v>
      </c>
      <c r="C1105" s="6"/>
      <c r="D1105" s="6" t="s">
        <v>1053</v>
      </c>
      <c r="E1105" s="7" t="s">
        <v>1054</v>
      </c>
    </row>
    <row r="1106">
      <c r="A1106" s="4" t="s">
        <v>1114</v>
      </c>
      <c r="B1106" s="5" t="str">
        <f>IFERROR(__xludf.DUMMYFUNCTION("IF(A1106="""","""",INDEX(SPLIT(A1106,"" ""),COUNTA(SPLIT(A1106,"" ""))))"),"Trivero")</f>
        <v>Trivero</v>
      </c>
      <c r="C1106" s="6"/>
      <c r="D1106" s="6" t="s">
        <v>1053</v>
      </c>
      <c r="E1106" s="7" t="s">
        <v>1054</v>
      </c>
    </row>
    <row r="1107">
      <c r="A1107" s="4" t="s">
        <v>1115</v>
      </c>
      <c r="B1107" s="5" t="str">
        <f>IFERROR(__xludf.DUMMYFUNCTION("IF(A1107="""","""",INDEX(SPLIT(A1107,"" ""),COUNTA(SPLIT(A1107,"" ""))))"),"Valdengo")</f>
        <v>Valdengo</v>
      </c>
      <c r="C1107" s="6"/>
      <c r="D1107" s="6" t="s">
        <v>1053</v>
      </c>
      <c r="E1107" s="7" t="s">
        <v>1054</v>
      </c>
    </row>
    <row r="1108">
      <c r="A1108" s="4" t="s">
        <v>1116</v>
      </c>
      <c r="B1108" s="5" t="str">
        <f>IFERROR(__xludf.DUMMYFUNCTION("IF(A1108="""","""",INDEX(SPLIT(A1108,"" ""),COUNTA(SPLIT(A1108,"" ""))))"),"Vallanzengo")</f>
        <v>Vallanzengo</v>
      </c>
      <c r="C1108" s="6"/>
      <c r="D1108" s="6" t="s">
        <v>1053</v>
      </c>
      <c r="E1108" s="7" t="s">
        <v>1054</v>
      </c>
    </row>
    <row r="1109">
      <c r="A1109" s="4" t="s">
        <v>1117</v>
      </c>
      <c r="B1109" s="5" t="str">
        <f>IFERROR(__xludf.DUMMYFUNCTION("IF(A1109="""","""",INDEX(SPLIT(A1109,"" ""),COUNTA(SPLIT(A1109,"" ""))))"),"Mosso")</f>
        <v>Mosso</v>
      </c>
      <c r="C1109" s="6"/>
      <c r="D1109" s="6" t="s">
        <v>1053</v>
      </c>
      <c r="E1109" s="7" t="s">
        <v>1054</v>
      </c>
    </row>
    <row r="1110">
      <c r="A1110" s="4" t="s">
        <v>1118</v>
      </c>
      <c r="B1110" s="5" t="str">
        <f>IFERROR(__xludf.DUMMYFUNCTION("IF(A1110="""","""",INDEX(SPLIT(A1110,"" ""),COUNTA(SPLIT(A1110,"" ""))))"),"Nicolao")</f>
        <v>Nicolao</v>
      </c>
      <c r="C1110" s="6"/>
      <c r="D1110" s="6" t="s">
        <v>1053</v>
      </c>
      <c r="E1110" s="7" t="s">
        <v>1054</v>
      </c>
    </row>
    <row r="1111">
      <c r="A1111" s="4" t="s">
        <v>1119</v>
      </c>
      <c r="B1111" s="5" t="str">
        <f>IFERROR(__xludf.DUMMYFUNCTION("IF(A1111="""","""",INDEX(SPLIT(A1111,"" ""),COUNTA(SPLIT(A1111,"" ""))))"),"Veglio")</f>
        <v>Veglio</v>
      </c>
      <c r="C1111" s="6"/>
      <c r="D1111" s="6" t="s">
        <v>1053</v>
      </c>
      <c r="E1111" s="7" t="s">
        <v>1054</v>
      </c>
    </row>
    <row r="1112">
      <c r="A1112" s="4" t="s">
        <v>1120</v>
      </c>
      <c r="B1112" s="5" t="str">
        <f>IFERROR(__xludf.DUMMYFUNCTION("IF(A1112="""","""",INDEX(SPLIT(A1112,"" ""),COUNTA(SPLIT(A1112,"" ""))))"),"Verrone")</f>
        <v>Verrone</v>
      </c>
      <c r="C1112" s="6"/>
      <c r="D1112" s="6" t="s">
        <v>1053</v>
      </c>
      <c r="E1112" s="7" t="s">
        <v>1054</v>
      </c>
    </row>
    <row r="1113">
      <c r="A1113" s="4" t="s">
        <v>1121</v>
      </c>
      <c r="B1113" s="5" t="str">
        <f>IFERROR(__xludf.DUMMYFUNCTION("IF(A1113="""","""",INDEX(SPLIT(A1113,"" ""),COUNTA(SPLIT(A1113,"" ""))))"),"Biellese")</f>
        <v>Biellese</v>
      </c>
      <c r="C1113" s="6"/>
      <c r="D1113" s="6" t="s">
        <v>1053</v>
      </c>
      <c r="E1113" s="7" t="s">
        <v>1054</v>
      </c>
    </row>
    <row r="1114">
      <c r="A1114" s="4" t="s">
        <v>1122</v>
      </c>
      <c r="B1114" s="5" t="str">
        <f>IFERROR(__xludf.DUMMYFUNCTION("IF(A1114="""","""",INDEX(SPLIT(A1114,"" ""),COUNTA(SPLIT(A1114,"" ""))))"),"Bosco")</f>
        <v>Bosco</v>
      </c>
      <c r="C1114" s="6"/>
      <c r="D1114" s="6" t="s">
        <v>1053</v>
      </c>
      <c r="E1114" s="7" t="s">
        <v>1054</v>
      </c>
    </row>
    <row r="1115">
      <c r="A1115" s="4" t="s">
        <v>1123</v>
      </c>
      <c r="B1115" s="5" t="str">
        <f>IFERROR(__xludf.DUMMYFUNCTION("IF(A1115="""","""",INDEX(SPLIT(A1115,"" ""),COUNTA(SPLIT(A1115,"" ""))))"),"Biellese")</f>
        <v>Biellese</v>
      </c>
      <c r="C1115" s="6"/>
      <c r="D1115" s="6" t="s">
        <v>1053</v>
      </c>
      <c r="E1115" s="7" t="s">
        <v>1054</v>
      </c>
    </row>
    <row r="1116">
      <c r="A1116" s="4" t="s">
        <v>1124</v>
      </c>
      <c r="B1116" s="5" t="str">
        <f>IFERROR(__xludf.DUMMYFUNCTION("IF(A1116="""","""",INDEX(SPLIT(A1116,"" ""),COUNTA(SPLIT(A1116,"" ""))))"),"Viverone")</f>
        <v>Viverone</v>
      </c>
      <c r="C1116" s="6"/>
      <c r="D1116" s="6" t="s">
        <v>1053</v>
      </c>
      <c r="E1116" s="7" t="s">
        <v>1054</v>
      </c>
    </row>
    <row r="1117">
      <c r="A1117" s="4" t="s">
        <v>1125</v>
      </c>
      <c r="B1117" s="5" t="str">
        <f>IFERROR(__xludf.DUMMYFUNCTION("IF(A1117="""","""",INDEX(SPLIT(A1117,"" ""),COUNTA(SPLIT(A1117,"" ""))))"),"Zimone")</f>
        <v>Zimone</v>
      </c>
      <c r="C1117" s="6"/>
      <c r="D1117" s="6" t="s">
        <v>1053</v>
      </c>
      <c r="E1117" s="7" t="s">
        <v>1054</v>
      </c>
    </row>
    <row r="1118">
      <c r="A1118" s="4" t="s">
        <v>1126</v>
      </c>
      <c r="B1118" s="5" t="str">
        <f>IFERROR(__xludf.DUMMYFUNCTION("IF(A1118="""","""",INDEX(SPLIT(A1118,"" ""),COUNTA(SPLIT(A1118,"" ""))))"),"Zubiena")</f>
        <v>Zubiena</v>
      </c>
      <c r="C1118" s="6"/>
      <c r="D1118" s="6" t="s">
        <v>1053</v>
      </c>
      <c r="E1118" s="7" t="s">
        <v>1054</v>
      </c>
    </row>
    <row r="1119">
      <c r="A1119" s="4" t="s">
        <v>1127</v>
      </c>
      <c r="B1119" s="5" t="str">
        <f>IFERROR(__xludf.DUMMYFUNCTION("IF(A1119="""","""",INDEX(SPLIT(A1119,"" ""),COUNTA(SPLIT(A1119,"" ""))))"),"Zumaglia")</f>
        <v>Zumaglia</v>
      </c>
      <c r="C1119" s="6"/>
      <c r="D1119" s="6" t="s">
        <v>1053</v>
      </c>
      <c r="E1119" s="7" t="s">
        <v>1054</v>
      </c>
    </row>
    <row r="1120">
      <c r="A1120" s="4" t="s">
        <v>1128</v>
      </c>
      <c r="B1120" s="5" t="str">
        <f>IFERROR(__xludf.DUMMYFUNCTION("IF(A1120="""","""",INDEX(SPLIT(A1120,"" ""),COUNTA(SPLIT(A1120,"" ""))))"),"Mosso")</f>
        <v>Mosso</v>
      </c>
      <c r="C1120" s="6"/>
      <c r="D1120" s="6" t="s">
        <v>1053</v>
      </c>
      <c r="E1120" s="7" t="s">
        <v>1054</v>
      </c>
    </row>
    <row r="1121">
      <c r="A1121" s="4" t="s">
        <v>1129</v>
      </c>
      <c r="B1121" s="5" t="str">
        <f>IFERROR(__xludf.DUMMYFUNCTION("IF(A1121="""","""",INDEX(SPLIT(A1121,"" ""),COUNTA(SPLIT(A1121,"" ""))))"),"Lessona")</f>
        <v>Lessona</v>
      </c>
      <c r="C1121" s="6"/>
      <c r="D1121" s="6" t="s">
        <v>1053</v>
      </c>
      <c r="E1121" s="7" t="s">
        <v>1054</v>
      </c>
    </row>
    <row r="1122">
      <c r="A1122" s="4" t="s">
        <v>1130</v>
      </c>
      <c r="B1122" s="5" t="str">
        <f>IFERROR(__xludf.DUMMYFUNCTION("IF(A1122="""","""",INDEX(SPLIT(A1122,"" ""),COUNTA(SPLIT(A1122,"" ""))))"),"Cervo")</f>
        <v>Cervo</v>
      </c>
      <c r="C1122" s="6"/>
      <c r="D1122" s="6" t="s">
        <v>1053</v>
      </c>
      <c r="E1122" s="7" t="s">
        <v>1054</v>
      </c>
    </row>
    <row r="1123">
      <c r="A1123" s="4" t="s">
        <v>1131</v>
      </c>
      <c r="B1123" s="5" t="str">
        <f>IFERROR(__xludf.DUMMYFUNCTION("IF(A1123="""","""",INDEX(SPLIT(A1123,"" ""),COUNTA(SPLIT(A1123,"" ""))))"),"Schieranco")</f>
        <v>Schieranco</v>
      </c>
      <c r="C1123" s="6"/>
      <c r="D1123" s="6" t="s">
        <v>1132</v>
      </c>
      <c r="E1123" s="7" t="s">
        <v>1133</v>
      </c>
    </row>
    <row r="1124">
      <c r="A1124" s="4" t="s">
        <v>1134</v>
      </c>
      <c r="B1124" s="5" t="str">
        <f>IFERROR(__xludf.DUMMYFUNCTION("IF(A1124="""","""",INDEX(SPLIT(A1124,"" ""),COUNTA(SPLIT(A1124,"" ""))))"),"d'Ossola")</f>
        <v>d'Ossola</v>
      </c>
      <c r="C1124" s="6"/>
      <c r="D1124" s="6" t="s">
        <v>1132</v>
      </c>
      <c r="E1124" s="7" t="s">
        <v>1133</v>
      </c>
    </row>
    <row r="1125">
      <c r="A1125" s="4" t="s">
        <v>1135</v>
      </c>
      <c r="B1125" s="5" t="str">
        <f>IFERROR(__xludf.DUMMYFUNCTION("IF(A1125="""","""",INDEX(SPLIT(A1125,"" ""),COUNTA(SPLIT(A1125,"" ""))))"),"Arizzano")</f>
        <v>Arizzano</v>
      </c>
      <c r="C1125" s="6"/>
      <c r="D1125" s="6" t="s">
        <v>1132</v>
      </c>
      <c r="E1125" s="7" t="s">
        <v>1133</v>
      </c>
    </row>
    <row r="1126">
      <c r="A1126" s="4" t="s">
        <v>1136</v>
      </c>
      <c r="B1126" s="5" t="str">
        <f>IFERROR(__xludf.DUMMYFUNCTION("IF(A1126="""","""",INDEX(SPLIT(A1126,"" ""),COUNTA(SPLIT(A1126,"" ""))))"),"Arola")</f>
        <v>Arola</v>
      </c>
      <c r="C1126" s="6"/>
      <c r="D1126" s="6" t="s">
        <v>1132</v>
      </c>
      <c r="E1126" s="7" t="s">
        <v>1133</v>
      </c>
    </row>
    <row r="1127">
      <c r="A1127" s="4" t="s">
        <v>1137</v>
      </c>
      <c r="B1127" s="5" t="str">
        <f>IFERROR(__xludf.DUMMYFUNCTION("IF(A1127="""","""",INDEX(SPLIT(A1127,"" ""),COUNTA(SPLIT(A1127,"" ""))))"),"Aurano")</f>
        <v>Aurano</v>
      </c>
      <c r="C1127" s="6"/>
      <c r="D1127" s="6" t="s">
        <v>1132</v>
      </c>
      <c r="E1127" s="7" t="s">
        <v>1133</v>
      </c>
    </row>
    <row r="1128">
      <c r="A1128" s="4" t="s">
        <v>1138</v>
      </c>
      <c r="B1128" s="5" t="str">
        <f>IFERROR(__xludf.DUMMYFUNCTION("IF(A1128="""","""",INDEX(SPLIT(A1128,"" ""),COUNTA(SPLIT(A1128,"" ""))))"),"Baceno")</f>
        <v>Baceno</v>
      </c>
      <c r="C1128" s="6"/>
      <c r="D1128" s="6" t="s">
        <v>1132</v>
      </c>
      <c r="E1128" s="7" t="s">
        <v>1133</v>
      </c>
    </row>
    <row r="1129">
      <c r="A1129" s="4" t="s">
        <v>1139</v>
      </c>
      <c r="B1129" s="5" t="str">
        <f>IFERROR(__xludf.DUMMYFUNCTION("IF(A1129="""","""",INDEX(SPLIT(A1129,"" ""),COUNTA(SPLIT(A1129,"" ""))))"),"Anzino")</f>
        <v>Anzino</v>
      </c>
      <c r="C1129" s="6"/>
      <c r="D1129" s="6" t="s">
        <v>1132</v>
      </c>
      <c r="E1129" s="7" t="s">
        <v>1133</v>
      </c>
    </row>
    <row r="1130">
      <c r="A1130" s="4" t="s">
        <v>1140</v>
      </c>
      <c r="B1130" s="5" t="str">
        <f>IFERROR(__xludf.DUMMYFUNCTION("IF(A1130="""","""",INDEX(SPLIT(A1130,"" ""),COUNTA(SPLIT(A1130,"" ""))))"),"Baveno")</f>
        <v>Baveno</v>
      </c>
      <c r="C1130" s="6"/>
      <c r="D1130" s="6" t="s">
        <v>1132</v>
      </c>
      <c r="E1130" s="7" t="s">
        <v>1133</v>
      </c>
    </row>
    <row r="1131">
      <c r="A1131" s="4" t="s">
        <v>1141</v>
      </c>
      <c r="B1131" s="5" t="str">
        <f>IFERROR(__xludf.DUMMYFUNCTION("IF(A1131="""","""",INDEX(SPLIT(A1131,"" ""),COUNTA(SPLIT(A1131,"" ""))))"),"Bee")</f>
        <v>Bee</v>
      </c>
      <c r="C1131" s="6"/>
      <c r="D1131" s="6" t="s">
        <v>1132</v>
      </c>
      <c r="E1131" s="7" t="s">
        <v>1133</v>
      </c>
    </row>
    <row r="1132">
      <c r="A1132" s="4" t="s">
        <v>1142</v>
      </c>
      <c r="B1132" s="5" t="str">
        <f>IFERROR(__xludf.DUMMYFUNCTION("IF(A1132="""","""",INDEX(SPLIT(A1132,"" ""),COUNTA(SPLIT(A1132,"" ""))))"),"Belgirate")</f>
        <v>Belgirate</v>
      </c>
      <c r="C1132" s="6"/>
      <c r="D1132" s="6" t="s">
        <v>1132</v>
      </c>
      <c r="E1132" s="7" t="s">
        <v>1133</v>
      </c>
    </row>
    <row r="1133">
      <c r="A1133" s="4" t="s">
        <v>1143</v>
      </c>
      <c r="B1133" s="5" t="str">
        <f>IFERROR(__xludf.DUMMYFUNCTION("IF(A1133="""","""",INDEX(SPLIT(A1133,"" ""),COUNTA(SPLIT(A1133,"" ""))))"),"BeuraCardezza")</f>
        <v>BeuraCardezza</v>
      </c>
      <c r="C1133" s="6"/>
      <c r="D1133" s="6" t="s">
        <v>1132</v>
      </c>
      <c r="E1133" s="7" t="s">
        <v>1133</v>
      </c>
    </row>
    <row r="1134">
      <c r="A1134" s="4" t="s">
        <v>1144</v>
      </c>
      <c r="B1134" s="5" t="str">
        <f>IFERROR(__xludf.DUMMYFUNCTION("IF(A1134="""","""",INDEX(SPLIT(A1134,"" ""),COUNTA(SPLIT(A1134,"" ""))))"),"Bognanco")</f>
        <v>Bognanco</v>
      </c>
      <c r="C1134" s="6"/>
      <c r="D1134" s="6" t="s">
        <v>1132</v>
      </c>
      <c r="E1134" s="7" t="s">
        <v>1133</v>
      </c>
    </row>
    <row r="1135">
      <c r="A1135" s="4" t="s">
        <v>1145</v>
      </c>
      <c r="B1135" s="5" t="str">
        <f>IFERROR(__xludf.DUMMYFUNCTION("IF(A1135="""","""",INDEX(SPLIT(A1135,"" ""),COUNTA(SPLIT(A1135,"" ""))))"),"BrovelloCarpugnino")</f>
        <v>BrovelloCarpugnino</v>
      </c>
      <c r="C1135" s="6"/>
      <c r="D1135" s="6" t="s">
        <v>1132</v>
      </c>
      <c r="E1135" s="7" t="s">
        <v>1133</v>
      </c>
    </row>
    <row r="1136">
      <c r="A1136" s="4" t="s">
        <v>1146</v>
      </c>
      <c r="B1136" s="5" t="str">
        <f>IFERROR(__xludf.DUMMYFUNCTION("IF(A1136="""","""",INDEX(SPLIT(A1136,"" ""),COUNTA(SPLIT(A1136,"" ""))))"),"CalascaCastiglione")</f>
        <v>CalascaCastiglione</v>
      </c>
      <c r="C1136" s="6"/>
      <c r="D1136" s="6" t="s">
        <v>1132</v>
      </c>
      <c r="E1136" s="7" t="s">
        <v>1133</v>
      </c>
    </row>
    <row r="1137">
      <c r="A1137" s="4" t="s">
        <v>1147</v>
      </c>
      <c r="B1137" s="5" t="str">
        <f>IFERROR(__xludf.DUMMYFUNCTION("IF(A1137="""","""",INDEX(SPLIT(A1137,"" ""),COUNTA(SPLIT(A1137,"" ""))))"),"Cambiasca")</f>
        <v>Cambiasca</v>
      </c>
      <c r="C1137" s="6"/>
      <c r="D1137" s="6" t="s">
        <v>1132</v>
      </c>
      <c r="E1137" s="7" t="s">
        <v>1133</v>
      </c>
    </row>
    <row r="1138">
      <c r="A1138" s="4" t="s">
        <v>1148</v>
      </c>
      <c r="B1138" s="5" t="str">
        <f>IFERROR(__xludf.DUMMYFUNCTION("IF(A1138="""","""",INDEX(SPLIT(A1138,"" ""),COUNTA(SPLIT(A1138,"" ""))))"),"Riviera")</f>
        <v>Riviera</v>
      </c>
      <c r="C1138" s="6"/>
      <c r="D1138" s="6" t="s">
        <v>1132</v>
      </c>
      <c r="E1138" s="7" t="s">
        <v>1133</v>
      </c>
    </row>
    <row r="1139">
      <c r="A1139" s="4" t="s">
        <v>1149</v>
      </c>
      <c r="B1139" s="5" t="str">
        <f>IFERROR(__xludf.DUMMYFUNCTION("IF(A1139="""","""",INDEX(SPLIT(A1139,"" ""),COUNTA(SPLIT(A1139,"" ""))))"),"Cannobio")</f>
        <v>Cannobio</v>
      </c>
      <c r="C1139" s="6"/>
      <c r="D1139" s="6" t="s">
        <v>1132</v>
      </c>
      <c r="E1139" s="7" t="s">
        <v>1133</v>
      </c>
    </row>
    <row r="1140">
      <c r="A1140" s="4" t="s">
        <v>1150</v>
      </c>
      <c r="B1140" s="5" t="str">
        <f>IFERROR(__xludf.DUMMYFUNCTION("IF(A1140="""","""",INDEX(SPLIT(A1140,"" ""),COUNTA(SPLIT(A1140,"" ""))))"),"Caprezzo")</f>
        <v>Caprezzo</v>
      </c>
      <c r="C1140" s="6"/>
      <c r="D1140" s="6" t="s">
        <v>1132</v>
      </c>
      <c r="E1140" s="7" t="s">
        <v>1133</v>
      </c>
    </row>
    <row r="1141">
      <c r="A1141" s="4" t="s">
        <v>1151</v>
      </c>
      <c r="B1141" s="5" t="str">
        <f>IFERROR(__xludf.DUMMYFUNCTION("IF(A1141="""","""",INDEX(SPLIT(A1141,"" ""),COUNTA(SPLIT(A1141,"" ""))))"),"Cerro")</f>
        <v>Cerro</v>
      </c>
      <c r="C1141" s="6"/>
      <c r="D1141" s="6" t="s">
        <v>1132</v>
      </c>
      <c r="E1141" s="7" t="s">
        <v>1133</v>
      </c>
    </row>
    <row r="1142">
      <c r="A1142" s="4" t="s">
        <v>1152</v>
      </c>
      <c r="B1142" s="5" t="str">
        <f>IFERROR(__xludf.DUMMYFUNCTION("IF(A1142="""","""",INDEX(SPLIT(A1142,"" ""),COUNTA(SPLIT(A1142,"" ""))))"),"CavaglioSpoccia")</f>
        <v>CavaglioSpoccia</v>
      </c>
      <c r="C1142" s="6"/>
      <c r="D1142" s="6" t="s">
        <v>1132</v>
      </c>
      <c r="E1142" s="7" t="s">
        <v>1133</v>
      </c>
    </row>
    <row r="1143">
      <c r="A1143" s="4" t="s">
        <v>1153</v>
      </c>
      <c r="B1143" s="5" t="str">
        <f>IFERROR(__xludf.DUMMYFUNCTION("IF(A1143="""","""",INDEX(SPLIT(A1143,"" ""),COUNTA(SPLIT(A1143,"" ""))))"),"Morelli")</f>
        <v>Morelli</v>
      </c>
      <c r="C1143" s="6"/>
      <c r="D1143" s="6" t="s">
        <v>1132</v>
      </c>
      <c r="E1143" s="7" t="s">
        <v>1133</v>
      </c>
    </row>
    <row r="1144">
      <c r="A1144" s="4" t="s">
        <v>1154</v>
      </c>
      <c r="B1144" s="5" t="str">
        <f>IFERROR(__xludf.DUMMYFUNCTION("IF(A1144="""","""",INDEX(SPLIT(A1144,"" ""),COUNTA(SPLIT(A1144,"" ""))))"),"Cesara")</f>
        <v>Cesara</v>
      </c>
      <c r="C1144" s="6"/>
      <c r="D1144" s="6" t="s">
        <v>1132</v>
      </c>
      <c r="E1144" s="7" t="s">
        <v>1133</v>
      </c>
    </row>
    <row r="1145">
      <c r="A1145" s="4" t="s">
        <v>1155</v>
      </c>
      <c r="B1145" s="5" t="str">
        <f>IFERROR(__xludf.DUMMYFUNCTION("IF(A1145="""","""",INDEX(SPLIT(A1145,"" ""),COUNTA(SPLIT(A1145,"" ""))))"),"Cossogno")</f>
        <v>Cossogno</v>
      </c>
      <c r="C1145" s="6"/>
      <c r="D1145" s="6" t="s">
        <v>1132</v>
      </c>
      <c r="E1145" s="7" t="s">
        <v>1133</v>
      </c>
    </row>
    <row r="1146">
      <c r="A1146" s="4" t="s">
        <v>1156</v>
      </c>
      <c r="B1146" s="5" t="str">
        <f>IFERROR(__xludf.DUMMYFUNCTION("IF(A1146="""","""",INDEX(SPLIT(A1146,"" ""),COUNTA(SPLIT(A1146,"" ""))))"),"Craveggia")</f>
        <v>Craveggia</v>
      </c>
      <c r="C1146" s="6"/>
      <c r="D1146" s="6" t="s">
        <v>1132</v>
      </c>
      <c r="E1146" s="7" t="s">
        <v>1133</v>
      </c>
    </row>
    <row r="1147">
      <c r="A1147" s="4" t="s">
        <v>1157</v>
      </c>
      <c r="B1147" s="5" t="str">
        <f>IFERROR(__xludf.DUMMYFUNCTION("IF(A1147="""","""",INDEX(SPLIT(A1147,"" ""),COUNTA(SPLIT(A1147,"" ""))))"),"Crevoladossola")</f>
        <v>Crevoladossola</v>
      </c>
      <c r="C1147" s="6"/>
      <c r="D1147" s="6" t="s">
        <v>1132</v>
      </c>
      <c r="E1147" s="7" t="s">
        <v>1133</v>
      </c>
    </row>
    <row r="1148">
      <c r="A1148" s="4" t="s">
        <v>1158</v>
      </c>
      <c r="B1148" s="5" t="str">
        <f>IFERROR(__xludf.DUMMYFUNCTION("IF(A1148="""","""",INDEX(SPLIT(A1148,"" ""),COUNTA(SPLIT(A1148,"" ""))))"),"Crodo")</f>
        <v>Crodo</v>
      </c>
      <c r="C1148" s="6"/>
      <c r="D1148" s="6" t="s">
        <v>1132</v>
      </c>
      <c r="E1148" s="7" t="s">
        <v>1133</v>
      </c>
    </row>
    <row r="1149">
      <c r="A1149" s="4" t="s">
        <v>1159</v>
      </c>
      <c r="B1149" s="5" t="str">
        <f>IFERROR(__xludf.DUMMYFUNCTION("IF(A1149="""","""",INDEX(SPLIT(A1149,"" ""),COUNTA(SPLIT(A1149,"" ""))))"),"CursoloOrasso")</f>
        <v>CursoloOrasso</v>
      </c>
      <c r="C1149" s="6"/>
      <c r="D1149" s="6" t="s">
        <v>1132</v>
      </c>
      <c r="E1149" s="7" t="s">
        <v>1133</v>
      </c>
    </row>
    <row r="1150">
      <c r="A1150" s="4" t="s">
        <v>1160</v>
      </c>
      <c r="B1150" s="5" t="str">
        <f>IFERROR(__xludf.DUMMYFUNCTION("IF(A1150="""","""",INDEX(SPLIT(A1150,"" ""),COUNTA(SPLIT(A1150,"" ""))))"),"Domodossola")</f>
        <v>Domodossola</v>
      </c>
      <c r="C1150" s="6"/>
      <c r="D1150" s="6" t="s">
        <v>1132</v>
      </c>
      <c r="E1150" s="7" t="s">
        <v>1133</v>
      </c>
    </row>
    <row r="1151">
      <c r="A1151" s="4" t="s">
        <v>1161</v>
      </c>
      <c r="B1151" s="5" t="str">
        <f>IFERROR(__xludf.DUMMYFUNCTION("IF(A1151="""","""",INDEX(SPLIT(A1151,"" ""),COUNTA(SPLIT(A1151,"" ""))))"),"Druogno")</f>
        <v>Druogno</v>
      </c>
      <c r="C1151" s="6"/>
      <c r="D1151" s="6" t="s">
        <v>1132</v>
      </c>
      <c r="E1151" s="7" t="s">
        <v>1133</v>
      </c>
    </row>
    <row r="1152">
      <c r="A1152" s="4" t="s">
        <v>1162</v>
      </c>
      <c r="B1152" s="5" t="str">
        <f>IFERROR(__xludf.DUMMYFUNCTION("IF(A1152="""","""",INDEX(SPLIT(A1152,"" ""),COUNTA(SPLIT(A1152,"" ""))))"),"Falmenta")</f>
        <v>Falmenta</v>
      </c>
      <c r="C1152" s="6"/>
      <c r="D1152" s="6" t="s">
        <v>1132</v>
      </c>
      <c r="E1152" s="7" t="s">
        <v>1133</v>
      </c>
    </row>
    <row r="1153">
      <c r="A1153" s="4" t="s">
        <v>1163</v>
      </c>
      <c r="B1153" s="5" t="str">
        <f>IFERROR(__xludf.DUMMYFUNCTION("IF(A1153="""","""",INDEX(SPLIT(A1153,"" ""),COUNTA(SPLIT(A1153,"" ""))))"),"Formazza")</f>
        <v>Formazza</v>
      </c>
      <c r="C1153" s="6"/>
      <c r="D1153" s="6" t="s">
        <v>1132</v>
      </c>
      <c r="E1153" s="7" t="s">
        <v>1133</v>
      </c>
    </row>
    <row r="1154">
      <c r="A1154" s="4" t="s">
        <v>1164</v>
      </c>
      <c r="B1154" s="5" t="str">
        <f>IFERROR(__xludf.DUMMYFUNCTION("IF(A1154="""","""",INDEX(SPLIT(A1154,"" ""),COUNTA(SPLIT(A1154,"" ""))))"),"Germagno")</f>
        <v>Germagno</v>
      </c>
      <c r="C1154" s="6"/>
      <c r="D1154" s="6" t="s">
        <v>1132</v>
      </c>
      <c r="E1154" s="7" t="s">
        <v>1133</v>
      </c>
    </row>
    <row r="1155">
      <c r="A1155" s="4" t="s">
        <v>1165</v>
      </c>
      <c r="B1155" s="5" t="str">
        <f>IFERROR(__xludf.DUMMYFUNCTION("IF(A1155="""","""",INDEX(SPLIT(A1155,"" ""),COUNTA(SPLIT(A1155,"" ""))))"),"Ghiffa")</f>
        <v>Ghiffa</v>
      </c>
      <c r="C1155" s="6"/>
      <c r="D1155" s="6" t="s">
        <v>1132</v>
      </c>
      <c r="E1155" s="7" t="s">
        <v>1133</v>
      </c>
    </row>
    <row r="1156">
      <c r="A1156" s="4" t="s">
        <v>1166</v>
      </c>
      <c r="B1156" s="5" t="str">
        <f>IFERROR(__xludf.DUMMYFUNCTION("IF(A1156="""","""",INDEX(SPLIT(A1156,"" ""),COUNTA(SPLIT(A1156,"" ""))))"),"Gignese")</f>
        <v>Gignese</v>
      </c>
      <c r="C1156" s="6"/>
      <c r="D1156" s="6" t="s">
        <v>1132</v>
      </c>
      <c r="E1156" s="7" t="s">
        <v>1133</v>
      </c>
    </row>
    <row r="1157">
      <c r="A1157" s="4" t="s">
        <v>1167</v>
      </c>
      <c r="B1157" s="5" t="str">
        <f>IFERROR(__xludf.DUMMYFUNCTION("IF(A1157="""","""",INDEX(SPLIT(A1157,"" ""),COUNTA(SPLIT(A1157,"" ""))))"),"Toce")</f>
        <v>Toce</v>
      </c>
      <c r="C1157" s="6"/>
      <c r="D1157" s="6" t="s">
        <v>1132</v>
      </c>
      <c r="E1157" s="7" t="s">
        <v>1133</v>
      </c>
    </row>
    <row r="1158">
      <c r="A1158" s="4" t="s">
        <v>1168</v>
      </c>
      <c r="B1158" s="5" t="str">
        <f>IFERROR(__xludf.DUMMYFUNCTION("IF(A1158="""","""",INDEX(SPLIT(A1158,"" ""),COUNTA(SPLIT(A1158,"" ""))))"),"Gurro")</f>
        <v>Gurro</v>
      </c>
      <c r="C1158" s="6"/>
      <c r="D1158" s="6" t="s">
        <v>1132</v>
      </c>
      <c r="E1158" s="7" t="s">
        <v>1133</v>
      </c>
    </row>
    <row r="1159">
      <c r="A1159" s="4" t="s">
        <v>1169</v>
      </c>
      <c r="B1159" s="5" t="str">
        <f>IFERROR(__xludf.DUMMYFUNCTION("IF(A1159="""","""",INDEX(SPLIT(A1159,"" ""),COUNTA(SPLIT(A1159,"" ""))))"),"Intragna")</f>
        <v>Intragna</v>
      </c>
      <c r="C1159" s="6"/>
      <c r="D1159" s="6" t="s">
        <v>1132</v>
      </c>
      <c r="E1159" s="7" t="s">
        <v>1133</v>
      </c>
    </row>
    <row r="1160">
      <c r="A1160" s="4" t="s">
        <v>1170</v>
      </c>
      <c r="B1160" s="5" t="str">
        <f>IFERROR(__xludf.DUMMYFUNCTION("IF(A1160="""","""",INDEX(SPLIT(A1160,"" ""),COUNTA(SPLIT(A1160,"" ""))))"),"Loreglia")</f>
        <v>Loreglia</v>
      </c>
      <c r="C1160" s="6"/>
      <c r="D1160" s="6" t="s">
        <v>1132</v>
      </c>
      <c r="E1160" s="7" t="s">
        <v>1133</v>
      </c>
    </row>
    <row r="1161">
      <c r="A1161" s="4" t="s">
        <v>1171</v>
      </c>
      <c r="B1161" s="5" t="str">
        <f>IFERROR(__xludf.DUMMYFUNCTION("IF(A1161="""","""",INDEX(SPLIT(A1161,"" ""),COUNTA(SPLIT(A1161,"" ""))))"),"Macugnaga")</f>
        <v>Macugnaga</v>
      </c>
      <c r="C1161" s="6"/>
      <c r="D1161" s="6" t="s">
        <v>1132</v>
      </c>
      <c r="E1161" s="7" t="s">
        <v>1133</v>
      </c>
    </row>
    <row r="1162">
      <c r="A1162" s="4" t="s">
        <v>1172</v>
      </c>
      <c r="B1162" s="5" t="str">
        <f>IFERROR(__xludf.DUMMYFUNCTION("IF(A1162="""","""",INDEX(SPLIT(A1162,"" ""),COUNTA(SPLIT(A1162,"" ""))))"),"Sasso")</f>
        <v>Sasso</v>
      </c>
      <c r="C1162" s="6"/>
      <c r="D1162" s="6" t="s">
        <v>1132</v>
      </c>
      <c r="E1162" s="7" t="s">
        <v>1133</v>
      </c>
    </row>
    <row r="1163">
      <c r="A1163" s="4" t="s">
        <v>1173</v>
      </c>
      <c r="B1163" s="5" t="str">
        <f>IFERROR(__xludf.DUMMYFUNCTION("IF(A1163="""","""",INDEX(SPLIT(A1163,"" ""),COUNTA(SPLIT(A1163,"" ""))))"),"Malesco")</f>
        <v>Malesco</v>
      </c>
      <c r="C1163" s="6"/>
      <c r="D1163" s="6" t="s">
        <v>1132</v>
      </c>
      <c r="E1163" s="7" t="s">
        <v>1133</v>
      </c>
    </row>
    <row r="1164">
      <c r="A1164" s="4" t="s">
        <v>1174</v>
      </c>
      <c r="B1164" s="5" t="str">
        <f>IFERROR(__xludf.DUMMYFUNCTION("IF(A1164="""","""",INDEX(SPLIT(A1164,"" ""),COUNTA(SPLIT(A1164,"" ""))))"),"Masera")</f>
        <v>Masera</v>
      </c>
      <c r="C1164" s="6"/>
      <c r="D1164" s="6" t="s">
        <v>1132</v>
      </c>
      <c r="E1164" s="7" t="s">
        <v>1133</v>
      </c>
    </row>
    <row r="1165">
      <c r="A1165" s="4" t="s">
        <v>1175</v>
      </c>
      <c r="B1165" s="5" t="str">
        <f>IFERROR(__xludf.DUMMYFUNCTION("IF(A1165="""","""",INDEX(SPLIT(A1165,"" ""),COUNTA(SPLIT(A1165,"" ""))))"),"Massiola")</f>
        <v>Massiola</v>
      </c>
      <c r="C1165" s="6"/>
      <c r="D1165" s="6" t="s">
        <v>1132</v>
      </c>
      <c r="E1165" s="7" t="s">
        <v>1133</v>
      </c>
    </row>
    <row r="1166">
      <c r="A1166" s="4" t="s">
        <v>1176</v>
      </c>
      <c r="B1166" s="5" t="str">
        <f>IFERROR(__xludf.DUMMYFUNCTION("IF(A1166="""","""",INDEX(SPLIT(A1166,"" ""),COUNTA(SPLIT(A1166,"" ""))))"),"Mergozzo")</f>
        <v>Mergozzo</v>
      </c>
      <c r="C1166" s="6"/>
      <c r="D1166" s="6" t="s">
        <v>1132</v>
      </c>
      <c r="E1166" s="7" t="s">
        <v>1133</v>
      </c>
    </row>
    <row r="1167">
      <c r="A1167" s="4" t="s">
        <v>1177</v>
      </c>
      <c r="B1167" s="5" t="str">
        <f>IFERROR(__xludf.DUMMYFUNCTION("IF(A1167="""","""",INDEX(SPLIT(A1167,"" ""),COUNTA(SPLIT(A1167,"" ""))))"),"Miazzina")</f>
        <v>Miazzina</v>
      </c>
      <c r="C1167" s="6"/>
      <c r="D1167" s="6" t="s">
        <v>1132</v>
      </c>
      <c r="E1167" s="7" t="s">
        <v>1133</v>
      </c>
    </row>
    <row r="1168">
      <c r="A1168" s="4" t="s">
        <v>1178</v>
      </c>
      <c r="B1168" s="5" t="str">
        <f>IFERROR(__xludf.DUMMYFUNCTION("IF(A1168="""","""",INDEX(SPLIT(A1168,"" ""),COUNTA(SPLIT(A1168,"" ""))))"),"Montecrestese")</f>
        <v>Montecrestese</v>
      </c>
      <c r="C1168" s="6"/>
      <c r="D1168" s="6" t="s">
        <v>1132</v>
      </c>
      <c r="E1168" s="7" t="s">
        <v>1133</v>
      </c>
    </row>
    <row r="1169">
      <c r="A1169" s="4" t="s">
        <v>1179</v>
      </c>
      <c r="B1169" s="5" t="str">
        <f>IFERROR(__xludf.DUMMYFUNCTION("IF(A1169="""","""",INDEX(SPLIT(A1169,"" ""),COUNTA(SPLIT(A1169,"" ""))))"),"Montescheno")</f>
        <v>Montescheno</v>
      </c>
      <c r="C1169" s="6"/>
      <c r="D1169" s="6" t="s">
        <v>1132</v>
      </c>
      <c r="E1169" s="7" t="s">
        <v>1133</v>
      </c>
    </row>
    <row r="1170">
      <c r="A1170" s="4" t="s">
        <v>1180</v>
      </c>
      <c r="B1170" s="5" t="str">
        <f>IFERROR(__xludf.DUMMYFUNCTION("IF(A1170="""","""",INDEX(SPLIT(A1170,"" ""),COUNTA(SPLIT(A1170,"" ""))))"),"Nonio")</f>
        <v>Nonio</v>
      </c>
      <c r="C1170" s="6"/>
      <c r="D1170" s="6" t="s">
        <v>1132</v>
      </c>
      <c r="E1170" s="7" t="s">
        <v>1133</v>
      </c>
    </row>
    <row r="1171">
      <c r="A1171" s="4" t="s">
        <v>1181</v>
      </c>
      <c r="B1171" s="5" t="str">
        <f>IFERROR(__xludf.DUMMYFUNCTION("IF(A1171="""","""",INDEX(SPLIT(A1171,"" ""),COUNTA(SPLIT(A1171,"" ""))))"),"Oggebbio")</f>
        <v>Oggebbio</v>
      </c>
      <c r="C1171" s="6"/>
      <c r="D1171" s="6" t="s">
        <v>1132</v>
      </c>
      <c r="E1171" s="7" t="s">
        <v>1133</v>
      </c>
    </row>
    <row r="1172">
      <c r="A1172" s="4" t="s">
        <v>1182</v>
      </c>
      <c r="B1172" s="5" t="str">
        <f>IFERROR(__xludf.DUMMYFUNCTION("IF(A1172="""","""",INDEX(SPLIT(A1172,"" ""),COUNTA(SPLIT(A1172,"" ""))))"),"Omegna")</f>
        <v>Omegna</v>
      </c>
      <c r="C1172" s="6"/>
      <c r="D1172" s="6" t="s">
        <v>1132</v>
      </c>
      <c r="E1172" s="7" t="s">
        <v>1133</v>
      </c>
    </row>
    <row r="1173">
      <c r="A1173" s="4" t="s">
        <v>1183</v>
      </c>
      <c r="B1173" s="5" t="str">
        <f>IFERROR(__xludf.DUMMYFUNCTION("IF(A1173="""","""",INDEX(SPLIT(A1173,"" ""),COUNTA(SPLIT(A1173,"" ""))))"),"Ornavasso")</f>
        <v>Ornavasso</v>
      </c>
      <c r="C1173" s="6"/>
      <c r="D1173" s="6" t="s">
        <v>1132</v>
      </c>
      <c r="E1173" s="7" t="s">
        <v>1133</v>
      </c>
    </row>
    <row r="1174">
      <c r="A1174" s="4" t="s">
        <v>1184</v>
      </c>
      <c r="B1174" s="5" t="str">
        <f>IFERROR(__xludf.DUMMYFUNCTION("IF(A1174="""","""",INDEX(SPLIT(A1174,"" ""),COUNTA(SPLIT(A1174,"" ""))))"),"Pallanzeno")</f>
        <v>Pallanzeno</v>
      </c>
      <c r="C1174" s="6"/>
      <c r="D1174" s="6" t="s">
        <v>1132</v>
      </c>
      <c r="E1174" s="7" t="s">
        <v>1133</v>
      </c>
    </row>
    <row r="1175">
      <c r="A1175" s="4" t="s">
        <v>1185</v>
      </c>
      <c r="B1175" s="5" t="str">
        <f>IFERROR(__xludf.DUMMYFUNCTION("IF(A1175="""","""",INDEX(SPLIT(A1175,"" ""),COUNTA(SPLIT(A1175,"" ""))))"),"Piedimulera")</f>
        <v>Piedimulera</v>
      </c>
      <c r="C1175" s="6"/>
      <c r="D1175" s="6" t="s">
        <v>1132</v>
      </c>
      <c r="E1175" s="7" t="s">
        <v>1133</v>
      </c>
    </row>
    <row r="1176">
      <c r="A1176" s="4" t="s">
        <v>1186</v>
      </c>
      <c r="B1176" s="5" t="str">
        <f>IFERROR(__xludf.DUMMYFUNCTION("IF(A1176="""","""",INDEX(SPLIT(A1176,"" ""),COUNTA(SPLIT(A1176,"" ""))))"),"Vergonte")</f>
        <v>Vergonte</v>
      </c>
      <c r="C1176" s="6"/>
      <c r="D1176" s="6" t="s">
        <v>1132</v>
      </c>
      <c r="E1176" s="7" t="s">
        <v>1133</v>
      </c>
    </row>
    <row r="1177">
      <c r="A1177" s="4" t="s">
        <v>1187</v>
      </c>
      <c r="B1177" s="5" t="str">
        <f>IFERROR(__xludf.DUMMYFUNCTION("IF(A1177="""","""",INDEX(SPLIT(A1177,"" ""),COUNTA(SPLIT(A1177,"" ""))))"),"Premeno")</f>
        <v>Premeno</v>
      </c>
      <c r="C1177" s="6"/>
      <c r="D1177" s="6" t="s">
        <v>1132</v>
      </c>
      <c r="E1177" s="7" t="s">
        <v>1133</v>
      </c>
    </row>
    <row r="1178">
      <c r="A1178" s="4" t="s">
        <v>1188</v>
      </c>
      <c r="B1178" s="5" t="str">
        <f>IFERROR(__xludf.DUMMYFUNCTION("IF(A1178="""","""",INDEX(SPLIT(A1178,"" ""),COUNTA(SPLIT(A1178,"" ""))))"),"Premia")</f>
        <v>Premia</v>
      </c>
      <c r="C1178" s="6"/>
      <c r="D1178" s="6" t="s">
        <v>1132</v>
      </c>
      <c r="E1178" s="7" t="s">
        <v>1133</v>
      </c>
    </row>
    <row r="1179">
      <c r="A1179" s="4" t="s">
        <v>1189</v>
      </c>
      <c r="B1179" s="5" t="str">
        <f>IFERROR(__xludf.DUMMYFUNCTION("IF(A1179="""","""",INDEX(SPLIT(A1179,"" ""),COUNTA(SPLIT(A1179,"" ""))))"),"PremoselloChiovenda")</f>
        <v>PremoselloChiovenda</v>
      </c>
      <c r="C1179" s="6"/>
      <c r="D1179" s="6" t="s">
        <v>1132</v>
      </c>
      <c r="E1179" s="7" t="s">
        <v>1133</v>
      </c>
    </row>
    <row r="1180">
      <c r="A1180" s="4" t="s">
        <v>1190</v>
      </c>
      <c r="B1180" s="5" t="str">
        <f>IFERROR(__xludf.DUMMYFUNCTION("IF(A1180="""","""",INDEX(SPLIT(A1180,"" ""),COUNTA(SPLIT(A1180,"" ""))))"),"Sopra")</f>
        <v>Sopra</v>
      </c>
      <c r="C1180" s="6"/>
      <c r="D1180" s="6" t="s">
        <v>1132</v>
      </c>
      <c r="E1180" s="7" t="s">
        <v>1133</v>
      </c>
    </row>
    <row r="1181">
      <c r="A1181" s="4" t="s">
        <v>1191</v>
      </c>
      <c r="B1181" s="5" t="str">
        <f>IFERROR(__xludf.DUMMYFUNCTION("IF(A1181="""","""",INDEX(SPLIT(A1181,"" ""),COUNTA(SPLIT(A1181,"" ""))))"),"Sotto")</f>
        <v>Sotto</v>
      </c>
      <c r="C1181" s="6"/>
      <c r="D1181" s="6" t="s">
        <v>1132</v>
      </c>
      <c r="E1181" s="7" t="s">
        <v>1133</v>
      </c>
    </row>
    <row r="1182">
      <c r="A1182" s="4" t="s">
        <v>1192</v>
      </c>
      <c r="B1182" s="5" t="str">
        <f>IFERROR(__xludf.DUMMYFUNCTION("IF(A1182="""","""",INDEX(SPLIT(A1182,"" ""),COUNTA(SPLIT(A1182,"" ""))))"),"Re")</f>
        <v>Re</v>
      </c>
      <c r="C1182" s="6"/>
      <c r="D1182" s="6" t="s">
        <v>1132</v>
      </c>
      <c r="E1182" s="7" t="s">
        <v>1133</v>
      </c>
    </row>
    <row r="1183">
      <c r="A1183" s="4" t="s">
        <v>1193</v>
      </c>
      <c r="B1183" s="5" t="str">
        <f>IFERROR(__xludf.DUMMYFUNCTION("IF(A1183="""","""",INDEX(SPLIT(A1183,"" ""),COUNTA(SPLIT(A1183,"" ""))))"),"Verbano")</f>
        <v>Verbano</v>
      </c>
      <c r="C1183" s="6"/>
      <c r="D1183" s="6" t="s">
        <v>1132</v>
      </c>
      <c r="E1183" s="7" t="s">
        <v>1133</v>
      </c>
    </row>
    <row r="1184">
      <c r="A1184" s="4" t="s">
        <v>1194</v>
      </c>
      <c r="B1184" s="5" t="str">
        <f>IFERROR(__xludf.DUMMYFUNCTION("IF(A1184="""","""",INDEX(SPLIT(A1184,"" ""),COUNTA(SPLIT(A1184,"" ""))))"),"Maggiore")</f>
        <v>Maggiore</v>
      </c>
      <c r="C1184" s="6"/>
      <c r="D1184" s="6" t="s">
        <v>1132</v>
      </c>
      <c r="E1184" s="7" t="s">
        <v>1133</v>
      </c>
    </row>
    <row r="1185">
      <c r="A1185" s="4" t="s">
        <v>1195</v>
      </c>
      <c r="B1185" s="5" t="str">
        <f>IFERROR(__xludf.DUMMYFUNCTION("IF(A1185="""","""",INDEX(SPLIT(A1185,"" ""),COUNTA(SPLIT(A1185,"" ""))))"),"Stresa")</f>
        <v>Stresa</v>
      </c>
      <c r="C1185" s="6"/>
      <c r="D1185" s="6" t="s">
        <v>1132</v>
      </c>
      <c r="E1185" s="7" t="s">
        <v>1133</v>
      </c>
    </row>
    <row r="1186">
      <c r="A1186" s="4" t="s">
        <v>1196</v>
      </c>
      <c r="B1186" s="5" t="str">
        <f>IFERROR(__xludf.DUMMYFUNCTION("IF(A1186="""","""",INDEX(SPLIT(A1186,"" ""),COUNTA(SPLIT(A1186,"" ""))))"),"Toceno")</f>
        <v>Toceno</v>
      </c>
      <c r="C1186" s="6"/>
      <c r="D1186" s="6" t="s">
        <v>1132</v>
      </c>
      <c r="E1186" s="7" t="s">
        <v>1133</v>
      </c>
    </row>
    <row r="1187">
      <c r="A1187" s="4" t="s">
        <v>1197</v>
      </c>
      <c r="B1187" s="5" t="str">
        <f>IFERROR(__xludf.DUMMYFUNCTION("IF(A1187="""","""",INDEX(SPLIT(A1187,"" ""),COUNTA(SPLIT(A1187,"" ""))))"),"Viggiona")</f>
        <v>Viggiona</v>
      </c>
      <c r="C1187" s="6"/>
      <c r="D1187" s="6" t="s">
        <v>1132</v>
      </c>
      <c r="E1187" s="7" t="s">
        <v>1133</v>
      </c>
    </row>
    <row r="1188">
      <c r="A1188" s="4" t="s">
        <v>1198</v>
      </c>
      <c r="B1188" s="5" t="str">
        <f>IFERROR(__xludf.DUMMYFUNCTION("IF(A1188="""","""",INDEX(SPLIT(A1188,"" ""),COUNTA(SPLIT(A1188,"" ""))))"),"Trasquera")</f>
        <v>Trasquera</v>
      </c>
      <c r="C1188" s="6"/>
      <c r="D1188" s="6" t="s">
        <v>1132</v>
      </c>
      <c r="E1188" s="7" t="s">
        <v>1133</v>
      </c>
    </row>
    <row r="1189">
      <c r="A1189" s="4" t="s">
        <v>1199</v>
      </c>
      <c r="B1189" s="5" t="str">
        <f>IFERROR(__xludf.DUMMYFUNCTION("IF(A1189="""","""",INDEX(SPLIT(A1189,"" ""),COUNTA(SPLIT(A1189,"" ""))))"),"Trontano")</f>
        <v>Trontano</v>
      </c>
      <c r="C1189" s="6"/>
      <c r="D1189" s="6" t="s">
        <v>1132</v>
      </c>
      <c r="E1189" s="7" t="s">
        <v>1133</v>
      </c>
    </row>
    <row r="1190">
      <c r="A1190" s="4" t="s">
        <v>1200</v>
      </c>
      <c r="B1190" s="5" t="str">
        <f>IFERROR(__xludf.DUMMYFUNCTION("IF(A1190="""","""",INDEX(SPLIT(A1190,"" ""),COUNTA(SPLIT(A1190,"" ""))))"),"Valstrona")</f>
        <v>Valstrona</v>
      </c>
      <c r="C1190" s="6"/>
      <c r="D1190" s="6" t="s">
        <v>1132</v>
      </c>
      <c r="E1190" s="7" t="s">
        <v>1133</v>
      </c>
    </row>
    <row r="1191">
      <c r="A1191" s="4" t="s">
        <v>1201</v>
      </c>
      <c r="B1191" s="5" t="str">
        <f>IFERROR(__xludf.DUMMYFUNCTION("IF(A1191="""","""",INDEX(SPLIT(A1191,"" ""),COUNTA(SPLIT(A1191,"" ""))))"),"Carlo")</f>
        <v>Carlo</v>
      </c>
      <c r="C1191" s="6"/>
      <c r="D1191" s="6" t="s">
        <v>1132</v>
      </c>
      <c r="E1191" s="7" t="s">
        <v>1133</v>
      </c>
    </row>
    <row r="1192">
      <c r="A1192" s="4" t="s">
        <v>1202</v>
      </c>
      <c r="B1192" s="5" t="str">
        <f>IFERROR(__xludf.DUMMYFUNCTION("IF(A1192="""","""",INDEX(SPLIT(A1192,"" ""),COUNTA(SPLIT(A1192,"" ""))))"),"Varzo")</f>
        <v>Varzo</v>
      </c>
      <c r="C1192" s="6"/>
      <c r="D1192" s="6" t="s">
        <v>1132</v>
      </c>
      <c r="E1192" s="7" t="s">
        <v>1133</v>
      </c>
    </row>
    <row r="1193">
      <c r="A1193" s="4" t="s">
        <v>1203</v>
      </c>
      <c r="B1193" s="5" t="str">
        <f>IFERROR(__xludf.DUMMYFUNCTION("IF(A1193="""","""",INDEX(SPLIT(A1193,"" ""),COUNTA(SPLIT(A1193,"" ""))))"),"Verbania")</f>
        <v>Verbania</v>
      </c>
      <c r="C1193" s="6"/>
      <c r="D1193" s="6" t="s">
        <v>1132</v>
      </c>
      <c r="E1193" s="7" t="s">
        <v>1133</v>
      </c>
    </row>
    <row r="1194">
      <c r="A1194" s="4" t="s">
        <v>1204</v>
      </c>
      <c r="B1194" s="5" t="str">
        <f>IFERROR(__xludf.DUMMYFUNCTION("IF(A1194="""","""",INDEX(SPLIT(A1194,"" ""),COUNTA(SPLIT(A1194,"" ""))))"),"Vignone")</f>
        <v>Vignone</v>
      </c>
      <c r="C1194" s="6"/>
      <c r="D1194" s="6" t="s">
        <v>1132</v>
      </c>
      <c r="E1194" s="7" t="s">
        <v>1133</v>
      </c>
    </row>
    <row r="1195">
      <c r="A1195" s="4" t="s">
        <v>1205</v>
      </c>
      <c r="B1195" s="5" t="str">
        <f>IFERROR(__xludf.DUMMYFUNCTION("IF(A1195="""","""",INDEX(SPLIT(A1195,"" ""),COUNTA(SPLIT(A1195,"" ""))))"),"Villadossola")</f>
        <v>Villadossola</v>
      </c>
      <c r="C1195" s="6"/>
      <c r="D1195" s="6" t="s">
        <v>1132</v>
      </c>
      <c r="E1195" s="7" t="s">
        <v>1133</v>
      </c>
    </row>
    <row r="1196">
      <c r="A1196" s="4" t="s">
        <v>1206</v>
      </c>
      <c r="B1196" s="5" t="str">
        <f>IFERROR(__xludf.DUMMYFUNCTION("IF(A1196="""","""",INDEX(SPLIT(A1196,"" ""),COUNTA(SPLIT(A1196,"" ""))))"),"Villette")</f>
        <v>Villette</v>
      </c>
      <c r="C1196" s="6"/>
      <c r="D1196" s="6" t="s">
        <v>1132</v>
      </c>
      <c r="E1196" s="7" t="s">
        <v>1133</v>
      </c>
    </row>
    <row r="1197">
      <c r="A1197" s="4" t="s">
        <v>1207</v>
      </c>
      <c r="B1197" s="5" t="str">
        <f>IFERROR(__xludf.DUMMYFUNCTION("IF(A1197="""","""",INDEX(SPLIT(A1197,"" ""),COUNTA(SPLIT(A1197,"" ""))))"),"Vogogna")</f>
        <v>Vogogna</v>
      </c>
      <c r="C1197" s="6"/>
      <c r="D1197" s="6" t="s">
        <v>1132</v>
      </c>
      <c r="E1197" s="7" t="s">
        <v>1133</v>
      </c>
    </row>
    <row r="1198">
      <c r="A1198" s="4" t="s">
        <v>1208</v>
      </c>
      <c r="B1198" s="5" t="str">
        <f>IFERROR(__xludf.DUMMYFUNCTION("IF(A1198="""","""",INDEX(SPLIT(A1198,"" ""),COUNTA(SPLIT(A1198,"" ""))))"),"Borgomezzavalle")</f>
        <v>Borgomezzavalle</v>
      </c>
      <c r="C1198" s="6"/>
      <c r="D1198" s="6" t="s">
        <v>1132</v>
      </c>
      <c r="E1198" s="7" t="s">
        <v>1133</v>
      </c>
    </row>
    <row r="1199">
      <c r="A1199" s="4" t="s">
        <v>1209</v>
      </c>
      <c r="B1199" s="5" t="str">
        <f>IFERROR(__xludf.DUMMYFUNCTION("IF(A1199="""","""",INDEX(SPLIT(A1199,"" ""),COUNTA(SPLIT(A1199,"" ""))))"),"Allein")</f>
        <v>Allein</v>
      </c>
      <c r="C1199" s="6"/>
      <c r="D1199" s="6" t="s">
        <v>1210</v>
      </c>
      <c r="E1199" s="7" t="s">
        <v>1211</v>
      </c>
    </row>
    <row r="1200">
      <c r="A1200" s="4" t="s">
        <v>1212</v>
      </c>
      <c r="B1200" s="5" t="str">
        <f>IFERROR(__xludf.DUMMYFUNCTION("IF(A1200="""","""",INDEX(SPLIT(A1200,"" ""),COUNTA(SPLIT(A1200,"" ""))))"),"AnteySaintAndré")</f>
        <v>AnteySaintAndré</v>
      </c>
      <c r="C1200" s="6"/>
      <c r="D1200" s="6" t="s">
        <v>1210</v>
      </c>
      <c r="E1200" s="7" t="s">
        <v>1211</v>
      </c>
    </row>
    <row r="1201">
      <c r="A1201" s="4" t="s">
        <v>1213</v>
      </c>
      <c r="B1201" s="5" t="str">
        <f>IFERROR(__xludf.DUMMYFUNCTION("IF(A1201="""","""",INDEX(SPLIT(A1201,"" ""),COUNTA(SPLIT(A1201,"" ""))))"),"Aosta")</f>
        <v>Aosta</v>
      </c>
      <c r="C1201" s="6"/>
      <c r="D1201" s="6" t="s">
        <v>1210</v>
      </c>
      <c r="E1201" s="7" t="s">
        <v>1211</v>
      </c>
    </row>
    <row r="1202">
      <c r="A1202" s="4" t="s">
        <v>1214</v>
      </c>
      <c r="B1202" s="5" t="str">
        <f>IFERROR(__xludf.DUMMYFUNCTION("IF(A1202="""","""",INDEX(SPLIT(A1202,"" ""),COUNTA(SPLIT(A1202,"" ""))))"),"Arnad")</f>
        <v>Arnad</v>
      </c>
      <c r="C1202" s="6"/>
      <c r="D1202" s="6" t="s">
        <v>1210</v>
      </c>
      <c r="E1202" s="7" t="s">
        <v>1211</v>
      </c>
    </row>
    <row r="1203">
      <c r="A1203" s="4" t="s">
        <v>1215</v>
      </c>
      <c r="B1203" s="5" t="str">
        <f>IFERROR(__xludf.DUMMYFUNCTION("IF(A1203="""","""",INDEX(SPLIT(A1203,"" ""),COUNTA(SPLIT(A1203,"" ""))))"),"Arvier")</f>
        <v>Arvier</v>
      </c>
      <c r="C1203" s="6"/>
      <c r="D1203" s="6" t="s">
        <v>1210</v>
      </c>
      <c r="E1203" s="7" t="s">
        <v>1211</v>
      </c>
    </row>
    <row r="1204">
      <c r="A1204" s="4" t="s">
        <v>1216</v>
      </c>
      <c r="B1204" s="5" t="str">
        <f>IFERROR(__xludf.DUMMYFUNCTION("IF(A1204="""","""",INDEX(SPLIT(A1204,"" ""),COUNTA(SPLIT(A1204,"" ""))))"),"Avise")</f>
        <v>Avise</v>
      </c>
      <c r="C1204" s="6"/>
      <c r="D1204" s="6" t="s">
        <v>1210</v>
      </c>
      <c r="E1204" s="7" t="s">
        <v>1211</v>
      </c>
    </row>
    <row r="1205">
      <c r="A1205" s="4" t="s">
        <v>1217</v>
      </c>
      <c r="B1205" s="5" t="str">
        <f>IFERROR(__xludf.DUMMYFUNCTION("IF(A1205="""","""",INDEX(SPLIT(A1205,"" ""),COUNTA(SPLIT(A1205,"" ""))))"),"Ayas")</f>
        <v>Ayas</v>
      </c>
      <c r="C1205" s="6"/>
      <c r="D1205" s="6" t="s">
        <v>1210</v>
      </c>
      <c r="E1205" s="7" t="s">
        <v>1211</v>
      </c>
    </row>
    <row r="1206">
      <c r="A1206" s="4" t="s">
        <v>1218</v>
      </c>
      <c r="B1206" s="5" t="str">
        <f>IFERROR(__xludf.DUMMYFUNCTION("IF(A1206="""","""",INDEX(SPLIT(A1206,"" ""),COUNTA(SPLIT(A1206,"" ""))))"),"Aymavilles")</f>
        <v>Aymavilles</v>
      </c>
      <c r="C1206" s="6"/>
      <c r="D1206" s="6" t="s">
        <v>1210</v>
      </c>
      <c r="E1206" s="7" t="s">
        <v>1211</v>
      </c>
    </row>
    <row r="1207">
      <c r="A1207" s="4" t="s">
        <v>1219</v>
      </c>
      <c r="B1207" s="5" t="str">
        <f>IFERROR(__xludf.DUMMYFUNCTION("IF(A1207="""","""",INDEX(SPLIT(A1207,"" ""),COUNTA(SPLIT(A1207,"" ""))))"),"Bard")</f>
        <v>Bard</v>
      </c>
      <c r="C1207" s="6"/>
      <c r="D1207" s="6" t="s">
        <v>1210</v>
      </c>
      <c r="E1207" s="7" t="s">
        <v>1211</v>
      </c>
    </row>
    <row r="1208">
      <c r="A1208" s="4" t="s">
        <v>1220</v>
      </c>
      <c r="B1208" s="5" t="str">
        <f>IFERROR(__xludf.DUMMYFUNCTION("IF(A1208="""","""",INDEX(SPLIT(A1208,"" ""),COUNTA(SPLIT(A1208,"" ""))))"),"Bionaz")</f>
        <v>Bionaz</v>
      </c>
      <c r="C1208" s="6"/>
      <c r="D1208" s="6" t="s">
        <v>1210</v>
      </c>
      <c r="E1208" s="7" t="s">
        <v>1211</v>
      </c>
    </row>
    <row r="1209">
      <c r="A1209" s="4" t="s">
        <v>1221</v>
      </c>
      <c r="B1209" s="5" t="str">
        <f>IFERROR(__xludf.DUMMYFUNCTION("IF(A1209="""","""",INDEX(SPLIT(A1209,"" ""),COUNTA(SPLIT(A1209,"" ""))))"),"Brissogne")</f>
        <v>Brissogne</v>
      </c>
      <c r="C1209" s="6"/>
      <c r="D1209" s="6" t="s">
        <v>1210</v>
      </c>
      <c r="E1209" s="7" t="s">
        <v>1211</v>
      </c>
    </row>
    <row r="1210">
      <c r="A1210" s="4" t="s">
        <v>1222</v>
      </c>
      <c r="B1210" s="5" t="str">
        <f>IFERROR(__xludf.DUMMYFUNCTION("IF(A1210="""","""",INDEX(SPLIT(A1210,"" ""),COUNTA(SPLIT(A1210,"" ""))))"),"Brusson")</f>
        <v>Brusson</v>
      </c>
      <c r="C1210" s="6"/>
      <c r="D1210" s="6" t="s">
        <v>1210</v>
      </c>
      <c r="E1210" s="7" t="s">
        <v>1211</v>
      </c>
    </row>
    <row r="1211">
      <c r="A1211" s="4" t="s">
        <v>1223</v>
      </c>
      <c r="B1211" s="5" t="str">
        <f>IFERROR(__xludf.DUMMYFUNCTION("IF(A1211="""","""",INDEX(SPLIT(A1211,"" ""),COUNTA(SPLIT(A1211,"" ""))))"),"ChallandSaintAnselme")</f>
        <v>ChallandSaintAnselme</v>
      </c>
      <c r="C1211" s="6"/>
      <c r="D1211" s="6" t="s">
        <v>1210</v>
      </c>
      <c r="E1211" s="7" t="s">
        <v>1211</v>
      </c>
    </row>
    <row r="1212">
      <c r="A1212" s="4" t="s">
        <v>1224</v>
      </c>
      <c r="B1212" s="5" t="str">
        <f>IFERROR(__xludf.DUMMYFUNCTION("IF(A1212="""","""",INDEX(SPLIT(A1212,"" ""),COUNTA(SPLIT(A1212,"" ""))))"),"ChallandSaintVictor")</f>
        <v>ChallandSaintVictor</v>
      </c>
      <c r="C1212" s="6"/>
      <c r="D1212" s="6" t="s">
        <v>1210</v>
      </c>
      <c r="E1212" s="7" t="s">
        <v>1211</v>
      </c>
    </row>
    <row r="1213">
      <c r="A1213" s="4" t="s">
        <v>1225</v>
      </c>
      <c r="B1213" s="5" t="str">
        <f>IFERROR(__xludf.DUMMYFUNCTION("IF(A1213="""","""",INDEX(SPLIT(A1213,"" ""),COUNTA(SPLIT(A1213,"" ""))))"),"Chambave")</f>
        <v>Chambave</v>
      </c>
      <c r="C1213" s="6"/>
      <c r="D1213" s="6" t="s">
        <v>1210</v>
      </c>
      <c r="E1213" s="7" t="s">
        <v>1211</v>
      </c>
    </row>
    <row r="1214">
      <c r="A1214" s="4" t="s">
        <v>1226</v>
      </c>
      <c r="B1214" s="5" t="str">
        <f>IFERROR(__xludf.DUMMYFUNCTION("IF(A1214="""","""",INDEX(SPLIT(A1214,"" ""),COUNTA(SPLIT(A1214,"" ""))))"),"Chamois")</f>
        <v>Chamois</v>
      </c>
      <c r="C1214" s="6"/>
      <c r="D1214" s="6" t="s">
        <v>1210</v>
      </c>
      <c r="E1214" s="7" t="s">
        <v>1211</v>
      </c>
    </row>
    <row r="1215">
      <c r="A1215" s="4" t="s">
        <v>1227</v>
      </c>
      <c r="B1215" s="5" t="str">
        <f>IFERROR(__xludf.DUMMYFUNCTION("IF(A1215="""","""",INDEX(SPLIT(A1215,"" ""),COUNTA(SPLIT(A1215,"" ""))))"),"Champdepraz")</f>
        <v>Champdepraz</v>
      </c>
      <c r="C1215" s="6"/>
      <c r="D1215" s="6" t="s">
        <v>1210</v>
      </c>
      <c r="E1215" s="7" t="s">
        <v>1211</v>
      </c>
    </row>
    <row r="1216">
      <c r="A1216" s="4" t="s">
        <v>1228</v>
      </c>
      <c r="B1216" s="5" t="str">
        <f>IFERROR(__xludf.DUMMYFUNCTION("IF(A1216="""","""",INDEX(SPLIT(A1216,"" ""),COUNTA(SPLIT(A1216,"" ""))))"),"Champorcher")</f>
        <v>Champorcher</v>
      </c>
      <c r="C1216" s="6"/>
      <c r="D1216" s="6" t="s">
        <v>1210</v>
      </c>
      <c r="E1216" s="7" t="s">
        <v>1211</v>
      </c>
    </row>
    <row r="1217">
      <c r="A1217" s="4" t="s">
        <v>1229</v>
      </c>
      <c r="B1217" s="5" t="str">
        <f>IFERROR(__xludf.DUMMYFUNCTION("IF(A1217="""","""",INDEX(SPLIT(A1217,"" ""),COUNTA(SPLIT(A1217,"" ""))))"),"Charvensod")</f>
        <v>Charvensod</v>
      </c>
      <c r="C1217" s="6"/>
      <c r="D1217" s="6" t="s">
        <v>1210</v>
      </c>
      <c r="E1217" s="7" t="s">
        <v>1211</v>
      </c>
    </row>
    <row r="1218">
      <c r="A1218" s="4" t="s">
        <v>1230</v>
      </c>
      <c r="B1218" s="5" t="str">
        <f>IFERROR(__xludf.DUMMYFUNCTION("IF(A1218="""","""",INDEX(SPLIT(A1218,"" ""),COUNTA(SPLIT(A1218,"" ""))))"),"Châtillon")</f>
        <v>Châtillon</v>
      </c>
      <c r="C1218" s="6"/>
      <c r="D1218" s="6" t="s">
        <v>1210</v>
      </c>
      <c r="E1218" s="7" t="s">
        <v>1211</v>
      </c>
    </row>
    <row r="1219">
      <c r="A1219" s="4" t="s">
        <v>1231</v>
      </c>
      <c r="B1219" s="5" t="str">
        <f>IFERROR(__xludf.DUMMYFUNCTION("IF(A1219="""","""",INDEX(SPLIT(A1219,"" ""),COUNTA(SPLIT(A1219,"" ""))))"),"Cogne")</f>
        <v>Cogne</v>
      </c>
      <c r="C1219" s="6"/>
      <c r="D1219" s="6" t="s">
        <v>1210</v>
      </c>
      <c r="E1219" s="7" t="s">
        <v>1211</v>
      </c>
    </row>
    <row r="1220">
      <c r="A1220" s="4" t="s">
        <v>1232</v>
      </c>
      <c r="B1220" s="5" t="str">
        <f>IFERROR(__xludf.DUMMYFUNCTION("IF(A1220="""","""",INDEX(SPLIT(A1220,"" ""),COUNTA(SPLIT(A1220,"" ""))))"),"Courmayeur")</f>
        <v>Courmayeur</v>
      </c>
      <c r="C1220" s="6"/>
      <c r="D1220" s="6" t="s">
        <v>1210</v>
      </c>
      <c r="E1220" s="7" t="s">
        <v>1211</v>
      </c>
    </row>
    <row r="1221">
      <c r="A1221" s="4" t="s">
        <v>1233</v>
      </c>
      <c r="B1221" s="5" t="str">
        <f>IFERROR(__xludf.DUMMYFUNCTION("IF(A1221="""","""",INDEX(SPLIT(A1221,"" ""),COUNTA(SPLIT(A1221,"" ""))))"),"Donnas")</f>
        <v>Donnas</v>
      </c>
      <c r="C1221" s="6"/>
      <c r="D1221" s="6" t="s">
        <v>1210</v>
      </c>
      <c r="E1221" s="7" t="s">
        <v>1211</v>
      </c>
    </row>
    <row r="1222">
      <c r="A1222" s="4" t="s">
        <v>1234</v>
      </c>
      <c r="B1222" s="5" t="str">
        <f>IFERROR(__xludf.DUMMYFUNCTION("IF(A1222="""","""",INDEX(SPLIT(A1222,"" ""),COUNTA(SPLIT(A1222,"" ""))))"),"Doues")</f>
        <v>Doues</v>
      </c>
      <c r="C1222" s="6"/>
      <c r="D1222" s="6" t="s">
        <v>1210</v>
      </c>
      <c r="E1222" s="7" t="s">
        <v>1211</v>
      </c>
    </row>
    <row r="1223">
      <c r="A1223" s="4" t="s">
        <v>1235</v>
      </c>
      <c r="B1223" s="5" t="str">
        <f>IFERROR(__xludf.DUMMYFUNCTION("IF(A1223="""","""",INDEX(SPLIT(A1223,"" ""),COUNTA(SPLIT(A1223,"" ""))))"),"Emarèse")</f>
        <v>Emarèse</v>
      </c>
      <c r="C1223" s="6"/>
      <c r="D1223" s="6" t="s">
        <v>1210</v>
      </c>
      <c r="E1223" s="7" t="s">
        <v>1211</v>
      </c>
    </row>
    <row r="1224">
      <c r="A1224" s="4" t="s">
        <v>1236</v>
      </c>
      <c r="B1224" s="5" t="str">
        <f>IFERROR(__xludf.DUMMYFUNCTION("IF(A1224="""","""",INDEX(SPLIT(A1224,"" ""),COUNTA(SPLIT(A1224,"" ""))))"),"Etroubles")</f>
        <v>Etroubles</v>
      </c>
      <c r="C1224" s="6"/>
      <c r="D1224" s="6" t="s">
        <v>1210</v>
      </c>
      <c r="E1224" s="7" t="s">
        <v>1211</v>
      </c>
    </row>
    <row r="1225">
      <c r="A1225" s="4" t="s">
        <v>1237</v>
      </c>
      <c r="B1225" s="5" t="str">
        <f>IFERROR(__xludf.DUMMYFUNCTION("IF(A1225="""","""",INDEX(SPLIT(A1225,"" ""),COUNTA(SPLIT(A1225,"" ""))))"),"Fénis")</f>
        <v>Fénis</v>
      </c>
      <c r="C1225" s="6"/>
      <c r="D1225" s="6" t="s">
        <v>1210</v>
      </c>
      <c r="E1225" s="7" t="s">
        <v>1211</v>
      </c>
    </row>
    <row r="1226">
      <c r="A1226" s="4" t="s">
        <v>1238</v>
      </c>
      <c r="B1226" s="5" t="str">
        <f>IFERROR(__xludf.DUMMYFUNCTION("IF(A1226="""","""",INDEX(SPLIT(A1226,"" ""),COUNTA(SPLIT(A1226,"" ""))))"),"Fontainemore")</f>
        <v>Fontainemore</v>
      </c>
      <c r="C1226" s="6"/>
      <c r="D1226" s="6" t="s">
        <v>1210</v>
      </c>
      <c r="E1226" s="7" t="s">
        <v>1211</v>
      </c>
    </row>
    <row r="1227">
      <c r="A1227" s="4" t="s">
        <v>1239</v>
      </c>
      <c r="B1227" s="5" t="str">
        <f>IFERROR(__xludf.DUMMYFUNCTION("IF(A1227="""","""",INDEX(SPLIT(A1227,"" ""),COUNTA(SPLIT(A1227,"" ""))))"),"Gaby")</f>
        <v>Gaby</v>
      </c>
      <c r="C1227" s="6"/>
      <c r="D1227" s="6" t="s">
        <v>1210</v>
      </c>
      <c r="E1227" s="7" t="s">
        <v>1211</v>
      </c>
    </row>
    <row r="1228">
      <c r="A1228" s="4" t="s">
        <v>1240</v>
      </c>
      <c r="B1228" s="5" t="str">
        <f>IFERROR(__xludf.DUMMYFUNCTION("IF(A1228="""","""",INDEX(SPLIT(A1228,"" ""),COUNTA(SPLIT(A1228,"" ""))))"),"Gignod")</f>
        <v>Gignod</v>
      </c>
      <c r="C1228" s="6"/>
      <c r="D1228" s="6" t="s">
        <v>1210</v>
      </c>
      <c r="E1228" s="7" t="s">
        <v>1211</v>
      </c>
    </row>
    <row r="1229">
      <c r="A1229" s="4" t="s">
        <v>1241</v>
      </c>
      <c r="B1229" s="5" t="str">
        <f>IFERROR(__xludf.DUMMYFUNCTION("IF(A1229="""","""",INDEX(SPLIT(A1229,"" ""),COUNTA(SPLIT(A1229,"" ""))))"),"Gressan")</f>
        <v>Gressan</v>
      </c>
      <c r="C1229" s="6"/>
      <c r="D1229" s="6" t="s">
        <v>1210</v>
      </c>
      <c r="E1229" s="7" t="s">
        <v>1211</v>
      </c>
    </row>
    <row r="1230">
      <c r="A1230" s="4" t="s">
        <v>1242</v>
      </c>
      <c r="B1230" s="5" t="str">
        <f>IFERROR(__xludf.DUMMYFUNCTION("IF(A1230="""","""",INDEX(SPLIT(A1230,"" ""),COUNTA(SPLIT(A1230,"" ""))))"),"GressoneyLaTrinité")</f>
        <v>GressoneyLaTrinité</v>
      </c>
      <c r="C1230" s="6"/>
      <c r="D1230" s="6" t="s">
        <v>1210</v>
      </c>
      <c r="E1230" s="7" t="s">
        <v>1211</v>
      </c>
    </row>
    <row r="1231">
      <c r="A1231" s="4" t="s">
        <v>1243</v>
      </c>
      <c r="B1231" s="5" t="str">
        <f>IFERROR(__xludf.DUMMYFUNCTION("IF(A1231="""","""",INDEX(SPLIT(A1231,"" ""),COUNTA(SPLIT(A1231,"" ""))))"),"GressoneySaintJean")</f>
        <v>GressoneySaintJean</v>
      </c>
      <c r="C1231" s="6"/>
      <c r="D1231" s="6" t="s">
        <v>1210</v>
      </c>
      <c r="E1231" s="7" t="s">
        <v>1211</v>
      </c>
    </row>
    <row r="1232">
      <c r="A1232" s="4" t="s">
        <v>1244</v>
      </c>
      <c r="B1232" s="5" t="str">
        <f>IFERROR(__xludf.DUMMYFUNCTION("IF(A1232="""","""",INDEX(SPLIT(A1232,"" ""),COUNTA(SPLIT(A1232,"" ""))))"),"Hône")</f>
        <v>Hône</v>
      </c>
      <c r="C1232" s="6"/>
      <c r="D1232" s="6" t="s">
        <v>1210</v>
      </c>
      <c r="E1232" s="7" t="s">
        <v>1211</v>
      </c>
    </row>
    <row r="1233">
      <c r="A1233" s="4" t="s">
        <v>1245</v>
      </c>
      <c r="B1233" s="5" t="str">
        <f>IFERROR(__xludf.DUMMYFUNCTION("IF(A1233="""","""",INDEX(SPLIT(A1233,"" ""),COUNTA(SPLIT(A1233,"" ""))))"),"Introd")</f>
        <v>Introd</v>
      </c>
      <c r="C1233" s="6"/>
      <c r="D1233" s="6" t="s">
        <v>1210</v>
      </c>
      <c r="E1233" s="7" t="s">
        <v>1211</v>
      </c>
    </row>
    <row r="1234">
      <c r="A1234" s="4" t="s">
        <v>1246</v>
      </c>
      <c r="B1234" s="5" t="str">
        <f>IFERROR(__xludf.DUMMYFUNCTION("IF(A1234="""","""",INDEX(SPLIT(A1234,"" ""),COUNTA(SPLIT(A1234,"" ""))))"),"Issime")</f>
        <v>Issime</v>
      </c>
      <c r="C1234" s="6"/>
      <c r="D1234" s="6" t="s">
        <v>1210</v>
      </c>
      <c r="E1234" s="7" t="s">
        <v>1211</v>
      </c>
    </row>
    <row r="1235">
      <c r="A1235" s="4" t="s">
        <v>1247</v>
      </c>
      <c r="B1235" s="5" t="str">
        <f>IFERROR(__xludf.DUMMYFUNCTION("IF(A1235="""","""",INDEX(SPLIT(A1235,"" ""),COUNTA(SPLIT(A1235,"" ""))))"),"Issogne")</f>
        <v>Issogne</v>
      </c>
      <c r="C1235" s="6"/>
      <c r="D1235" s="6" t="s">
        <v>1210</v>
      </c>
      <c r="E1235" s="7" t="s">
        <v>1211</v>
      </c>
    </row>
    <row r="1236">
      <c r="A1236" s="4" t="s">
        <v>1248</v>
      </c>
      <c r="B1236" s="5" t="str">
        <f>IFERROR(__xludf.DUMMYFUNCTION("IF(A1236="""","""",INDEX(SPLIT(A1236,"" ""),COUNTA(SPLIT(A1236,"" ""))))"),"Jovençan")</f>
        <v>Jovençan</v>
      </c>
      <c r="C1236" s="6"/>
      <c r="D1236" s="6" t="s">
        <v>1210</v>
      </c>
      <c r="E1236" s="7" t="s">
        <v>1211</v>
      </c>
    </row>
    <row r="1237">
      <c r="A1237" s="4" t="s">
        <v>1249</v>
      </c>
      <c r="B1237" s="5" t="str">
        <f>IFERROR(__xludf.DUMMYFUNCTION("IF(A1237="""","""",INDEX(SPLIT(A1237,"" ""),COUNTA(SPLIT(A1237,"" ""))))"),"Magdeleine")</f>
        <v>Magdeleine</v>
      </c>
      <c r="C1237" s="6"/>
      <c r="D1237" s="6" t="s">
        <v>1210</v>
      </c>
      <c r="E1237" s="7" t="s">
        <v>1211</v>
      </c>
    </row>
    <row r="1238">
      <c r="A1238" s="4" t="s">
        <v>1250</v>
      </c>
      <c r="B1238" s="5" t="str">
        <f>IFERROR(__xludf.DUMMYFUNCTION("IF(A1238="""","""",INDEX(SPLIT(A1238,"" ""),COUNTA(SPLIT(A1238,"" ""))))"),"Salle")</f>
        <v>Salle</v>
      </c>
      <c r="C1238" s="6"/>
      <c r="D1238" s="6" t="s">
        <v>1210</v>
      </c>
      <c r="E1238" s="7" t="s">
        <v>1211</v>
      </c>
    </row>
    <row r="1239">
      <c r="A1239" s="4" t="s">
        <v>1251</v>
      </c>
      <c r="B1239" s="5" t="str">
        <f>IFERROR(__xludf.DUMMYFUNCTION("IF(A1239="""","""",INDEX(SPLIT(A1239,"" ""),COUNTA(SPLIT(A1239,"" ""))))"),"Thuile")</f>
        <v>Thuile</v>
      </c>
      <c r="C1239" s="6"/>
      <c r="D1239" s="6" t="s">
        <v>1210</v>
      </c>
      <c r="E1239" s="7" t="s">
        <v>1211</v>
      </c>
    </row>
    <row r="1240">
      <c r="A1240" s="4" t="s">
        <v>1252</v>
      </c>
      <c r="B1240" s="5" t="str">
        <f>IFERROR(__xludf.DUMMYFUNCTION("IF(A1240="""","""",INDEX(SPLIT(A1240,"" ""),COUNTA(SPLIT(A1240,"" ""))))"),"Lillianes")</f>
        <v>Lillianes</v>
      </c>
      <c r="C1240" s="6"/>
      <c r="D1240" s="6" t="s">
        <v>1210</v>
      </c>
      <c r="E1240" s="7" t="s">
        <v>1211</v>
      </c>
    </row>
    <row r="1241">
      <c r="A1241" s="4" t="s">
        <v>1253</v>
      </c>
      <c r="B1241" s="5" t="str">
        <f>IFERROR(__xludf.DUMMYFUNCTION("IF(A1241="""","""",INDEX(SPLIT(A1241,"" ""),COUNTA(SPLIT(A1241,"" ""))))"),"Montjovet")</f>
        <v>Montjovet</v>
      </c>
      <c r="C1241" s="6"/>
      <c r="D1241" s="6" t="s">
        <v>1210</v>
      </c>
      <c r="E1241" s="7" t="s">
        <v>1211</v>
      </c>
    </row>
    <row r="1242">
      <c r="A1242" s="4" t="s">
        <v>1254</v>
      </c>
      <c r="B1242" s="5" t="str">
        <f>IFERROR(__xludf.DUMMYFUNCTION("IF(A1242="""","""",INDEX(SPLIT(A1242,"" ""),COUNTA(SPLIT(A1242,"" ""))))"),"Morgex")</f>
        <v>Morgex</v>
      </c>
      <c r="C1242" s="6"/>
      <c r="D1242" s="6" t="s">
        <v>1210</v>
      </c>
      <c r="E1242" s="7" t="s">
        <v>1211</v>
      </c>
    </row>
    <row r="1243">
      <c r="A1243" s="4" t="s">
        <v>1255</v>
      </c>
      <c r="B1243" s="5" t="str">
        <f>IFERROR(__xludf.DUMMYFUNCTION("IF(A1243="""","""",INDEX(SPLIT(A1243,"" ""),COUNTA(SPLIT(A1243,"" ""))))"),"Nus")</f>
        <v>Nus</v>
      </c>
      <c r="C1243" s="6"/>
      <c r="D1243" s="6" t="s">
        <v>1210</v>
      </c>
      <c r="E1243" s="7" t="s">
        <v>1211</v>
      </c>
    </row>
    <row r="1244">
      <c r="A1244" s="4" t="s">
        <v>1256</v>
      </c>
      <c r="B1244" s="5" t="str">
        <f>IFERROR(__xludf.DUMMYFUNCTION("IF(A1244="""","""",INDEX(SPLIT(A1244,"" ""),COUNTA(SPLIT(A1244,"" ""))))"),"Ollomont")</f>
        <v>Ollomont</v>
      </c>
      <c r="C1244" s="6"/>
      <c r="D1244" s="6" t="s">
        <v>1210</v>
      </c>
      <c r="E1244" s="7" t="s">
        <v>1211</v>
      </c>
    </row>
    <row r="1245">
      <c r="A1245" s="4" t="s">
        <v>1257</v>
      </c>
      <c r="B1245" s="5" t="str">
        <f>IFERROR(__xludf.DUMMYFUNCTION("IF(A1245="""","""",INDEX(SPLIT(A1245,"" ""),COUNTA(SPLIT(A1245,"" ""))))"),"Oyace")</f>
        <v>Oyace</v>
      </c>
      <c r="C1245" s="6"/>
      <c r="D1245" s="6" t="s">
        <v>1210</v>
      </c>
      <c r="E1245" s="7" t="s">
        <v>1211</v>
      </c>
    </row>
    <row r="1246">
      <c r="A1246" s="4" t="s">
        <v>1258</v>
      </c>
      <c r="B1246" s="5" t="str">
        <f>IFERROR(__xludf.DUMMYFUNCTION("IF(A1246="""","""",INDEX(SPLIT(A1246,"" ""),COUNTA(SPLIT(A1246,"" ""))))"),"Perloz")</f>
        <v>Perloz</v>
      </c>
      <c r="C1246" s="6"/>
      <c r="D1246" s="6" t="s">
        <v>1210</v>
      </c>
      <c r="E1246" s="7" t="s">
        <v>1211</v>
      </c>
    </row>
    <row r="1247">
      <c r="A1247" s="4" t="s">
        <v>1259</v>
      </c>
      <c r="B1247" s="5" t="str">
        <f>IFERROR(__xludf.DUMMYFUNCTION("IF(A1247="""","""",INDEX(SPLIT(A1247,"" ""),COUNTA(SPLIT(A1247,"" ""))))"),"Pollein")</f>
        <v>Pollein</v>
      </c>
      <c r="C1247" s="6"/>
      <c r="D1247" s="6" t="s">
        <v>1210</v>
      </c>
      <c r="E1247" s="7" t="s">
        <v>1211</v>
      </c>
    </row>
    <row r="1248">
      <c r="A1248" s="4" t="s">
        <v>1260</v>
      </c>
      <c r="B1248" s="5" t="str">
        <f>IFERROR(__xludf.DUMMYFUNCTION("IF(A1248="""","""",INDEX(SPLIT(A1248,"" ""),COUNTA(SPLIT(A1248,"" ""))))"),"Pontboset")</f>
        <v>Pontboset</v>
      </c>
      <c r="C1248" s="6"/>
      <c r="D1248" s="6" t="s">
        <v>1210</v>
      </c>
      <c r="E1248" s="7" t="s">
        <v>1211</v>
      </c>
    </row>
    <row r="1249">
      <c r="A1249" s="4" t="s">
        <v>1261</v>
      </c>
      <c r="B1249" s="5" t="str">
        <f>IFERROR(__xludf.DUMMYFUNCTION("IF(A1249="""","""",INDEX(SPLIT(A1249,"" ""),COUNTA(SPLIT(A1249,"" ""))))"),"Pontey")</f>
        <v>Pontey</v>
      </c>
      <c r="C1249" s="6"/>
      <c r="D1249" s="6" t="s">
        <v>1210</v>
      </c>
      <c r="E1249" s="7" t="s">
        <v>1211</v>
      </c>
    </row>
    <row r="1250">
      <c r="A1250" s="4" t="s">
        <v>1262</v>
      </c>
      <c r="B1250" s="5" t="str">
        <f>IFERROR(__xludf.DUMMYFUNCTION("IF(A1250="""","""",INDEX(SPLIT(A1250,"" ""),COUNTA(SPLIT(A1250,"" ""))))"),"PontSaintMartin")</f>
        <v>PontSaintMartin</v>
      </c>
      <c r="C1250" s="6"/>
      <c r="D1250" s="6" t="s">
        <v>1210</v>
      </c>
      <c r="E1250" s="7" t="s">
        <v>1211</v>
      </c>
    </row>
    <row r="1251">
      <c r="A1251" s="4" t="s">
        <v>1263</v>
      </c>
      <c r="B1251" s="5" t="str">
        <f>IFERROR(__xludf.DUMMYFUNCTION("IF(A1251="""","""",INDEX(SPLIT(A1251,"" ""),COUNTA(SPLIT(A1251,"" ""))))"),"PréSaintDidier")</f>
        <v>PréSaintDidier</v>
      </c>
      <c r="C1251" s="6"/>
      <c r="D1251" s="6" t="s">
        <v>1210</v>
      </c>
      <c r="E1251" s="7" t="s">
        <v>1211</v>
      </c>
    </row>
    <row r="1252">
      <c r="A1252" s="4" t="s">
        <v>1264</v>
      </c>
      <c r="B1252" s="5" t="str">
        <f>IFERROR(__xludf.DUMMYFUNCTION("IF(A1252="""","""",INDEX(SPLIT(A1252,"" ""),COUNTA(SPLIT(A1252,"" ""))))"),"Quart")</f>
        <v>Quart</v>
      </c>
      <c r="C1252" s="6"/>
      <c r="D1252" s="6" t="s">
        <v>1210</v>
      </c>
      <c r="E1252" s="7" t="s">
        <v>1211</v>
      </c>
    </row>
    <row r="1253">
      <c r="A1253" s="4" t="s">
        <v>1265</v>
      </c>
      <c r="B1253" s="5" t="str">
        <f>IFERROR(__xludf.DUMMYFUNCTION("IF(A1253="""","""",INDEX(SPLIT(A1253,"" ""),COUNTA(SPLIT(A1253,"" ""))))"),"RhêmesNotreDame")</f>
        <v>RhêmesNotreDame</v>
      </c>
      <c r="C1253" s="6"/>
      <c r="D1253" s="6" t="s">
        <v>1210</v>
      </c>
      <c r="E1253" s="7" t="s">
        <v>1211</v>
      </c>
    </row>
    <row r="1254">
      <c r="A1254" s="4" t="s">
        <v>1266</v>
      </c>
      <c r="B1254" s="5" t="str">
        <f>IFERROR(__xludf.DUMMYFUNCTION("IF(A1254="""","""",INDEX(SPLIT(A1254,"" ""),COUNTA(SPLIT(A1254,"" ""))))"),"RhêmesSaintGeorges")</f>
        <v>RhêmesSaintGeorges</v>
      </c>
      <c r="C1254" s="6"/>
      <c r="D1254" s="6" t="s">
        <v>1210</v>
      </c>
      <c r="E1254" s="7" t="s">
        <v>1211</v>
      </c>
    </row>
    <row r="1255">
      <c r="A1255" s="4" t="s">
        <v>1267</v>
      </c>
      <c r="B1255" s="5" t="str">
        <f>IFERROR(__xludf.DUMMYFUNCTION("IF(A1255="""","""",INDEX(SPLIT(A1255,"" ""),COUNTA(SPLIT(A1255,"" ""))))"),"Roisan")</f>
        <v>Roisan</v>
      </c>
      <c r="C1255" s="6"/>
      <c r="D1255" s="6" t="s">
        <v>1210</v>
      </c>
      <c r="E1255" s="7" t="s">
        <v>1211</v>
      </c>
    </row>
    <row r="1256">
      <c r="A1256" s="4" t="s">
        <v>1268</v>
      </c>
      <c r="B1256" s="5" t="str">
        <f>IFERROR(__xludf.DUMMYFUNCTION("IF(A1256="""","""",INDEX(SPLIT(A1256,"" ""),COUNTA(SPLIT(A1256,"" ""))))"),"SaintChristophe")</f>
        <v>SaintChristophe</v>
      </c>
      <c r="C1256" s="6"/>
      <c r="D1256" s="6" t="s">
        <v>1210</v>
      </c>
      <c r="E1256" s="7" t="s">
        <v>1211</v>
      </c>
    </row>
    <row r="1257">
      <c r="A1257" s="4" t="s">
        <v>1269</v>
      </c>
      <c r="B1257" s="5" t="str">
        <f>IFERROR(__xludf.DUMMYFUNCTION("IF(A1257="""","""",INDEX(SPLIT(A1257,"" ""),COUNTA(SPLIT(A1257,"" ""))))"),"SaintDenis")</f>
        <v>SaintDenis</v>
      </c>
      <c r="C1257" s="6"/>
      <c r="D1257" s="6" t="s">
        <v>1210</v>
      </c>
      <c r="E1257" s="7" t="s">
        <v>1211</v>
      </c>
    </row>
    <row r="1258">
      <c r="A1258" s="4" t="s">
        <v>1270</v>
      </c>
      <c r="B1258" s="5" t="str">
        <f>IFERROR(__xludf.DUMMYFUNCTION("IF(A1258="""","""",INDEX(SPLIT(A1258,"" ""),COUNTA(SPLIT(A1258,"" ""))))"),"SaintMarcel")</f>
        <v>SaintMarcel</v>
      </c>
      <c r="C1258" s="6"/>
      <c r="D1258" s="6" t="s">
        <v>1210</v>
      </c>
      <c r="E1258" s="7" t="s">
        <v>1211</v>
      </c>
    </row>
    <row r="1259">
      <c r="A1259" s="4" t="s">
        <v>1271</v>
      </c>
      <c r="B1259" s="5" t="str">
        <f>IFERROR(__xludf.DUMMYFUNCTION("IF(A1259="""","""",INDEX(SPLIT(A1259,"" ""),COUNTA(SPLIT(A1259,"" ""))))"),"SaintNicolas")</f>
        <v>SaintNicolas</v>
      </c>
      <c r="C1259" s="6"/>
      <c r="D1259" s="6" t="s">
        <v>1210</v>
      </c>
      <c r="E1259" s="7" t="s">
        <v>1211</v>
      </c>
    </row>
    <row r="1260">
      <c r="A1260" s="4" t="s">
        <v>1272</v>
      </c>
      <c r="B1260" s="5" t="str">
        <f>IFERROR(__xludf.DUMMYFUNCTION("IF(A1260="""","""",INDEX(SPLIT(A1260,"" ""),COUNTA(SPLIT(A1260,"" ""))))"),"SaintOyen")</f>
        <v>SaintOyen</v>
      </c>
      <c r="C1260" s="6"/>
      <c r="D1260" s="6" t="s">
        <v>1210</v>
      </c>
      <c r="E1260" s="7" t="s">
        <v>1211</v>
      </c>
    </row>
    <row r="1261">
      <c r="A1261" s="4" t="s">
        <v>1273</v>
      </c>
      <c r="B1261" s="5" t="str">
        <f>IFERROR(__xludf.DUMMYFUNCTION("IF(A1261="""","""",INDEX(SPLIT(A1261,"" ""),COUNTA(SPLIT(A1261,"" ""))))"),"SaintPierre")</f>
        <v>SaintPierre</v>
      </c>
      <c r="C1261" s="6"/>
      <c r="D1261" s="6" t="s">
        <v>1210</v>
      </c>
      <c r="E1261" s="7" t="s">
        <v>1211</v>
      </c>
    </row>
    <row r="1262">
      <c r="A1262" s="4" t="s">
        <v>1274</v>
      </c>
      <c r="B1262" s="5" t="str">
        <f>IFERROR(__xludf.DUMMYFUNCTION("IF(A1262="""","""",INDEX(SPLIT(A1262,"" ""),COUNTA(SPLIT(A1262,"" ""))))"),"SaintRhémyenBosses")</f>
        <v>SaintRhémyenBosses</v>
      </c>
      <c r="C1262" s="6"/>
      <c r="D1262" s="6" t="s">
        <v>1210</v>
      </c>
      <c r="E1262" s="7" t="s">
        <v>1211</v>
      </c>
    </row>
    <row r="1263">
      <c r="A1263" s="4" t="s">
        <v>1275</v>
      </c>
      <c r="B1263" s="5" t="str">
        <f>IFERROR(__xludf.DUMMYFUNCTION("IF(A1263="""","""",INDEX(SPLIT(A1263,"" ""),COUNTA(SPLIT(A1263,"" ""))))"),"SaintVincent")</f>
        <v>SaintVincent</v>
      </c>
      <c r="C1263" s="6"/>
      <c r="D1263" s="6" t="s">
        <v>1210</v>
      </c>
      <c r="E1263" s="7" t="s">
        <v>1211</v>
      </c>
    </row>
    <row r="1264">
      <c r="A1264" s="4" t="s">
        <v>1276</v>
      </c>
      <c r="B1264" s="5" t="str">
        <f>IFERROR(__xludf.DUMMYFUNCTION("IF(A1264="""","""",INDEX(SPLIT(A1264,"" ""),COUNTA(SPLIT(A1264,"" ""))))"),"Sarre")</f>
        <v>Sarre</v>
      </c>
      <c r="C1264" s="6"/>
      <c r="D1264" s="6" t="s">
        <v>1210</v>
      </c>
      <c r="E1264" s="7" t="s">
        <v>1211</v>
      </c>
    </row>
    <row r="1265">
      <c r="A1265" s="4" t="s">
        <v>1277</v>
      </c>
      <c r="B1265" s="5" t="str">
        <f>IFERROR(__xludf.DUMMYFUNCTION("IF(A1265="""","""",INDEX(SPLIT(A1265,"" ""),COUNTA(SPLIT(A1265,"" ""))))"),"Torgnon")</f>
        <v>Torgnon</v>
      </c>
      <c r="C1265" s="6"/>
      <c r="D1265" s="6" t="s">
        <v>1210</v>
      </c>
      <c r="E1265" s="7" t="s">
        <v>1211</v>
      </c>
    </row>
    <row r="1266">
      <c r="A1266" s="4" t="s">
        <v>1278</v>
      </c>
      <c r="B1266" s="5" t="str">
        <f>IFERROR(__xludf.DUMMYFUNCTION("IF(A1266="""","""",INDEX(SPLIT(A1266,"" ""),COUNTA(SPLIT(A1266,"" ""))))"),"Valgrisenche")</f>
        <v>Valgrisenche</v>
      </c>
      <c r="C1266" s="6"/>
      <c r="D1266" s="6" t="s">
        <v>1210</v>
      </c>
      <c r="E1266" s="7" t="s">
        <v>1211</v>
      </c>
    </row>
    <row r="1267">
      <c r="A1267" s="4" t="s">
        <v>1279</v>
      </c>
      <c r="B1267" s="5" t="str">
        <f>IFERROR(__xludf.DUMMYFUNCTION("IF(A1267="""","""",INDEX(SPLIT(A1267,"" ""),COUNTA(SPLIT(A1267,"" ""))))"),"Valpelline")</f>
        <v>Valpelline</v>
      </c>
      <c r="C1267" s="6"/>
      <c r="D1267" s="6" t="s">
        <v>1210</v>
      </c>
      <c r="E1267" s="7" t="s">
        <v>1211</v>
      </c>
    </row>
    <row r="1268">
      <c r="A1268" s="4" t="s">
        <v>1280</v>
      </c>
      <c r="B1268" s="5" t="str">
        <f>IFERROR(__xludf.DUMMYFUNCTION("IF(A1268="""","""",INDEX(SPLIT(A1268,"" ""),COUNTA(SPLIT(A1268,"" ""))))"),"Valsavarenche")</f>
        <v>Valsavarenche</v>
      </c>
      <c r="C1268" s="6"/>
      <c r="D1268" s="6" t="s">
        <v>1210</v>
      </c>
      <c r="E1268" s="7" t="s">
        <v>1211</v>
      </c>
    </row>
    <row r="1269">
      <c r="A1269" s="4" t="s">
        <v>1281</v>
      </c>
      <c r="B1269" s="5" t="str">
        <f>IFERROR(__xludf.DUMMYFUNCTION("IF(A1269="""","""",INDEX(SPLIT(A1269,"" ""),COUNTA(SPLIT(A1269,"" ""))))"),"Valtournenche")</f>
        <v>Valtournenche</v>
      </c>
      <c r="C1269" s="6"/>
      <c r="D1269" s="6" t="s">
        <v>1210</v>
      </c>
      <c r="E1269" s="7" t="s">
        <v>1211</v>
      </c>
    </row>
    <row r="1270">
      <c r="A1270" s="4" t="s">
        <v>1282</v>
      </c>
      <c r="B1270" s="5" t="str">
        <f>IFERROR(__xludf.DUMMYFUNCTION("IF(A1270="""","""",INDEX(SPLIT(A1270,"" ""),COUNTA(SPLIT(A1270,"" ""))))"),"Verrayes")</f>
        <v>Verrayes</v>
      </c>
      <c r="C1270" s="6"/>
      <c r="D1270" s="6" t="s">
        <v>1210</v>
      </c>
      <c r="E1270" s="7" t="s">
        <v>1211</v>
      </c>
    </row>
    <row r="1271">
      <c r="A1271" s="4" t="s">
        <v>1283</v>
      </c>
      <c r="B1271" s="5" t="str">
        <f>IFERROR(__xludf.DUMMYFUNCTION("IF(A1271="""","""",INDEX(SPLIT(A1271,"" ""),COUNTA(SPLIT(A1271,"" ""))))"),"Verrès")</f>
        <v>Verrès</v>
      </c>
      <c r="C1271" s="6"/>
      <c r="D1271" s="6" t="s">
        <v>1210</v>
      </c>
      <c r="E1271" s="7" t="s">
        <v>1211</v>
      </c>
    </row>
    <row r="1272">
      <c r="A1272" s="4" t="s">
        <v>1284</v>
      </c>
      <c r="B1272" s="5" t="str">
        <f>IFERROR(__xludf.DUMMYFUNCTION("IF(A1272="""","""",INDEX(SPLIT(A1272,"" ""),COUNTA(SPLIT(A1272,"" ""))))"),"Villeneuve")</f>
        <v>Villeneuve</v>
      </c>
      <c r="C1272" s="6"/>
      <c r="D1272" s="6" t="s">
        <v>1210</v>
      </c>
      <c r="E1272" s="7" t="s">
        <v>1211</v>
      </c>
    </row>
    <row r="1273">
      <c r="A1273" s="4" t="s">
        <v>1285</v>
      </c>
      <c r="B1273" s="5" t="str">
        <f>IFERROR(__xludf.DUMMYFUNCTION("IF(A1273="""","""",INDEX(SPLIT(A1273,"" ""),COUNTA(SPLIT(A1273,"" ""))))"),"Agra")</f>
        <v>Agra</v>
      </c>
      <c r="C1273" s="6"/>
      <c r="D1273" s="6" t="s">
        <v>1286</v>
      </c>
      <c r="E1273" s="7" t="s">
        <v>1287</v>
      </c>
    </row>
    <row r="1274">
      <c r="A1274" s="4" t="s">
        <v>1288</v>
      </c>
      <c r="B1274" s="5" t="str">
        <f>IFERROR(__xludf.DUMMYFUNCTION("IF(A1274="""","""",INDEX(SPLIT(A1274,"" ""),COUNTA(SPLIT(A1274,"" ""))))"),"Albizzate")</f>
        <v>Albizzate</v>
      </c>
      <c r="C1274" s="6"/>
      <c r="D1274" s="6" t="s">
        <v>1286</v>
      </c>
      <c r="E1274" s="7" t="s">
        <v>1287</v>
      </c>
    </row>
    <row r="1275">
      <c r="A1275" s="4" t="s">
        <v>1289</v>
      </c>
      <c r="B1275" s="5" t="str">
        <f>IFERROR(__xludf.DUMMYFUNCTION("IF(A1275="""","""",INDEX(SPLIT(A1275,"" ""),COUNTA(SPLIT(A1275,"" ""))))"),"Angera")</f>
        <v>Angera</v>
      </c>
      <c r="C1275" s="6"/>
      <c r="D1275" s="6" t="s">
        <v>1286</v>
      </c>
      <c r="E1275" s="7" t="s">
        <v>1287</v>
      </c>
    </row>
    <row r="1276">
      <c r="A1276" s="4" t="s">
        <v>1290</v>
      </c>
      <c r="B1276" s="5" t="str">
        <f>IFERROR(__xludf.DUMMYFUNCTION("IF(A1276="""","""",INDEX(SPLIT(A1276,"" ""),COUNTA(SPLIT(A1276,"" ""))))"),"Arcisate")</f>
        <v>Arcisate</v>
      </c>
      <c r="C1276" s="6"/>
      <c r="D1276" s="6" t="s">
        <v>1286</v>
      </c>
      <c r="E1276" s="7" t="s">
        <v>1287</v>
      </c>
    </row>
    <row r="1277">
      <c r="A1277" s="4" t="s">
        <v>1291</v>
      </c>
      <c r="B1277" s="5" t="str">
        <f>IFERROR(__xludf.DUMMYFUNCTION("IF(A1277="""","""",INDEX(SPLIT(A1277,"" ""),COUNTA(SPLIT(A1277,"" ""))))"),"Seprio")</f>
        <v>Seprio</v>
      </c>
      <c r="C1277" s="6"/>
      <c r="D1277" s="6" t="s">
        <v>1286</v>
      </c>
      <c r="E1277" s="7" t="s">
        <v>1287</v>
      </c>
    </row>
    <row r="1278">
      <c r="A1278" s="4" t="s">
        <v>1292</v>
      </c>
      <c r="B1278" s="5" t="str">
        <f>IFERROR(__xludf.DUMMYFUNCTION("IF(A1278="""","""",INDEX(SPLIT(A1278,"" ""),COUNTA(SPLIT(A1278,"" ""))))"),"Azzate")</f>
        <v>Azzate</v>
      </c>
      <c r="C1278" s="6"/>
      <c r="D1278" s="6" t="s">
        <v>1286</v>
      </c>
      <c r="E1278" s="7" t="s">
        <v>1287</v>
      </c>
    </row>
    <row r="1279">
      <c r="A1279" s="4" t="s">
        <v>1293</v>
      </c>
      <c r="B1279" s="5" t="str">
        <f>IFERROR(__xludf.DUMMYFUNCTION("IF(A1279="""","""",INDEX(SPLIT(A1279,"" ""),COUNTA(SPLIT(A1279,"" ""))))"),"Azzio")</f>
        <v>Azzio</v>
      </c>
      <c r="C1279" s="6"/>
      <c r="D1279" s="6" t="s">
        <v>1286</v>
      </c>
      <c r="E1279" s="7" t="s">
        <v>1287</v>
      </c>
    </row>
    <row r="1280">
      <c r="A1280" s="4" t="s">
        <v>1294</v>
      </c>
      <c r="B1280" s="5" t="str">
        <f>IFERROR(__xludf.DUMMYFUNCTION("IF(A1280="""","""",INDEX(SPLIT(A1280,"" ""),COUNTA(SPLIT(A1280,"" ""))))"),"Barasso")</f>
        <v>Barasso</v>
      </c>
      <c r="C1280" s="6"/>
      <c r="D1280" s="6" t="s">
        <v>1286</v>
      </c>
      <c r="E1280" s="7" t="s">
        <v>1287</v>
      </c>
    </row>
    <row r="1281">
      <c r="A1281" s="4" t="s">
        <v>1295</v>
      </c>
      <c r="B1281" s="5" t="str">
        <f>IFERROR(__xludf.DUMMYFUNCTION("IF(A1281="""","""",INDEX(SPLIT(A1281,"" ""),COUNTA(SPLIT(A1281,"" ""))))"),"Bardello")</f>
        <v>Bardello</v>
      </c>
      <c r="C1281" s="6"/>
      <c r="D1281" s="6" t="s">
        <v>1286</v>
      </c>
      <c r="E1281" s="7" t="s">
        <v>1287</v>
      </c>
    </row>
    <row r="1282">
      <c r="A1282" s="4" t="s">
        <v>1296</v>
      </c>
      <c r="B1282" s="5" t="str">
        <f>IFERROR(__xludf.DUMMYFUNCTION("IF(A1282="""","""",INDEX(SPLIT(A1282,"" ""),COUNTA(SPLIT(A1282,"" ""))))"),"Valcuvia")</f>
        <v>Valcuvia</v>
      </c>
      <c r="C1282" s="6"/>
      <c r="D1282" s="6" t="s">
        <v>1286</v>
      </c>
      <c r="E1282" s="7" t="s">
        <v>1287</v>
      </c>
    </row>
    <row r="1283">
      <c r="A1283" s="4" t="s">
        <v>1297</v>
      </c>
      <c r="B1283" s="5" t="str">
        <f>IFERROR(__xludf.DUMMYFUNCTION("IF(A1283="""","""",INDEX(SPLIT(A1283,"" ""),COUNTA(SPLIT(A1283,"" ""))))"),"Besano")</f>
        <v>Besano</v>
      </c>
      <c r="C1283" s="6"/>
      <c r="D1283" s="6" t="s">
        <v>1286</v>
      </c>
      <c r="E1283" s="7" t="s">
        <v>1287</v>
      </c>
    </row>
    <row r="1284">
      <c r="A1284" s="4" t="s">
        <v>1298</v>
      </c>
      <c r="B1284" s="5" t="str">
        <f>IFERROR(__xludf.DUMMYFUNCTION("IF(A1284="""","""",INDEX(SPLIT(A1284,"" ""),COUNTA(SPLIT(A1284,"" ""))))"),"Besnate")</f>
        <v>Besnate</v>
      </c>
      <c r="C1284" s="6"/>
      <c r="D1284" s="6" t="s">
        <v>1286</v>
      </c>
      <c r="E1284" s="7" t="s">
        <v>1287</v>
      </c>
    </row>
    <row r="1285">
      <c r="A1285" s="4" t="s">
        <v>1299</v>
      </c>
      <c r="B1285" s="5" t="str">
        <f>IFERROR(__xludf.DUMMYFUNCTION("IF(A1285="""","""",INDEX(SPLIT(A1285,"" ""),COUNTA(SPLIT(A1285,"" ""))))"),"Besozzo")</f>
        <v>Besozzo</v>
      </c>
      <c r="C1285" s="6"/>
      <c r="D1285" s="6" t="s">
        <v>1286</v>
      </c>
      <c r="E1285" s="7" t="s">
        <v>1287</v>
      </c>
    </row>
    <row r="1286">
      <c r="A1286" s="4" t="s">
        <v>1300</v>
      </c>
      <c r="B1286" s="5" t="str">
        <f>IFERROR(__xludf.DUMMYFUNCTION("IF(A1286="""","""",INDEX(SPLIT(A1286,"" ""),COUNTA(SPLIT(A1286,"" ""))))"),"Biandronno")</f>
        <v>Biandronno</v>
      </c>
      <c r="C1286" s="6"/>
      <c r="D1286" s="6" t="s">
        <v>1286</v>
      </c>
      <c r="E1286" s="7" t="s">
        <v>1287</v>
      </c>
    </row>
    <row r="1287">
      <c r="A1287" s="4" t="s">
        <v>1301</v>
      </c>
      <c r="B1287" s="5" t="str">
        <f>IFERROR(__xludf.DUMMYFUNCTION("IF(A1287="""","""",INDEX(SPLIT(A1287,"" ""),COUNTA(SPLIT(A1287,"" ""))))"),"Bisuschio")</f>
        <v>Bisuschio</v>
      </c>
      <c r="C1287" s="6"/>
      <c r="D1287" s="6" t="s">
        <v>1286</v>
      </c>
      <c r="E1287" s="7" t="s">
        <v>1287</v>
      </c>
    </row>
    <row r="1288">
      <c r="A1288" s="4" t="s">
        <v>1302</v>
      </c>
      <c r="B1288" s="5" t="str">
        <f>IFERROR(__xludf.DUMMYFUNCTION("IF(A1288="""","""",INDEX(SPLIT(A1288,"" ""),COUNTA(SPLIT(A1288,"" ""))))"),"Lomnago")</f>
        <v>Lomnago</v>
      </c>
      <c r="C1288" s="6"/>
      <c r="D1288" s="6" t="s">
        <v>1286</v>
      </c>
      <c r="E1288" s="7" t="s">
        <v>1287</v>
      </c>
    </row>
    <row r="1289">
      <c r="A1289" s="4" t="s">
        <v>1303</v>
      </c>
      <c r="B1289" s="5" t="str">
        <f>IFERROR(__xludf.DUMMYFUNCTION("IF(A1289="""","""",INDEX(SPLIT(A1289,"" ""),COUNTA(SPLIT(A1289,"" ""))))"),"Brebbia")</f>
        <v>Brebbia</v>
      </c>
      <c r="C1289" s="6"/>
      <c r="D1289" s="6" t="s">
        <v>1286</v>
      </c>
      <c r="E1289" s="7" t="s">
        <v>1287</v>
      </c>
    </row>
    <row r="1290">
      <c r="A1290" s="4" t="s">
        <v>1304</v>
      </c>
      <c r="B1290" s="5" t="str">
        <f>IFERROR(__xludf.DUMMYFUNCTION("IF(A1290="""","""",INDEX(SPLIT(A1290,"" ""),COUNTA(SPLIT(A1290,"" ""))))"),"Bregano")</f>
        <v>Bregano</v>
      </c>
      <c r="C1290" s="6"/>
      <c r="D1290" s="6" t="s">
        <v>1286</v>
      </c>
      <c r="E1290" s="7" t="s">
        <v>1287</v>
      </c>
    </row>
    <row r="1291">
      <c r="A1291" s="4" t="s">
        <v>1305</v>
      </c>
      <c r="B1291" s="5" t="str">
        <f>IFERROR(__xludf.DUMMYFUNCTION("IF(A1291="""","""",INDEX(SPLIT(A1291,"" ""),COUNTA(SPLIT(A1291,"" ""))))"),"Brenta")</f>
        <v>Brenta</v>
      </c>
      <c r="C1291" s="6"/>
      <c r="D1291" s="6" t="s">
        <v>1286</v>
      </c>
      <c r="E1291" s="7" t="s">
        <v>1287</v>
      </c>
    </row>
    <row r="1292">
      <c r="A1292" s="4" t="s">
        <v>1306</v>
      </c>
      <c r="B1292" s="5" t="str">
        <f>IFERROR(__xludf.DUMMYFUNCTION("IF(A1292="""","""",INDEX(SPLIT(A1292,"" ""),COUNTA(SPLIT(A1292,"" ""))))"),"Bedero")</f>
        <v>Bedero</v>
      </c>
      <c r="C1292" s="6"/>
      <c r="D1292" s="6" t="s">
        <v>1286</v>
      </c>
      <c r="E1292" s="7" t="s">
        <v>1287</v>
      </c>
    </row>
    <row r="1293">
      <c r="A1293" s="4" t="s">
        <v>1307</v>
      </c>
      <c r="B1293" s="5" t="str">
        <f>IFERROR(__xludf.DUMMYFUNCTION("IF(A1293="""","""",INDEX(SPLIT(A1293,"" ""),COUNTA(SPLIT(A1293,"" ""))))"),"Brinzio")</f>
        <v>Brinzio</v>
      </c>
      <c r="C1293" s="6"/>
      <c r="D1293" s="6" t="s">
        <v>1286</v>
      </c>
      <c r="E1293" s="7" t="s">
        <v>1287</v>
      </c>
    </row>
    <row r="1294">
      <c r="A1294" s="4" t="s">
        <v>1308</v>
      </c>
      <c r="B1294" s="5" t="str">
        <f>IFERROR(__xludf.DUMMYFUNCTION("IF(A1294="""","""",INDEX(SPLIT(A1294,"" ""),COUNTA(SPLIT(A1294,"" ""))))"),"BrissagoValtravaglia")</f>
        <v>BrissagoValtravaglia</v>
      </c>
      <c r="C1294" s="6"/>
      <c r="D1294" s="6" t="s">
        <v>1286</v>
      </c>
      <c r="E1294" s="7" t="s">
        <v>1287</v>
      </c>
    </row>
    <row r="1295">
      <c r="A1295" s="4" t="s">
        <v>1309</v>
      </c>
      <c r="B1295" s="5" t="str">
        <f>IFERROR(__xludf.DUMMYFUNCTION("IF(A1295="""","""",INDEX(SPLIT(A1295,"" ""),COUNTA(SPLIT(A1295,"" ""))))"),"Brunello")</f>
        <v>Brunello</v>
      </c>
      <c r="C1295" s="6"/>
      <c r="D1295" s="6" t="s">
        <v>1286</v>
      </c>
      <c r="E1295" s="7" t="s">
        <v>1287</v>
      </c>
    </row>
    <row r="1296">
      <c r="A1296" s="4" t="s">
        <v>1310</v>
      </c>
      <c r="B1296" s="5" t="str">
        <f>IFERROR(__xludf.DUMMYFUNCTION("IF(A1296="""","""",INDEX(SPLIT(A1296,"" ""),COUNTA(SPLIT(A1296,"" ""))))"),"Brusimpiano")</f>
        <v>Brusimpiano</v>
      </c>
      <c r="C1296" s="6"/>
      <c r="D1296" s="6" t="s">
        <v>1286</v>
      </c>
      <c r="E1296" s="7" t="s">
        <v>1287</v>
      </c>
    </row>
    <row r="1297">
      <c r="A1297" s="4" t="s">
        <v>1311</v>
      </c>
      <c r="B1297" s="5" t="str">
        <f>IFERROR(__xludf.DUMMYFUNCTION("IF(A1297="""","""",INDEX(SPLIT(A1297,"" ""),COUNTA(SPLIT(A1297,"" ""))))"),"Buguggiate")</f>
        <v>Buguggiate</v>
      </c>
      <c r="C1297" s="6"/>
      <c r="D1297" s="6" t="s">
        <v>1286</v>
      </c>
      <c r="E1297" s="7" t="s">
        <v>1287</v>
      </c>
    </row>
    <row r="1298">
      <c r="A1298" s="4" t="s">
        <v>1312</v>
      </c>
      <c r="B1298" s="5" t="str">
        <f>IFERROR(__xludf.DUMMYFUNCTION("IF(A1298="""","""",INDEX(SPLIT(A1298,"" ""),COUNTA(SPLIT(A1298,"" ""))))"),"Arsizio")</f>
        <v>Arsizio</v>
      </c>
      <c r="C1298" s="6"/>
      <c r="D1298" s="6" t="s">
        <v>1286</v>
      </c>
      <c r="E1298" s="7" t="s">
        <v>1287</v>
      </c>
    </row>
    <row r="1299">
      <c r="A1299" s="4" t="s">
        <v>1313</v>
      </c>
      <c r="B1299" s="5" t="str">
        <f>IFERROR(__xludf.DUMMYFUNCTION("IF(A1299="""","""",INDEX(SPLIT(A1299,"" ""),COUNTA(SPLIT(A1299,"" ""))))"),"CadeglianoViconago")</f>
        <v>CadeglianoViconago</v>
      </c>
      <c r="C1299" s="6"/>
      <c r="D1299" s="6" t="s">
        <v>1286</v>
      </c>
      <c r="E1299" s="7" t="s">
        <v>1287</v>
      </c>
    </row>
    <row r="1300">
      <c r="A1300" s="4" t="s">
        <v>1314</v>
      </c>
      <c r="B1300" s="5" t="str">
        <f>IFERROR(__xludf.DUMMYFUNCTION("IF(A1300="""","""",INDEX(SPLIT(A1300,"" ""),COUNTA(SPLIT(A1300,"" ""))))"),"Cadrezzate")</f>
        <v>Cadrezzate</v>
      </c>
      <c r="C1300" s="6"/>
      <c r="D1300" s="6" t="s">
        <v>1286</v>
      </c>
      <c r="E1300" s="7" t="s">
        <v>1287</v>
      </c>
    </row>
    <row r="1301">
      <c r="A1301" s="4" t="s">
        <v>1315</v>
      </c>
      <c r="B1301" s="5" t="str">
        <f>IFERROR(__xludf.DUMMYFUNCTION("IF(A1301="""","""",INDEX(SPLIT(A1301,"" ""),COUNTA(SPLIT(A1301,"" ""))))"),"Cairate")</f>
        <v>Cairate</v>
      </c>
      <c r="C1301" s="6"/>
      <c r="D1301" s="6" t="s">
        <v>1286</v>
      </c>
      <c r="E1301" s="7" t="s">
        <v>1287</v>
      </c>
    </row>
    <row r="1302">
      <c r="A1302" s="4" t="s">
        <v>1316</v>
      </c>
      <c r="B1302" s="5" t="str">
        <f>IFERROR(__xludf.DUMMYFUNCTION("IF(A1302="""","""",INDEX(SPLIT(A1302,"" ""),COUNTA(SPLIT(A1302,"" ""))))"),"Cantello")</f>
        <v>Cantello</v>
      </c>
      <c r="C1302" s="6"/>
      <c r="D1302" s="6" t="s">
        <v>1286</v>
      </c>
      <c r="E1302" s="7" t="s">
        <v>1287</v>
      </c>
    </row>
    <row r="1303">
      <c r="A1303" s="4" t="s">
        <v>1317</v>
      </c>
      <c r="B1303" s="5" t="str">
        <f>IFERROR(__xludf.DUMMYFUNCTION("IF(A1303="""","""",INDEX(SPLIT(A1303,"" ""),COUNTA(SPLIT(A1303,"" ""))))"),"Caravate")</f>
        <v>Caravate</v>
      </c>
      <c r="C1303" s="6"/>
      <c r="D1303" s="6" t="s">
        <v>1286</v>
      </c>
      <c r="E1303" s="7" t="s">
        <v>1287</v>
      </c>
    </row>
    <row r="1304">
      <c r="A1304" s="4" t="s">
        <v>1318</v>
      </c>
      <c r="B1304" s="5" t="str">
        <f>IFERROR(__xludf.DUMMYFUNCTION("IF(A1304="""","""",INDEX(SPLIT(A1304,"" ""),COUNTA(SPLIT(A1304,"" ""))))"),"Campo")</f>
        <v>Campo</v>
      </c>
      <c r="C1304" s="6"/>
      <c r="D1304" s="6" t="s">
        <v>1286</v>
      </c>
      <c r="E1304" s="7" t="s">
        <v>1287</v>
      </c>
    </row>
    <row r="1305">
      <c r="A1305" s="4" t="s">
        <v>1319</v>
      </c>
      <c r="B1305" s="5" t="str">
        <f>IFERROR(__xludf.DUMMYFUNCTION("IF(A1305="""","""",INDEX(SPLIT(A1305,"" ""),COUNTA(SPLIT(A1305,"" ""))))"),"Carnago")</f>
        <v>Carnago</v>
      </c>
      <c r="C1305" s="6"/>
      <c r="D1305" s="6" t="s">
        <v>1286</v>
      </c>
      <c r="E1305" s="7" t="s">
        <v>1287</v>
      </c>
    </row>
    <row r="1306">
      <c r="A1306" s="4" t="s">
        <v>1320</v>
      </c>
      <c r="B1306" s="5" t="str">
        <f>IFERROR(__xludf.DUMMYFUNCTION("IF(A1306="""","""",INDEX(SPLIT(A1306,"" ""),COUNTA(SPLIT(A1306,"" ""))))"),"Pertusella")</f>
        <v>Pertusella</v>
      </c>
      <c r="C1306" s="6"/>
      <c r="D1306" s="6" t="s">
        <v>1286</v>
      </c>
      <c r="E1306" s="7" t="s">
        <v>1287</v>
      </c>
    </row>
    <row r="1307">
      <c r="A1307" s="4" t="s">
        <v>1321</v>
      </c>
      <c r="B1307" s="5" t="str">
        <f>IFERROR(__xludf.DUMMYFUNCTION("IF(A1307="""","""",INDEX(SPLIT(A1307,"" ""),COUNTA(SPLIT(A1307,"" ""))))"),"Varesino")</f>
        <v>Varesino</v>
      </c>
      <c r="C1307" s="6"/>
      <c r="D1307" s="6" t="s">
        <v>1286</v>
      </c>
      <c r="E1307" s="7" t="s">
        <v>1287</v>
      </c>
    </row>
    <row r="1308">
      <c r="A1308" s="4" t="s">
        <v>1322</v>
      </c>
      <c r="B1308" s="5" t="str">
        <f>IFERROR(__xludf.DUMMYFUNCTION("IF(A1308="""","""",INDEX(SPLIT(A1308,"" ""),COUNTA(SPLIT(A1308,"" ""))))"),"Litta")</f>
        <v>Litta</v>
      </c>
      <c r="C1308" s="6"/>
      <c r="D1308" s="6" t="s">
        <v>1286</v>
      </c>
      <c r="E1308" s="7" t="s">
        <v>1287</v>
      </c>
    </row>
    <row r="1309">
      <c r="A1309" s="4" t="s">
        <v>1323</v>
      </c>
      <c r="B1309" s="5" t="str">
        <f>IFERROR(__xludf.DUMMYFUNCTION("IF(A1309="""","""",INDEX(SPLIT(A1309,"" ""),COUNTA(SPLIT(A1309,"" ""))))"),"Casalzuigno")</f>
        <v>Casalzuigno</v>
      </c>
      <c r="C1309" s="6"/>
      <c r="D1309" s="6" t="s">
        <v>1286</v>
      </c>
      <c r="E1309" s="7" t="s">
        <v>1287</v>
      </c>
    </row>
    <row r="1310">
      <c r="A1310" s="4" t="s">
        <v>1324</v>
      </c>
      <c r="B1310" s="5" t="str">
        <f>IFERROR(__xludf.DUMMYFUNCTION("IF(A1310="""","""",INDEX(SPLIT(A1310,"" ""),COUNTA(SPLIT(A1310,"" ""))))"),"Casciago")</f>
        <v>Casciago</v>
      </c>
      <c r="C1310" s="6"/>
      <c r="D1310" s="6" t="s">
        <v>1286</v>
      </c>
      <c r="E1310" s="7" t="s">
        <v>1287</v>
      </c>
    </row>
    <row r="1311">
      <c r="A1311" s="4" t="s">
        <v>1325</v>
      </c>
      <c r="B1311" s="5" t="str">
        <f>IFERROR(__xludf.DUMMYFUNCTION("IF(A1311="""","""",INDEX(SPLIT(A1311,"" ""),COUNTA(SPLIT(A1311,"" ""))))"),"Sempione")</f>
        <v>Sempione</v>
      </c>
      <c r="C1311" s="6"/>
      <c r="D1311" s="6" t="s">
        <v>1286</v>
      </c>
      <c r="E1311" s="7" t="s">
        <v>1287</v>
      </c>
    </row>
    <row r="1312">
      <c r="A1312" s="4" t="s">
        <v>1326</v>
      </c>
      <c r="B1312" s="5" t="str">
        <f>IFERROR(__xludf.DUMMYFUNCTION("IF(A1312="""","""",INDEX(SPLIT(A1312,"" ""),COUNTA(SPLIT(A1312,"" ""))))"),"Magnago")</f>
        <v>Magnago</v>
      </c>
      <c r="C1312" s="6"/>
      <c r="D1312" s="6" t="s">
        <v>1286</v>
      </c>
      <c r="E1312" s="7" t="s">
        <v>1287</v>
      </c>
    </row>
    <row r="1313">
      <c r="A1313" s="4" t="s">
        <v>1327</v>
      </c>
      <c r="B1313" s="5" t="str">
        <f>IFERROR(__xludf.DUMMYFUNCTION("IF(A1313="""","""",INDEX(SPLIT(A1313,"" ""),COUNTA(SPLIT(A1313,"" ""))))"),"Valcuvia")</f>
        <v>Valcuvia</v>
      </c>
      <c r="C1313" s="6"/>
      <c r="D1313" s="6" t="s">
        <v>1286</v>
      </c>
      <c r="E1313" s="7" t="s">
        <v>1287</v>
      </c>
    </row>
    <row r="1314">
      <c r="A1314" s="4" t="s">
        <v>1328</v>
      </c>
      <c r="B1314" s="5" t="str">
        <f>IFERROR(__xludf.DUMMYFUNCTION("IF(A1314="""","""",INDEX(SPLIT(A1314,"" ""),COUNTA(SPLIT(A1314,"" ""))))"),"Castellanza")</f>
        <v>Castellanza</v>
      </c>
      <c r="C1314" s="6"/>
      <c r="D1314" s="6" t="s">
        <v>1286</v>
      </c>
      <c r="E1314" s="7" t="s">
        <v>1287</v>
      </c>
    </row>
    <row r="1315">
      <c r="A1315" s="4" t="s">
        <v>1329</v>
      </c>
      <c r="B1315" s="5" t="str">
        <f>IFERROR(__xludf.DUMMYFUNCTION("IF(A1315="""","""",INDEX(SPLIT(A1315,"" ""),COUNTA(SPLIT(A1315,"" ""))))"),"Cabiaglio")</f>
        <v>Cabiaglio</v>
      </c>
      <c r="C1315" s="6"/>
      <c r="D1315" s="6" t="s">
        <v>1286</v>
      </c>
      <c r="E1315" s="7" t="s">
        <v>1287</v>
      </c>
    </row>
    <row r="1316">
      <c r="A1316" s="4" t="s">
        <v>1330</v>
      </c>
      <c r="B1316" s="5" t="str">
        <f>IFERROR(__xludf.DUMMYFUNCTION("IF(A1316="""","""",INDEX(SPLIT(A1316,"" ""),COUNTA(SPLIT(A1316,"" ""))))"),"Castelseprio")</f>
        <v>Castelseprio</v>
      </c>
      <c r="C1316" s="6"/>
      <c r="D1316" s="6" t="s">
        <v>1286</v>
      </c>
      <c r="E1316" s="7" t="s">
        <v>1287</v>
      </c>
    </row>
    <row r="1317">
      <c r="A1317" s="4" t="s">
        <v>1331</v>
      </c>
      <c r="B1317" s="5" t="str">
        <f>IFERROR(__xludf.DUMMYFUNCTION("IF(A1317="""","""",INDEX(SPLIT(A1317,"" ""),COUNTA(SPLIT(A1317,"" ""))))"),"Castelveccana")</f>
        <v>Castelveccana</v>
      </c>
      <c r="C1317" s="6"/>
      <c r="D1317" s="6" t="s">
        <v>1286</v>
      </c>
      <c r="E1317" s="7" t="s">
        <v>1287</v>
      </c>
    </row>
    <row r="1318">
      <c r="A1318" s="4" t="s">
        <v>1332</v>
      </c>
      <c r="B1318" s="5" t="str">
        <f>IFERROR(__xludf.DUMMYFUNCTION("IF(A1318="""","""",INDEX(SPLIT(A1318,"" ""),COUNTA(SPLIT(A1318,"" ""))))"),"Olona")</f>
        <v>Olona</v>
      </c>
      <c r="C1318" s="6"/>
      <c r="D1318" s="6" t="s">
        <v>1286</v>
      </c>
      <c r="E1318" s="7" t="s">
        <v>1287</v>
      </c>
    </row>
    <row r="1319">
      <c r="A1319" s="4" t="s">
        <v>1333</v>
      </c>
      <c r="B1319" s="5" t="str">
        <f>IFERROR(__xludf.DUMMYFUNCTION("IF(A1319="""","""",INDEX(SPLIT(A1319,"" ""),COUNTA(SPLIT(A1319,"" ""))))"),"Castronno")</f>
        <v>Castronno</v>
      </c>
      <c r="C1319" s="6"/>
      <c r="D1319" s="6" t="s">
        <v>1286</v>
      </c>
      <c r="E1319" s="7" t="s">
        <v>1287</v>
      </c>
    </row>
    <row r="1320">
      <c r="A1320" s="4" t="s">
        <v>1334</v>
      </c>
      <c r="B1320" s="5" t="str">
        <f>IFERROR(__xludf.DUMMYFUNCTION("IF(A1320="""","""",INDEX(SPLIT(A1320,"" ""),COUNTA(SPLIT(A1320,"" ""))))"),"Premezzo")</f>
        <v>Premezzo</v>
      </c>
      <c r="C1320" s="6"/>
      <c r="D1320" s="6" t="s">
        <v>1286</v>
      </c>
      <c r="E1320" s="7" t="s">
        <v>1287</v>
      </c>
    </row>
    <row r="1321">
      <c r="A1321" s="4" t="s">
        <v>1335</v>
      </c>
      <c r="B1321" s="5" t="str">
        <f>IFERROR(__xludf.DUMMYFUNCTION("IF(A1321="""","""",INDEX(SPLIT(A1321,"" ""),COUNTA(SPLIT(A1321,"" ""))))"),"Brabbia")</f>
        <v>Brabbia</v>
      </c>
      <c r="C1321" s="6"/>
      <c r="D1321" s="6" t="s">
        <v>1286</v>
      </c>
      <c r="E1321" s="7" t="s">
        <v>1287</v>
      </c>
    </row>
    <row r="1322">
      <c r="A1322" s="4" t="s">
        <v>1336</v>
      </c>
      <c r="B1322" s="5" t="str">
        <f>IFERROR(__xludf.DUMMYFUNCTION("IF(A1322="""","""",INDEX(SPLIT(A1322,"" ""),COUNTA(SPLIT(A1322,"" ""))))"),"Cislago")</f>
        <v>Cislago</v>
      </c>
      <c r="C1322" s="6"/>
      <c r="D1322" s="6" t="s">
        <v>1286</v>
      </c>
      <c r="E1322" s="7" t="s">
        <v>1287</v>
      </c>
    </row>
    <row r="1323">
      <c r="A1323" s="4" t="s">
        <v>1337</v>
      </c>
      <c r="B1323" s="5" t="str">
        <f>IFERROR(__xludf.DUMMYFUNCTION("IF(A1323="""","""",INDEX(SPLIT(A1323,"" ""),COUNTA(SPLIT(A1323,"" ""))))"),"Cittiglio")</f>
        <v>Cittiglio</v>
      </c>
      <c r="C1323" s="6"/>
      <c r="D1323" s="6" t="s">
        <v>1286</v>
      </c>
      <c r="E1323" s="7" t="s">
        <v>1287</v>
      </c>
    </row>
    <row r="1324">
      <c r="A1324" s="4" t="s">
        <v>1338</v>
      </c>
      <c r="B1324" s="5" t="str">
        <f>IFERROR(__xludf.DUMMYFUNCTION("IF(A1324="""","""",INDEX(SPLIT(A1324,"" ""),COUNTA(SPLIT(A1324,"" ""))))"),"Clivio")</f>
        <v>Clivio</v>
      </c>
      <c r="C1324" s="6"/>
      <c r="D1324" s="6" t="s">
        <v>1286</v>
      </c>
      <c r="E1324" s="7" t="s">
        <v>1287</v>
      </c>
    </row>
    <row r="1325">
      <c r="A1325" s="4" t="s">
        <v>1339</v>
      </c>
      <c r="B1325" s="5" t="str">
        <f>IFERROR(__xludf.DUMMYFUNCTION("IF(A1325="""","""",INDEX(SPLIT(A1325,"" ""),COUNTA(SPLIT(A1325,"" ""))))"),"CocquioTrevisago")</f>
        <v>CocquioTrevisago</v>
      </c>
      <c r="C1325" s="6"/>
      <c r="D1325" s="6" t="s">
        <v>1286</v>
      </c>
      <c r="E1325" s="7" t="s">
        <v>1287</v>
      </c>
    </row>
    <row r="1326">
      <c r="A1326" s="4" t="s">
        <v>1340</v>
      </c>
      <c r="B1326" s="5" t="str">
        <f>IFERROR(__xludf.DUMMYFUNCTION("IF(A1326="""","""",INDEX(SPLIT(A1326,"" ""),COUNTA(SPLIT(A1326,"" ""))))"),"Comabbio")</f>
        <v>Comabbio</v>
      </c>
      <c r="C1326" s="6"/>
      <c r="D1326" s="6" t="s">
        <v>1286</v>
      </c>
      <c r="E1326" s="7" t="s">
        <v>1287</v>
      </c>
    </row>
    <row r="1327">
      <c r="A1327" s="4" t="s">
        <v>1341</v>
      </c>
      <c r="B1327" s="5" t="str">
        <f>IFERROR(__xludf.DUMMYFUNCTION("IF(A1327="""","""",INDEX(SPLIT(A1327,"" ""),COUNTA(SPLIT(A1327,"" ""))))"),"Comerio")</f>
        <v>Comerio</v>
      </c>
      <c r="C1327" s="6"/>
      <c r="D1327" s="6" t="s">
        <v>1286</v>
      </c>
      <c r="E1327" s="7" t="s">
        <v>1287</v>
      </c>
    </row>
    <row r="1328">
      <c r="A1328" s="4" t="s">
        <v>1342</v>
      </c>
      <c r="B1328" s="5" t="str">
        <f>IFERROR(__xludf.DUMMYFUNCTION("IF(A1328="""","""",INDEX(SPLIT(A1328,"" ""),COUNTA(SPLIT(A1328,"" ""))))"),"Cremenaga")</f>
        <v>Cremenaga</v>
      </c>
      <c r="C1328" s="6"/>
      <c r="D1328" s="6" t="s">
        <v>1286</v>
      </c>
      <c r="E1328" s="7" t="s">
        <v>1287</v>
      </c>
    </row>
    <row r="1329">
      <c r="A1329" s="4" t="s">
        <v>1343</v>
      </c>
      <c r="B1329" s="5" t="str">
        <f>IFERROR(__xludf.DUMMYFUNCTION("IF(A1329="""","""",INDEX(SPLIT(A1329,"" ""),COUNTA(SPLIT(A1329,"" ""))))"),"Valle")</f>
        <v>Valle</v>
      </c>
      <c r="C1329" s="6"/>
      <c r="D1329" s="6" t="s">
        <v>1286</v>
      </c>
      <c r="E1329" s="7" t="s">
        <v>1287</v>
      </c>
    </row>
    <row r="1330">
      <c r="A1330" s="4" t="s">
        <v>1344</v>
      </c>
      <c r="B1330" s="5" t="str">
        <f>IFERROR(__xludf.DUMMYFUNCTION("IF(A1330="""","""",INDEX(SPLIT(A1330,"" ""),COUNTA(SPLIT(A1330,"" ""))))"),"Monte")</f>
        <v>Monte</v>
      </c>
      <c r="C1330" s="6"/>
      <c r="D1330" s="6" t="s">
        <v>1286</v>
      </c>
      <c r="E1330" s="7" t="s">
        <v>1287</v>
      </c>
    </row>
    <row r="1331">
      <c r="A1331" s="4" t="s">
        <v>1345</v>
      </c>
      <c r="B1331" s="5" t="str">
        <f>IFERROR(__xludf.DUMMYFUNCTION("IF(A1331="""","""",INDEX(SPLIT(A1331,"" ""),COUNTA(SPLIT(A1331,"" ""))))"),"CugliateFabiasco")</f>
        <v>CugliateFabiasco</v>
      </c>
      <c r="C1331" s="6"/>
      <c r="D1331" s="6" t="s">
        <v>1286</v>
      </c>
      <c r="E1331" s="7" t="s">
        <v>1287</v>
      </c>
    </row>
    <row r="1332">
      <c r="A1332" s="4" t="s">
        <v>1346</v>
      </c>
      <c r="B1332" s="5" t="str">
        <f>IFERROR(__xludf.DUMMYFUNCTION("IF(A1332="""","""",INDEX(SPLIT(A1332,"" ""),COUNTA(SPLIT(A1332,"" ""))))"),"Cunardo")</f>
        <v>Cunardo</v>
      </c>
      <c r="C1332" s="6"/>
      <c r="D1332" s="6" t="s">
        <v>1286</v>
      </c>
      <c r="E1332" s="7" t="s">
        <v>1287</v>
      </c>
    </row>
    <row r="1333">
      <c r="A1333" s="4" t="s">
        <v>1347</v>
      </c>
      <c r="B1333" s="5" t="str">
        <f>IFERROR(__xludf.DUMMYFUNCTION("IF(A1333="""","""",INDEX(SPLIT(A1333,"" ""),COUNTA(SPLIT(A1333,"" ""))))"),"Monteviasco")</f>
        <v>Monteviasco</v>
      </c>
      <c r="C1333" s="6"/>
      <c r="D1333" s="6" t="s">
        <v>1286</v>
      </c>
      <c r="E1333" s="7" t="s">
        <v>1287</v>
      </c>
    </row>
    <row r="1334">
      <c r="A1334" s="4" t="s">
        <v>1348</v>
      </c>
      <c r="B1334" s="5" t="str">
        <f>IFERROR(__xludf.DUMMYFUNCTION("IF(A1334="""","""",INDEX(SPLIT(A1334,"" ""),COUNTA(SPLIT(A1334,"" ""))))"),"Cuveglio")</f>
        <v>Cuveglio</v>
      </c>
      <c r="C1334" s="6"/>
      <c r="D1334" s="6" t="s">
        <v>1286</v>
      </c>
      <c r="E1334" s="7" t="s">
        <v>1287</v>
      </c>
    </row>
    <row r="1335">
      <c r="A1335" s="4" t="s">
        <v>1349</v>
      </c>
      <c r="B1335" s="5" t="str">
        <f>IFERROR(__xludf.DUMMYFUNCTION("IF(A1335="""","""",INDEX(SPLIT(A1335,"" ""),COUNTA(SPLIT(A1335,"" ""))))"),"Cuvio")</f>
        <v>Cuvio</v>
      </c>
      <c r="C1335" s="6"/>
      <c r="D1335" s="6" t="s">
        <v>1286</v>
      </c>
      <c r="E1335" s="7" t="s">
        <v>1287</v>
      </c>
    </row>
    <row r="1336">
      <c r="A1336" s="4" t="s">
        <v>1350</v>
      </c>
      <c r="B1336" s="5" t="str">
        <f>IFERROR(__xludf.DUMMYFUNCTION("IF(A1336="""","""",INDEX(SPLIT(A1336,"" ""),COUNTA(SPLIT(A1336,"" ""))))"),"Daverio")</f>
        <v>Daverio</v>
      </c>
      <c r="C1336" s="6"/>
      <c r="D1336" s="6" t="s">
        <v>1286</v>
      </c>
      <c r="E1336" s="7" t="s">
        <v>1287</v>
      </c>
    </row>
    <row r="1337">
      <c r="A1337" s="4" t="s">
        <v>1351</v>
      </c>
      <c r="B1337" s="5" t="str">
        <f>IFERROR(__xludf.DUMMYFUNCTION("IF(A1337="""","""",INDEX(SPLIT(A1337,"" ""),COUNTA(SPLIT(A1337,"" ""))))"),"Dumenza")</f>
        <v>Dumenza</v>
      </c>
      <c r="C1337" s="6"/>
      <c r="D1337" s="6" t="s">
        <v>1286</v>
      </c>
      <c r="E1337" s="7" t="s">
        <v>1287</v>
      </c>
    </row>
    <row r="1338">
      <c r="A1338" s="4" t="s">
        <v>1352</v>
      </c>
      <c r="B1338" s="5" t="str">
        <f>IFERROR(__xludf.DUMMYFUNCTION("IF(A1338="""","""",INDEX(SPLIT(A1338,"" ""),COUNTA(SPLIT(A1338,"" ""))))"),"Duno")</f>
        <v>Duno</v>
      </c>
      <c r="C1338" s="6"/>
      <c r="D1338" s="6" t="s">
        <v>1286</v>
      </c>
      <c r="E1338" s="7" t="s">
        <v>1287</v>
      </c>
    </row>
    <row r="1339">
      <c r="A1339" s="4" t="s">
        <v>1353</v>
      </c>
      <c r="B1339" s="5" t="str">
        <f>IFERROR(__xludf.DUMMYFUNCTION("IF(A1339="""","""",INDEX(SPLIT(A1339,"" ""),COUNTA(SPLIT(A1339,"" ""))))"),"Olona")</f>
        <v>Olona</v>
      </c>
      <c r="C1339" s="6"/>
      <c r="D1339" s="6" t="s">
        <v>1286</v>
      </c>
      <c r="E1339" s="7" t="s">
        <v>1287</v>
      </c>
    </row>
    <row r="1340">
      <c r="A1340" s="4" t="s">
        <v>1354</v>
      </c>
      <c r="B1340" s="5" t="str">
        <f>IFERROR(__xludf.DUMMYFUNCTION("IF(A1340="""","""",INDEX(SPLIT(A1340,"" ""),COUNTA(SPLIT(A1340,"" ""))))"),"Ferno")</f>
        <v>Ferno</v>
      </c>
      <c r="C1340" s="6"/>
      <c r="D1340" s="6" t="s">
        <v>1286</v>
      </c>
      <c r="E1340" s="7" t="s">
        <v>1287</v>
      </c>
    </row>
    <row r="1341">
      <c r="A1341" s="4" t="s">
        <v>1355</v>
      </c>
      <c r="B1341" s="5" t="str">
        <f>IFERROR(__xludf.DUMMYFUNCTION("IF(A1341="""","""",INDEX(SPLIT(A1341,"" ""),COUNTA(SPLIT(A1341,"" ""))))"),"Varese")</f>
        <v>Varese</v>
      </c>
      <c r="C1341" s="6"/>
      <c r="D1341" s="6" t="s">
        <v>1286</v>
      </c>
      <c r="E1341" s="7" t="s">
        <v>1287</v>
      </c>
    </row>
    <row r="1342">
      <c r="A1342" s="4" t="s">
        <v>1356</v>
      </c>
      <c r="B1342" s="5" t="str">
        <f>IFERROR(__xludf.DUMMYFUNCTION("IF(A1342="""","""",INDEX(SPLIT(A1342,"" ""),COUNTA(SPLIT(A1342,"" ""))))"),"Gallarate")</f>
        <v>Gallarate</v>
      </c>
      <c r="C1342" s="6"/>
      <c r="D1342" s="6" t="s">
        <v>1286</v>
      </c>
      <c r="E1342" s="7" t="s">
        <v>1287</v>
      </c>
    </row>
    <row r="1343">
      <c r="A1343" s="4" t="s">
        <v>1357</v>
      </c>
      <c r="B1343" s="5" t="str">
        <f>IFERROR(__xludf.DUMMYFUNCTION("IF(A1343="""","""",INDEX(SPLIT(A1343,"" ""),COUNTA(SPLIT(A1343,"" ""))))"),"Lombardo")</f>
        <v>Lombardo</v>
      </c>
      <c r="C1343" s="6"/>
      <c r="D1343" s="6" t="s">
        <v>1286</v>
      </c>
      <c r="E1343" s="7" t="s">
        <v>1287</v>
      </c>
    </row>
    <row r="1344">
      <c r="A1344" s="4" t="s">
        <v>1358</v>
      </c>
      <c r="B1344" s="5" t="str">
        <f>IFERROR(__xludf.DUMMYFUNCTION("IF(A1344="""","""",INDEX(SPLIT(A1344,"" ""),COUNTA(SPLIT(A1344,"" ""))))"),"Gavirate")</f>
        <v>Gavirate</v>
      </c>
      <c r="C1344" s="6"/>
      <c r="D1344" s="6" t="s">
        <v>1286</v>
      </c>
      <c r="E1344" s="7" t="s">
        <v>1287</v>
      </c>
    </row>
    <row r="1345">
      <c r="A1345" s="4" t="s">
        <v>1359</v>
      </c>
      <c r="B1345" s="5" t="str">
        <f>IFERROR(__xludf.DUMMYFUNCTION("IF(A1345="""","""",INDEX(SPLIT(A1345,"" ""),COUNTA(SPLIT(A1345,"" ""))))"),"Schianno")</f>
        <v>Schianno</v>
      </c>
      <c r="C1345" s="6"/>
      <c r="D1345" s="6" t="s">
        <v>1286</v>
      </c>
      <c r="E1345" s="7" t="s">
        <v>1287</v>
      </c>
    </row>
    <row r="1346">
      <c r="A1346" s="4" t="s">
        <v>1360</v>
      </c>
      <c r="B1346" s="5" t="str">
        <f>IFERROR(__xludf.DUMMYFUNCTION("IF(A1346="""","""",INDEX(SPLIT(A1346,"" ""),COUNTA(SPLIT(A1346,"" ""))))"),"Gemonio")</f>
        <v>Gemonio</v>
      </c>
      <c r="C1346" s="6"/>
      <c r="D1346" s="6" t="s">
        <v>1286</v>
      </c>
      <c r="E1346" s="7" t="s">
        <v>1287</v>
      </c>
    </row>
    <row r="1347">
      <c r="A1347" s="4" t="s">
        <v>1361</v>
      </c>
      <c r="B1347" s="5" t="str">
        <f>IFERROR(__xludf.DUMMYFUNCTION("IF(A1347="""","""",INDEX(SPLIT(A1347,"" ""),COUNTA(SPLIT(A1347,"" ""))))"),"Gerenzano")</f>
        <v>Gerenzano</v>
      </c>
      <c r="C1347" s="6"/>
      <c r="D1347" s="6" t="s">
        <v>1286</v>
      </c>
      <c r="E1347" s="7" t="s">
        <v>1287</v>
      </c>
    </row>
    <row r="1348">
      <c r="A1348" s="4" t="s">
        <v>1362</v>
      </c>
      <c r="B1348" s="5" t="str">
        <f>IFERROR(__xludf.DUMMYFUNCTION("IF(A1348="""","""",INDEX(SPLIT(A1348,"" ""),COUNTA(SPLIT(A1348,"" ""))))"),"Germignaga")</f>
        <v>Germignaga</v>
      </c>
      <c r="C1348" s="6"/>
      <c r="D1348" s="6" t="s">
        <v>1286</v>
      </c>
      <c r="E1348" s="7" t="s">
        <v>1287</v>
      </c>
    </row>
    <row r="1349">
      <c r="A1349" s="4" t="s">
        <v>1363</v>
      </c>
      <c r="B1349" s="5" t="str">
        <f>IFERROR(__xludf.DUMMYFUNCTION("IF(A1349="""","""",INDEX(SPLIT(A1349,"" ""),COUNTA(SPLIT(A1349,"" ""))))"),"Golasecca")</f>
        <v>Golasecca</v>
      </c>
      <c r="C1349" s="6"/>
      <c r="D1349" s="6" t="s">
        <v>1286</v>
      </c>
      <c r="E1349" s="7" t="s">
        <v>1287</v>
      </c>
    </row>
    <row r="1350">
      <c r="A1350" s="4" t="s">
        <v>1364</v>
      </c>
      <c r="B1350" s="5" t="str">
        <f>IFERROR(__xludf.DUMMYFUNCTION("IF(A1350="""","""",INDEX(SPLIT(A1350,"" ""),COUNTA(SPLIT(A1350,"" ""))))"),"Maggiore")</f>
        <v>Maggiore</v>
      </c>
      <c r="C1350" s="6"/>
      <c r="D1350" s="6" t="s">
        <v>1286</v>
      </c>
      <c r="E1350" s="7" t="s">
        <v>1287</v>
      </c>
    </row>
    <row r="1351">
      <c r="A1351" s="4" t="s">
        <v>1365</v>
      </c>
      <c r="B1351" s="5" t="str">
        <f>IFERROR(__xludf.DUMMYFUNCTION("IF(A1351="""","""",INDEX(SPLIT(A1351,"" ""),COUNTA(SPLIT(A1351,"" ""))))"),"Minore")</f>
        <v>Minore</v>
      </c>
      <c r="C1351" s="6"/>
      <c r="D1351" s="6" t="s">
        <v>1286</v>
      </c>
      <c r="E1351" s="7" t="s">
        <v>1287</v>
      </c>
    </row>
    <row r="1352">
      <c r="A1352" s="4" t="s">
        <v>1366</v>
      </c>
      <c r="B1352" s="5" t="str">
        <f>IFERROR(__xludf.DUMMYFUNCTION("IF(A1352="""","""",INDEX(SPLIT(A1352,"" ""),COUNTA(SPLIT(A1352,"" ""))))"),"Olona")</f>
        <v>Olona</v>
      </c>
      <c r="C1352" s="6"/>
      <c r="D1352" s="6" t="s">
        <v>1286</v>
      </c>
      <c r="E1352" s="7" t="s">
        <v>1287</v>
      </c>
    </row>
    <row r="1353">
      <c r="A1353" s="4" t="s">
        <v>1367</v>
      </c>
      <c r="B1353" s="5" t="str">
        <f>IFERROR(__xludf.DUMMYFUNCTION("IF(A1353="""","""",INDEX(SPLIT(A1353,"" ""),COUNTA(SPLIT(A1353,"" ""))))"),"Grantola")</f>
        <v>Grantola</v>
      </c>
      <c r="C1353" s="6"/>
      <c r="D1353" s="6" t="s">
        <v>1286</v>
      </c>
      <c r="E1353" s="7" t="s">
        <v>1287</v>
      </c>
    </row>
    <row r="1354">
      <c r="A1354" s="4" t="s">
        <v>1368</v>
      </c>
      <c r="B1354" s="5" t="str">
        <f>IFERROR(__xludf.DUMMYFUNCTION("IF(A1354="""","""",INDEX(SPLIT(A1354,"" ""),COUNTA(SPLIT(A1354,"" ""))))"),"Inarzo")</f>
        <v>Inarzo</v>
      </c>
      <c r="C1354" s="6"/>
      <c r="D1354" s="6" t="s">
        <v>1286</v>
      </c>
      <c r="E1354" s="7" t="s">
        <v>1287</v>
      </c>
    </row>
    <row r="1355">
      <c r="A1355" s="4" t="s">
        <v>1369</v>
      </c>
      <c r="B1355" s="5" t="str">
        <f>IFERROR(__xludf.DUMMYFUNCTION("IF(A1355="""","""",INDEX(SPLIT(A1355,"" ""),COUNTA(SPLIT(A1355,"" ""))))"),"Olona")</f>
        <v>Olona</v>
      </c>
      <c r="C1355" s="6"/>
      <c r="D1355" s="6" t="s">
        <v>1286</v>
      </c>
      <c r="E1355" s="7" t="s">
        <v>1287</v>
      </c>
    </row>
    <row r="1356">
      <c r="A1356" s="4" t="s">
        <v>1370</v>
      </c>
      <c r="B1356" s="5" t="str">
        <f>IFERROR(__xludf.DUMMYFUNCTION("IF(A1356="""","""",INDEX(SPLIT(A1356,"" ""),COUNTA(SPLIT(A1356,"" ""))))"),"Ispra")</f>
        <v>Ispra</v>
      </c>
      <c r="C1356" s="6"/>
      <c r="D1356" s="6" t="s">
        <v>1286</v>
      </c>
      <c r="E1356" s="7" t="s">
        <v>1287</v>
      </c>
    </row>
    <row r="1357">
      <c r="A1357" s="4" t="s">
        <v>1371</v>
      </c>
      <c r="B1357" s="5" t="str">
        <f>IFERROR(__xludf.DUMMYFUNCTION("IF(A1357="""","""",INDEX(SPLIT(A1357,"" ""),COUNTA(SPLIT(A1357,"" ""))))"),"Orago")</f>
        <v>Orago</v>
      </c>
      <c r="C1357" s="6"/>
      <c r="D1357" s="6" t="s">
        <v>1286</v>
      </c>
      <c r="E1357" s="7" t="s">
        <v>1287</v>
      </c>
    </row>
    <row r="1358">
      <c r="A1358" s="4" t="s">
        <v>1372</v>
      </c>
      <c r="B1358" s="5" t="str">
        <f>IFERROR(__xludf.DUMMYFUNCTION("IF(A1358="""","""",INDEX(SPLIT(A1358,"" ""),COUNTA(SPLIT(A1358,"" ""))))"),"Tresa")</f>
        <v>Tresa</v>
      </c>
      <c r="C1358" s="6"/>
      <c r="D1358" s="6" t="s">
        <v>1286</v>
      </c>
      <c r="E1358" s="7" t="s">
        <v>1287</v>
      </c>
    </row>
    <row r="1359">
      <c r="A1359" s="4" t="s">
        <v>1373</v>
      </c>
      <c r="B1359" s="5" t="str">
        <f>IFERROR(__xludf.DUMMYFUNCTION("IF(A1359="""","""",INDEX(SPLIT(A1359,"" ""),COUNTA(SPLIT(A1359,"" ""))))"),"LavenoMombello")</f>
        <v>LavenoMombello</v>
      </c>
      <c r="C1359" s="6"/>
      <c r="D1359" s="6" t="s">
        <v>1286</v>
      </c>
      <c r="E1359" s="7" t="s">
        <v>1287</v>
      </c>
    </row>
    <row r="1360">
      <c r="A1360" s="4" t="s">
        <v>1374</v>
      </c>
      <c r="B1360" s="5" t="str">
        <f>IFERROR(__xludf.DUMMYFUNCTION("IF(A1360="""","""",INDEX(SPLIT(A1360,"" ""),COUNTA(SPLIT(A1360,"" ""))))"),"Leggiuno")</f>
        <v>Leggiuno</v>
      </c>
      <c r="C1360" s="6"/>
      <c r="D1360" s="6" t="s">
        <v>1286</v>
      </c>
      <c r="E1360" s="7" t="s">
        <v>1287</v>
      </c>
    </row>
    <row r="1361">
      <c r="A1361" s="4" t="s">
        <v>1375</v>
      </c>
      <c r="B1361" s="5" t="str">
        <f>IFERROR(__xludf.DUMMYFUNCTION("IF(A1361="""","""",INDEX(SPLIT(A1361,"" ""),COUNTA(SPLIT(A1361,"" ""))))"),"Ceppino")</f>
        <v>Ceppino</v>
      </c>
      <c r="C1361" s="6"/>
      <c r="D1361" s="6" t="s">
        <v>1286</v>
      </c>
      <c r="E1361" s="7" t="s">
        <v>1287</v>
      </c>
    </row>
    <row r="1362">
      <c r="A1362" s="4" t="s">
        <v>1376</v>
      </c>
      <c r="B1362" s="5" t="str">
        <f>IFERROR(__xludf.DUMMYFUNCTION("IF(A1362="""","""",INDEX(SPLIT(A1362,"" ""),COUNTA(SPLIT(A1362,"" ""))))"),"Pozzolo")</f>
        <v>Pozzolo</v>
      </c>
      <c r="C1362" s="6"/>
      <c r="D1362" s="6" t="s">
        <v>1286</v>
      </c>
      <c r="E1362" s="7" t="s">
        <v>1287</v>
      </c>
    </row>
    <row r="1363">
      <c r="A1363" s="4" t="s">
        <v>1377</v>
      </c>
      <c r="B1363" s="5" t="str">
        <f>IFERROR(__xludf.DUMMYFUNCTION("IF(A1363="""","""",INDEX(SPLIT(A1363,"" ""),COUNTA(SPLIT(A1363,"" ""))))"),"Lozza")</f>
        <v>Lozza</v>
      </c>
      <c r="C1363" s="6"/>
      <c r="D1363" s="6" t="s">
        <v>1286</v>
      </c>
      <c r="E1363" s="7" t="s">
        <v>1287</v>
      </c>
    </row>
    <row r="1364">
      <c r="A1364" s="4" t="s">
        <v>1378</v>
      </c>
      <c r="B1364" s="5" t="str">
        <f>IFERROR(__xludf.DUMMYFUNCTION("IF(A1364="""","""",INDEX(SPLIT(A1364,"" ""),COUNTA(SPLIT(A1364,"" ""))))"),"Luino")</f>
        <v>Luino</v>
      </c>
      <c r="C1364" s="6"/>
      <c r="D1364" s="6" t="s">
        <v>1286</v>
      </c>
      <c r="E1364" s="7" t="s">
        <v>1287</v>
      </c>
    </row>
    <row r="1365">
      <c r="A1365" s="4" t="s">
        <v>1379</v>
      </c>
      <c r="B1365" s="5" t="str">
        <f>IFERROR(__xludf.DUMMYFUNCTION("IF(A1365="""","""",INDEX(SPLIT(A1365,"" ""),COUNTA(SPLIT(A1365,"" ""))))"),"Luvinate")</f>
        <v>Luvinate</v>
      </c>
      <c r="C1365" s="6"/>
      <c r="D1365" s="6" t="s">
        <v>1286</v>
      </c>
      <c r="E1365" s="7" t="s">
        <v>1287</v>
      </c>
    </row>
    <row r="1366">
      <c r="A1366" s="4" t="s">
        <v>1380</v>
      </c>
      <c r="B1366" s="5" t="str">
        <f>IFERROR(__xludf.DUMMYFUNCTION("IF(A1366="""","""",INDEX(SPLIT(A1366,"" ""),COUNTA(SPLIT(A1366,"" ""))))"),"Malgesso")</f>
        <v>Malgesso</v>
      </c>
      <c r="C1366" s="6"/>
      <c r="D1366" s="6" t="s">
        <v>1286</v>
      </c>
      <c r="E1366" s="7" t="s">
        <v>1287</v>
      </c>
    </row>
    <row r="1367">
      <c r="A1367" s="4" t="s">
        <v>1381</v>
      </c>
      <c r="B1367" s="5" t="str">
        <f>IFERROR(__xludf.DUMMYFUNCTION("IF(A1367="""","""",INDEX(SPLIT(A1367,"" ""),COUNTA(SPLIT(A1367,"" ""))))"),"Malnate")</f>
        <v>Malnate</v>
      </c>
      <c r="C1367" s="6"/>
      <c r="D1367" s="6" t="s">
        <v>1286</v>
      </c>
      <c r="E1367" s="7" t="s">
        <v>1287</v>
      </c>
    </row>
    <row r="1368">
      <c r="A1368" s="4" t="s">
        <v>1382</v>
      </c>
      <c r="B1368" s="5" t="str">
        <f>IFERROR(__xludf.DUMMYFUNCTION("IF(A1368="""","""",INDEX(SPLIT(A1368,"" ""),COUNTA(SPLIT(A1368,"" ""))))"),"Marchirolo")</f>
        <v>Marchirolo</v>
      </c>
      <c r="C1368" s="6"/>
      <c r="D1368" s="6" t="s">
        <v>1286</v>
      </c>
      <c r="E1368" s="7" t="s">
        <v>1287</v>
      </c>
    </row>
    <row r="1369">
      <c r="A1369" s="4" t="s">
        <v>1383</v>
      </c>
      <c r="B1369" s="5" t="str">
        <f>IFERROR(__xludf.DUMMYFUNCTION("IF(A1369="""","""",INDEX(SPLIT(A1369,"" ""),COUNTA(SPLIT(A1369,"" ""))))"),"Marnate")</f>
        <v>Marnate</v>
      </c>
      <c r="C1369" s="6"/>
      <c r="D1369" s="6" t="s">
        <v>1286</v>
      </c>
      <c r="E1369" s="7" t="s">
        <v>1287</v>
      </c>
    </row>
    <row r="1370">
      <c r="A1370" s="4" t="s">
        <v>1384</v>
      </c>
      <c r="B1370" s="5" t="str">
        <f>IFERROR(__xludf.DUMMYFUNCTION("IF(A1370="""","""",INDEX(SPLIT(A1370,"" ""),COUNTA(SPLIT(A1370,"" ""))))"),"Marzio")</f>
        <v>Marzio</v>
      </c>
      <c r="C1370" s="6"/>
      <c r="D1370" s="6" t="s">
        <v>1286</v>
      </c>
      <c r="E1370" s="7" t="s">
        <v>1287</v>
      </c>
    </row>
    <row r="1371">
      <c r="A1371" s="4" t="s">
        <v>1385</v>
      </c>
      <c r="B1371" s="5" t="str">
        <f>IFERROR(__xludf.DUMMYFUNCTION("IF(A1371="""","""",INDEX(SPLIT(A1371,"" ""),COUNTA(SPLIT(A1371,"" ""))))"),"Primo")</f>
        <v>Primo</v>
      </c>
      <c r="C1371" s="6"/>
      <c r="D1371" s="6" t="s">
        <v>1286</v>
      </c>
      <c r="E1371" s="7" t="s">
        <v>1287</v>
      </c>
    </row>
    <row r="1372">
      <c r="A1372" s="4" t="s">
        <v>1386</v>
      </c>
      <c r="B1372" s="5" t="str">
        <f>IFERROR(__xludf.DUMMYFUNCTION("IF(A1372="""","""",INDEX(SPLIT(A1372,"" ""),COUNTA(SPLIT(A1372,"" ""))))"),"Mercallo")</f>
        <v>Mercallo</v>
      </c>
      <c r="C1372" s="6"/>
      <c r="D1372" s="6" t="s">
        <v>1286</v>
      </c>
      <c r="E1372" s="7" t="s">
        <v>1287</v>
      </c>
    </row>
    <row r="1373">
      <c r="A1373" s="4" t="s">
        <v>1387</v>
      </c>
      <c r="B1373" s="5" t="str">
        <f>IFERROR(__xludf.DUMMYFUNCTION("IF(A1373="""","""",INDEX(SPLIT(A1373,"" ""),COUNTA(SPLIT(A1373,"" ""))))"),"Mesenzana")</f>
        <v>Mesenzana</v>
      </c>
      <c r="C1373" s="6"/>
      <c r="D1373" s="6" t="s">
        <v>1286</v>
      </c>
      <c r="E1373" s="7" t="s">
        <v>1287</v>
      </c>
    </row>
    <row r="1374">
      <c r="A1374" s="4" t="s">
        <v>1388</v>
      </c>
      <c r="B1374" s="5" t="str">
        <f>IFERROR(__xludf.DUMMYFUNCTION("IF(A1374="""","""",INDEX(SPLIT(A1374,"" ""),COUNTA(SPLIT(A1374,"" ""))))"),"Valtravaglia")</f>
        <v>Valtravaglia</v>
      </c>
      <c r="C1374" s="6"/>
      <c r="D1374" s="6" t="s">
        <v>1286</v>
      </c>
      <c r="E1374" s="7" t="s">
        <v>1287</v>
      </c>
    </row>
    <row r="1375">
      <c r="A1375" s="4" t="s">
        <v>1389</v>
      </c>
      <c r="B1375" s="5" t="str">
        <f>IFERROR(__xludf.DUMMYFUNCTION("IF(A1375="""","""",INDEX(SPLIT(A1375,"" ""),COUNTA(SPLIT(A1375,"" ""))))"),"Monvalle")</f>
        <v>Monvalle</v>
      </c>
      <c r="C1375" s="6"/>
      <c r="D1375" s="6" t="s">
        <v>1286</v>
      </c>
      <c r="E1375" s="7" t="s">
        <v>1287</v>
      </c>
    </row>
    <row r="1376">
      <c r="A1376" s="4" t="s">
        <v>1390</v>
      </c>
      <c r="B1376" s="5" t="str">
        <f>IFERROR(__xludf.DUMMYFUNCTION("IF(A1376="""","""",INDEX(SPLIT(A1376,"" ""),COUNTA(SPLIT(A1376,"" ""))))"),"Morazzone")</f>
        <v>Morazzone</v>
      </c>
      <c r="C1376" s="6"/>
      <c r="D1376" s="6" t="s">
        <v>1286</v>
      </c>
      <c r="E1376" s="7" t="s">
        <v>1287</v>
      </c>
    </row>
    <row r="1377">
      <c r="A1377" s="4" t="s">
        <v>1391</v>
      </c>
      <c r="B1377" s="5" t="str">
        <f>IFERROR(__xludf.DUMMYFUNCTION("IF(A1377="""","""",INDEX(SPLIT(A1377,"" ""),COUNTA(SPLIT(A1377,"" ""))))"),"Mornago")</f>
        <v>Mornago</v>
      </c>
      <c r="C1377" s="6"/>
      <c r="D1377" s="6" t="s">
        <v>1286</v>
      </c>
      <c r="E1377" s="7" t="s">
        <v>1287</v>
      </c>
    </row>
    <row r="1378">
      <c r="A1378" s="4" t="s">
        <v>1392</v>
      </c>
      <c r="B1378" s="5" t="str">
        <f>IFERROR(__xludf.DUMMYFUNCTION("IF(A1378="""","""",INDEX(SPLIT(A1378,"" ""),COUNTA(SPLIT(A1378,"" ""))))"),"Stefano")</f>
        <v>Stefano</v>
      </c>
      <c r="C1378" s="6"/>
      <c r="D1378" s="6" t="s">
        <v>1286</v>
      </c>
      <c r="E1378" s="7" t="s">
        <v>1287</v>
      </c>
    </row>
    <row r="1379">
      <c r="A1379" s="4" t="s">
        <v>1393</v>
      </c>
      <c r="B1379" s="5" t="str">
        <f>IFERROR(__xludf.DUMMYFUNCTION("IF(A1379="""","""",INDEX(SPLIT(A1379,"" ""),COUNTA(SPLIT(A1379,"" ""))))"),"Olona")</f>
        <v>Olona</v>
      </c>
      <c r="C1379" s="6"/>
      <c r="D1379" s="6" t="s">
        <v>1286</v>
      </c>
      <c r="E1379" s="7" t="s">
        <v>1287</v>
      </c>
    </row>
    <row r="1380">
      <c r="A1380" s="4" t="s">
        <v>1394</v>
      </c>
      <c r="B1380" s="5" t="str">
        <f>IFERROR(__xludf.DUMMYFUNCTION("IF(A1380="""","""",INDEX(SPLIT(A1380,"" ""),COUNTA(SPLIT(A1380,"" ""))))"),"Origgio")</f>
        <v>Origgio</v>
      </c>
      <c r="C1380" s="6"/>
      <c r="D1380" s="6" t="s">
        <v>1286</v>
      </c>
      <c r="E1380" s="7" t="s">
        <v>1287</v>
      </c>
    </row>
    <row r="1381">
      <c r="A1381" s="4" t="s">
        <v>1395</v>
      </c>
      <c r="B1381" s="5" t="str">
        <f>IFERROR(__xludf.DUMMYFUNCTION("IF(A1381="""","""",INDEX(SPLIT(A1381,"" ""),COUNTA(SPLIT(A1381,"" ""))))"),"Orino")</f>
        <v>Orino</v>
      </c>
      <c r="C1381" s="6"/>
      <c r="D1381" s="6" t="s">
        <v>1286</v>
      </c>
      <c r="E1381" s="7" t="s">
        <v>1287</v>
      </c>
    </row>
    <row r="1382">
      <c r="A1382" s="4" t="s">
        <v>1396</v>
      </c>
      <c r="B1382" s="5" t="str">
        <f>IFERROR(__xludf.DUMMYFUNCTION("IF(A1382="""","""",INDEX(SPLIT(A1382,"" ""),COUNTA(SPLIT(A1382,"" ""))))"),"Osmate")</f>
        <v>Osmate</v>
      </c>
      <c r="C1382" s="6"/>
      <c r="D1382" s="6" t="s">
        <v>1286</v>
      </c>
      <c r="E1382" s="7" t="s">
        <v>1287</v>
      </c>
    </row>
    <row r="1383">
      <c r="A1383" s="4" t="s">
        <v>1397</v>
      </c>
      <c r="B1383" s="5" t="str">
        <f>IFERROR(__xludf.DUMMYFUNCTION("IF(A1383="""","""",INDEX(SPLIT(A1383,"" ""),COUNTA(SPLIT(A1383,"" ""))))"),"Ceresio")</f>
        <v>Ceresio</v>
      </c>
      <c r="C1383" s="6"/>
      <c r="D1383" s="6" t="s">
        <v>1286</v>
      </c>
      <c r="E1383" s="7" t="s">
        <v>1287</v>
      </c>
    </row>
    <row r="1384">
      <c r="A1384" s="4" t="s">
        <v>1398</v>
      </c>
      <c r="B1384" s="5" t="str">
        <f>IFERROR(__xludf.DUMMYFUNCTION("IF(A1384="""","""",INDEX(SPLIT(A1384,"" ""),COUNTA(SPLIT(A1384,"" ""))))"),"Valtravaglia")</f>
        <v>Valtravaglia</v>
      </c>
      <c r="C1384" s="6"/>
      <c r="D1384" s="6" t="s">
        <v>1286</v>
      </c>
      <c r="E1384" s="7" t="s">
        <v>1287</v>
      </c>
    </row>
    <row r="1385">
      <c r="A1385" s="4" t="s">
        <v>1399</v>
      </c>
      <c r="B1385" s="5" t="str">
        <f>IFERROR(__xludf.DUMMYFUNCTION("IF(A1385="""","""",INDEX(SPLIT(A1385,"" ""),COUNTA(SPLIT(A1385,"" ""))))"),"Valcuvia")</f>
        <v>Valcuvia</v>
      </c>
      <c r="C1385" s="6"/>
      <c r="D1385" s="6" t="s">
        <v>1286</v>
      </c>
      <c r="E1385" s="7" t="s">
        <v>1287</v>
      </c>
    </row>
    <row r="1386">
      <c r="A1386" s="4" t="s">
        <v>1400</v>
      </c>
      <c r="B1386" s="5" t="str">
        <f>IFERROR(__xludf.DUMMYFUNCTION("IF(A1386="""","""",INDEX(SPLIT(A1386,"" ""),COUNTA(SPLIT(A1386,"" ""))))"),"Ranco")</f>
        <v>Ranco</v>
      </c>
      <c r="C1386" s="6"/>
      <c r="D1386" s="6" t="s">
        <v>1286</v>
      </c>
      <c r="E1386" s="7" t="s">
        <v>1287</v>
      </c>
    </row>
    <row r="1387">
      <c r="A1387" s="4" t="s">
        <v>1401</v>
      </c>
      <c r="B1387" s="5" t="str">
        <f>IFERROR(__xludf.DUMMYFUNCTION("IF(A1387="""","""",INDEX(SPLIT(A1387,"" ""),COUNTA(SPLIT(A1387,"" ""))))"),"Saltrio")</f>
        <v>Saltrio</v>
      </c>
      <c r="C1387" s="6"/>
      <c r="D1387" s="6" t="s">
        <v>1286</v>
      </c>
      <c r="E1387" s="7" t="s">
        <v>1287</v>
      </c>
    </row>
    <row r="1388">
      <c r="A1388" s="4" t="s">
        <v>1402</v>
      </c>
      <c r="B1388" s="5" t="str">
        <f>IFERROR(__xludf.DUMMYFUNCTION("IF(A1388="""","""",INDEX(SPLIT(A1388,"" ""),COUNTA(SPLIT(A1388,"" ""))))"),"Samarate")</f>
        <v>Samarate</v>
      </c>
      <c r="C1388" s="6"/>
      <c r="D1388" s="6" t="s">
        <v>1286</v>
      </c>
      <c r="E1388" s="7" t="s">
        <v>1287</v>
      </c>
    </row>
    <row r="1389">
      <c r="A1389" s="4" t="s">
        <v>1403</v>
      </c>
      <c r="B1389" s="5" t="str">
        <f>IFERROR(__xludf.DUMMYFUNCTION("IF(A1389="""","""",INDEX(SPLIT(A1389,"" ""),COUNTA(SPLIT(A1389,"" ""))))"),"Saronno")</f>
        <v>Saronno</v>
      </c>
      <c r="C1389" s="6"/>
      <c r="D1389" s="6" t="s">
        <v>1286</v>
      </c>
      <c r="E1389" s="7" t="s">
        <v>1287</v>
      </c>
    </row>
    <row r="1390">
      <c r="A1390" s="4" t="s">
        <v>1404</v>
      </c>
      <c r="B1390" s="5" t="str">
        <f>IFERROR(__xludf.DUMMYFUNCTION("IF(A1390="""","""",INDEX(SPLIT(A1390,"" ""),COUNTA(SPLIT(A1390,"" ""))))"),"Calende")</f>
        <v>Calende</v>
      </c>
      <c r="C1390" s="6"/>
      <c r="D1390" s="6" t="s">
        <v>1286</v>
      </c>
      <c r="E1390" s="7" t="s">
        <v>1287</v>
      </c>
    </row>
    <row r="1391">
      <c r="A1391" s="4" t="s">
        <v>1405</v>
      </c>
      <c r="B1391" s="5" t="str">
        <f>IFERROR(__xludf.DUMMYFUNCTION("IF(A1391="""","""",INDEX(SPLIT(A1391,"" ""),COUNTA(SPLIT(A1391,"" ""))))"),"Arno")</f>
        <v>Arno</v>
      </c>
      <c r="C1391" s="6"/>
      <c r="D1391" s="6" t="s">
        <v>1286</v>
      </c>
      <c r="E1391" s="7" t="s">
        <v>1287</v>
      </c>
    </row>
    <row r="1392">
      <c r="A1392" s="4" t="s">
        <v>1406</v>
      </c>
      <c r="B1392" s="5" t="str">
        <f>IFERROR(__xludf.DUMMYFUNCTION("IF(A1392="""","""",INDEX(SPLIT(A1392,"" ""),COUNTA(SPLIT(A1392,"" ""))))"),"Olona")</f>
        <v>Olona</v>
      </c>
      <c r="C1392" s="6"/>
      <c r="D1392" s="6" t="s">
        <v>1286</v>
      </c>
      <c r="E1392" s="7" t="s">
        <v>1287</v>
      </c>
    </row>
    <row r="1393">
      <c r="A1393" s="4" t="s">
        <v>1407</v>
      </c>
      <c r="B1393" s="5" t="str">
        <f>IFERROR(__xludf.DUMMYFUNCTION("IF(A1393="""","""",INDEX(SPLIT(A1393,"" ""),COUNTA(SPLIT(A1393,"" ""))))"),"Lombardo")</f>
        <v>Lombardo</v>
      </c>
      <c r="C1393" s="6"/>
      <c r="D1393" s="6" t="s">
        <v>1286</v>
      </c>
      <c r="E1393" s="7" t="s">
        <v>1287</v>
      </c>
    </row>
    <row r="1394">
      <c r="A1394" s="4" t="s">
        <v>1408</v>
      </c>
      <c r="B1394" s="5" t="str">
        <f>IFERROR(__xludf.DUMMYFUNCTION("IF(A1394="""","""",INDEX(SPLIT(A1394,"" ""),COUNTA(SPLIT(A1394,"" ""))))"),"Sumirago")</f>
        <v>Sumirago</v>
      </c>
      <c r="C1394" s="6"/>
      <c r="D1394" s="6" t="s">
        <v>1286</v>
      </c>
      <c r="E1394" s="7" t="s">
        <v>1287</v>
      </c>
    </row>
    <row r="1395">
      <c r="A1395" s="4" t="s">
        <v>1409</v>
      </c>
      <c r="B1395" s="5" t="str">
        <f>IFERROR(__xludf.DUMMYFUNCTION("IF(A1395="""","""",INDEX(SPLIT(A1395,"" ""),COUNTA(SPLIT(A1395,"" ""))))"),"Taino")</f>
        <v>Taino</v>
      </c>
      <c r="C1395" s="6"/>
      <c r="D1395" s="6" t="s">
        <v>1286</v>
      </c>
      <c r="E1395" s="7" t="s">
        <v>1287</v>
      </c>
    </row>
    <row r="1396">
      <c r="A1396" s="4" t="s">
        <v>1410</v>
      </c>
      <c r="B1396" s="5" t="str">
        <f>IFERROR(__xludf.DUMMYFUNCTION("IF(A1396="""","""",INDEX(SPLIT(A1396,"" ""),COUNTA(SPLIT(A1396,"" ""))))"),"Ternate")</f>
        <v>Ternate</v>
      </c>
      <c r="C1396" s="6"/>
      <c r="D1396" s="6" t="s">
        <v>1286</v>
      </c>
      <c r="E1396" s="7" t="s">
        <v>1287</v>
      </c>
    </row>
    <row r="1397">
      <c r="A1397" s="4" t="s">
        <v>1411</v>
      </c>
      <c r="B1397" s="5" t="str">
        <f>IFERROR(__xludf.DUMMYFUNCTION("IF(A1397="""","""",INDEX(SPLIT(A1397,"" ""),COUNTA(SPLIT(A1397,"" ""))))"),"Tradate")</f>
        <v>Tradate</v>
      </c>
      <c r="C1397" s="6"/>
      <c r="D1397" s="6" t="s">
        <v>1286</v>
      </c>
      <c r="E1397" s="7" t="s">
        <v>1287</v>
      </c>
    </row>
    <row r="1398">
      <c r="A1398" s="4" t="s">
        <v>1412</v>
      </c>
      <c r="B1398" s="5" t="str">
        <f>IFERROR(__xludf.DUMMYFUNCTION("IF(A1398="""","""",INDEX(SPLIT(A1398,"" ""),COUNTA(SPLIT(A1398,"" ""))))"),"TravedonaMonate")</f>
        <v>TravedonaMonate</v>
      </c>
      <c r="C1398" s="6"/>
      <c r="D1398" s="6" t="s">
        <v>1286</v>
      </c>
      <c r="E1398" s="7" t="s">
        <v>1287</v>
      </c>
    </row>
    <row r="1399">
      <c r="A1399" s="4" t="s">
        <v>1413</v>
      </c>
      <c r="B1399" s="5" t="str">
        <f>IFERROR(__xludf.DUMMYFUNCTION("IF(A1399="""","""",INDEX(SPLIT(A1399,"" ""),COUNTA(SPLIT(A1399,"" ""))))"),"Maggiore")</f>
        <v>Maggiore</v>
      </c>
      <c r="C1399" s="6"/>
      <c r="D1399" s="6" t="s">
        <v>1286</v>
      </c>
      <c r="E1399" s="7" t="s">
        <v>1287</v>
      </c>
    </row>
    <row r="1400">
      <c r="A1400" s="4" t="s">
        <v>1414</v>
      </c>
      <c r="B1400" s="5" t="str">
        <f>IFERROR(__xludf.DUMMYFUNCTION("IF(A1400="""","""",INDEX(SPLIT(A1400,"" ""),COUNTA(SPLIT(A1400,"" ""))))"),"Uboldo")</f>
        <v>Uboldo</v>
      </c>
      <c r="C1400" s="6"/>
      <c r="D1400" s="6" t="s">
        <v>1286</v>
      </c>
      <c r="E1400" s="7" t="s">
        <v>1287</v>
      </c>
    </row>
    <row r="1401">
      <c r="A1401" s="4" t="s">
        <v>1415</v>
      </c>
      <c r="B1401" s="5" t="str">
        <f>IFERROR(__xludf.DUMMYFUNCTION("IF(A1401="""","""",INDEX(SPLIT(A1401,"" ""),COUNTA(SPLIT(A1401,"" ""))))"),"Valganna")</f>
        <v>Valganna</v>
      </c>
      <c r="C1401" s="6"/>
      <c r="D1401" s="6" t="s">
        <v>1286</v>
      </c>
      <c r="E1401" s="7" t="s">
        <v>1287</v>
      </c>
    </row>
    <row r="1402">
      <c r="A1402" s="4" t="s">
        <v>1416</v>
      </c>
      <c r="B1402" s="5" t="str">
        <f>IFERROR(__xludf.DUMMYFUNCTION("IF(A1402="""","""",INDEX(SPLIT(A1402,"" ""),COUNTA(SPLIT(A1402,"" ""))))"),"Borghi")</f>
        <v>Borghi</v>
      </c>
      <c r="C1402" s="6"/>
      <c r="D1402" s="6" t="s">
        <v>1286</v>
      </c>
      <c r="E1402" s="7" t="s">
        <v>1287</v>
      </c>
    </row>
    <row r="1403">
      <c r="A1403" s="4" t="s">
        <v>1286</v>
      </c>
      <c r="B1403" s="5" t="str">
        <f>IFERROR(__xludf.DUMMYFUNCTION("IF(A1403="""","""",INDEX(SPLIT(A1403,"" ""),COUNTA(SPLIT(A1403,"" ""))))"),"Varese")</f>
        <v>Varese</v>
      </c>
      <c r="C1403" s="6"/>
      <c r="D1403" s="6" t="s">
        <v>1286</v>
      </c>
      <c r="E1403" s="7" t="s">
        <v>1287</v>
      </c>
    </row>
    <row r="1404">
      <c r="A1404" s="4" t="s">
        <v>1417</v>
      </c>
      <c r="B1404" s="5" t="str">
        <f>IFERROR(__xludf.DUMMYFUNCTION("IF(A1404="""","""",INDEX(SPLIT(A1404,"" ""),COUNTA(SPLIT(A1404,"" ""))))"),"Olona")</f>
        <v>Olona</v>
      </c>
      <c r="C1404" s="6"/>
      <c r="D1404" s="6" t="s">
        <v>1286</v>
      </c>
      <c r="E1404" s="7" t="s">
        <v>1287</v>
      </c>
    </row>
    <row r="1405">
      <c r="A1405" s="4" t="s">
        <v>1418</v>
      </c>
      <c r="B1405" s="5" t="str">
        <f>IFERROR(__xludf.DUMMYFUNCTION("IF(A1405="""","""",INDEX(SPLIT(A1405,"" ""),COUNTA(SPLIT(A1405,"" ""))))"),"Inferiore")</f>
        <v>Inferiore</v>
      </c>
      <c r="C1405" s="6"/>
      <c r="D1405" s="6" t="s">
        <v>1286</v>
      </c>
      <c r="E1405" s="7" t="s">
        <v>1287</v>
      </c>
    </row>
    <row r="1406">
      <c r="A1406" s="4" t="s">
        <v>1419</v>
      </c>
      <c r="B1406" s="5" t="str">
        <f>IFERROR(__xludf.DUMMYFUNCTION("IF(A1406="""","""",INDEX(SPLIT(A1406,"" ""),COUNTA(SPLIT(A1406,"" ""))))"),"Superiore")</f>
        <v>Superiore</v>
      </c>
      <c r="C1406" s="6"/>
      <c r="D1406" s="6" t="s">
        <v>1286</v>
      </c>
      <c r="E1406" s="7" t="s">
        <v>1287</v>
      </c>
    </row>
    <row r="1407">
      <c r="A1407" s="4" t="s">
        <v>1420</v>
      </c>
      <c r="B1407" s="5" t="str">
        <f>IFERROR(__xludf.DUMMYFUNCTION("IF(A1407="""","""",INDEX(SPLIT(A1407,"" ""),COUNTA(SPLIT(A1407,"" ""))))"),"Vergiate")</f>
        <v>Vergiate</v>
      </c>
      <c r="C1407" s="6"/>
      <c r="D1407" s="6" t="s">
        <v>1286</v>
      </c>
      <c r="E1407" s="7" t="s">
        <v>1287</v>
      </c>
    </row>
    <row r="1408">
      <c r="A1408" s="4" t="s">
        <v>1421</v>
      </c>
      <c r="B1408" s="5" t="str">
        <f>IFERROR(__xludf.DUMMYFUNCTION("IF(A1408="""","""",INDEX(SPLIT(A1408,"" ""),COUNTA(SPLIT(A1408,"" ""))))"),"Viggiù")</f>
        <v>Viggiù</v>
      </c>
      <c r="C1408" s="6"/>
      <c r="D1408" s="6" t="s">
        <v>1286</v>
      </c>
      <c r="E1408" s="7" t="s">
        <v>1287</v>
      </c>
    </row>
    <row r="1409">
      <c r="A1409" s="4" t="s">
        <v>1422</v>
      </c>
      <c r="B1409" s="5" t="str">
        <f>IFERROR(__xludf.DUMMYFUNCTION("IF(A1409="""","""",INDEX(SPLIT(A1409,"" ""),COUNTA(SPLIT(A1409,"" ""))))"),"Ticino")</f>
        <v>Ticino</v>
      </c>
      <c r="C1409" s="6"/>
      <c r="D1409" s="6" t="s">
        <v>1286</v>
      </c>
      <c r="E1409" s="7" t="s">
        <v>1287</v>
      </c>
    </row>
    <row r="1410">
      <c r="A1410" s="4" t="s">
        <v>1423</v>
      </c>
      <c r="B1410" s="5" t="str">
        <f>IFERROR(__xludf.DUMMYFUNCTION("IF(A1410="""","""",INDEX(SPLIT(A1410,"" ""),COUNTA(SPLIT(A1410,"" ""))))"),"Sangiano")</f>
        <v>Sangiano</v>
      </c>
      <c r="C1410" s="6"/>
      <c r="D1410" s="6" t="s">
        <v>1286</v>
      </c>
      <c r="E1410" s="7" t="s">
        <v>1287</v>
      </c>
    </row>
    <row r="1411">
      <c r="A1411" s="4" t="s">
        <v>1424</v>
      </c>
      <c r="B1411" s="5" t="str">
        <f>IFERROR(__xludf.DUMMYFUNCTION("IF(A1411="""","""",INDEX(SPLIT(A1411,"" ""),COUNTA(SPLIT(A1411,"" ""))))"),"Veddasca")</f>
        <v>Veddasca</v>
      </c>
      <c r="C1411" s="6"/>
      <c r="D1411" s="6" t="s">
        <v>1286</v>
      </c>
      <c r="E1411" s="7" t="s">
        <v>1287</v>
      </c>
    </row>
    <row r="1412">
      <c r="A1412" s="4" t="s">
        <v>1425</v>
      </c>
      <c r="B1412" s="5" t="str">
        <f>IFERROR(__xludf.DUMMYFUNCTION("IF(A1412="""","""",INDEX(SPLIT(A1412,"" ""),COUNTA(SPLIT(A1412,"" ""))))"),"Albavilla")</f>
        <v>Albavilla</v>
      </c>
      <c r="C1412" s="6"/>
      <c r="D1412" s="6" t="s">
        <v>1426</v>
      </c>
      <c r="E1412" s="7" t="s">
        <v>1427</v>
      </c>
    </row>
    <row r="1413">
      <c r="A1413" s="4" t="s">
        <v>1428</v>
      </c>
      <c r="B1413" s="5" t="str">
        <f>IFERROR(__xludf.DUMMYFUNCTION("IF(A1413="""","""",INDEX(SPLIT(A1413,"" ""),COUNTA(SPLIT(A1413,"" ""))))"),"Cassano")</f>
        <v>Cassano</v>
      </c>
      <c r="C1413" s="6"/>
      <c r="D1413" s="6" t="s">
        <v>1426</v>
      </c>
      <c r="E1413" s="7" t="s">
        <v>1427</v>
      </c>
    </row>
    <row r="1414">
      <c r="A1414" s="4" t="s">
        <v>1429</v>
      </c>
      <c r="B1414" s="5" t="str">
        <f>IFERROR(__xludf.DUMMYFUNCTION("IF(A1414="""","""",INDEX(SPLIT(A1414,"" ""),COUNTA(SPLIT(A1414,"" ""))))"),"Albiolo")</f>
        <v>Albiolo</v>
      </c>
      <c r="C1414" s="6"/>
      <c r="D1414" s="6" t="s">
        <v>1426</v>
      </c>
      <c r="E1414" s="7" t="s">
        <v>1427</v>
      </c>
    </row>
    <row r="1415">
      <c r="A1415" s="4" t="s">
        <v>1430</v>
      </c>
      <c r="B1415" s="5" t="str">
        <f>IFERROR(__xludf.DUMMYFUNCTION("IF(A1415="""","""",INDEX(SPLIT(A1415,"" ""),COUNTA(SPLIT(A1415,"" ""))))"),"Alserio")</f>
        <v>Alserio</v>
      </c>
      <c r="C1415" s="6"/>
      <c r="D1415" s="6" t="s">
        <v>1426</v>
      </c>
      <c r="E1415" s="7" t="s">
        <v>1427</v>
      </c>
    </row>
    <row r="1416">
      <c r="A1416" s="4" t="s">
        <v>1431</v>
      </c>
      <c r="B1416" s="5" t="str">
        <f>IFERROR(__xludf.DUMMYFUNCTION("IF(A1416="""","""",INDEX(SPLIT(A1416,"" ""),COUNTA(SPLIT(A1416,"" ""))))"),"Brianza")</f>
        <v>Brianza</v>
      </c>
      <c r="C1416" s="6"/>
      <c r="D1416" s="6" t="s">
        <v>1426</v>
      </c>
      <c r="E1416" s="7" t="s">
        <v>1427</v>
      </c>
    </row>
    <row r="1417">
      <c r="A1417" s="4" t="s">
        <v>1432</v>
      </c>
      <c r="B1417" s="5" t="str">
        <f>IFERROR(__xludf.DUMMYFUNCTION("IF(A1417="""","""",INDEX(SPLIT(A1417,"" ""),COUNTA(SPLIT(A1417,"" ""))))"),"Parco")</f>
        <v>Parco</v>
      </c>
      <c r="C1417" s="6"/>
      <c r="D1417" s="6" t="s">
        <v>1426</v>
      </c>
      <c r="E1417" s="7" t="s">
        <v>1427</v>
      </c>
    </row>
    <row r="1418">
      <c r="A1418" s="4" t="s">
        <v>1433</v>
      </c>
      <c r="B1418" s="5" t="str">
        <f>IFERROR(__xludf.DUMMYFUNCTION("IF(A1418="""","""",INDEX(SPLIT(A1418,"" ""),COUNTA(SPLIT(A1418,"" ""))))"),"Gentile")</f>
        <v>Gentile</v>
      </c>
      <c r="C1418" s="6"/>
      <c r="D1418" s="6" t="s">
        <v>1426</v>
      </c>
      <c r="E1418" s="7" t="s">
        <v>1427</v>
      </c>
    </row>
    <row r="1419">
      <c r="A1419" s="4" t="s">
        <v>1434</v>
      </c>
      <c r="B1419" s="5" t="str">
        <f>IFERROR(__xludf.DUMMYFUNCTION("IF(A1419="""","""",INDEX(SPLIT(A1419,"" ""),COUNTA(SPLIT(A1419,"" ""))))"),"Argegno")</f>
        <v>Argegno</v>
      </c>
      <c r="C1419" s="6"/>
      <c r="D1419" s="6" t="s">
        <v>1426</v>
      </c>
      <c r="E1419" s="7" t="s">
        <v>1427</v>
      </c>
    </row>
    <row r="1420">
      <c r="A1420" s="4" t="s">
        <v>1435</v>
      </c>
      <c r="B1420" s="5" t="str">
        <f>IFERROR(__xludf.DUMMYFUNCTION("IF(A1420="""","""",INDEX(SPLIT(A1420,"" ""),COUNTA(SPLIT(A1420,"" ""))))"),"Arosio")</f>
        <v>Arosio</v>
      </c>
      <c r="C1420" s="6"/>
      <c r="D1420" s="6" t="s">
        <v>1426</v>
      </c>
      <c r="E1420" s="7" t="s">
        <v>1427</v>
      </c>
    </row>
    <row r="1421">
      <c r="A1421" s="4" t="s">
        <v>1436</v>
      </c>
      <c r="B1421" s="5" t="str">
        <f>IFERROR(__xludf.DUMMYFUNCTION("IF(A1421="""","""",INDEX(SPLIT(A1421,"" ""),COUNTA(SPLIT(A1421,"" ""))))"),"Asso")</f>
        <v>Asso</v>
      </c>
      <c r="C1421" s="6"/>
      <c r="D1421" s="6" t="s">
        <v>1426</v>
      </c>
      <c r="E1421" s="7" t="s">
        <v>1427</v>
      </c>
    </row>
    <row r="1422">
      <c r="A1422" s="4" t="s">
        <v>1437</v>
      </c>
      <c r="B1422" s="5" t="str">
        <f>IFERROR(__xludf.DUMMYFUNCTION("IF(A1422="""","""",INDEX(SPLIT(A1422,"" ""),COUNTA(SPLIT(A1422,"" ""))))"),"Barni")</f>
        <v>Barni</v>
      </c>
      <c r="C1422" s="6"/>
      <c r="D1422" s="6" t="s">
        <v>1426</v>
      </c>
      <c r="E1422" s="7" t="s">
        <v>1427</v>
      </c>
    </row>
    <row r="1423">
      <c r="A1423" s="4" t="s">
        <v>1438</v>
      </c>
      <c r="B1423" s="5" t="str">
        <f>IFERROR(__xludf.DUMMYFUNCTION("IF(A1423="""","""",INDEX(SPLIT(A1423,"" ""),COUNTA(SPLIT(A1423,"" ""))))"),"Lario")</f>
        <v>Lario</v>
      </c>
      <c r="C1423" s="6"/>
      <c r="D1423" s="6" t="s">
        <v>1426</v>
      </c>
      <c r="E1423" s="7" t="s">
        <v>1427</v>
      </c>
    </row>
    <row r="1424">
      <c r="A1424" s="4" t="s">
        <v>1439</v>
      </c>
      <c r="B1424" s="5" t="str">
        <f>IFERROR(__xludf.DUMMYFUNCTION("IF(A1424="""","""",INDEX(SPLIT(A1424,"" ""),COUNTA(SPLIT(A1424,"" ""))))"),"Figliaro")</f>
        <v>Figliaro</v>
      </c>
      <c r="C1424" s="6"/>
      <c r="D1424" s="6" t="s">
        <v>1426</v>
      </c>
      <c r="E1424" s="7" t="s">
        <v>1427</v>
      </c>
    </row>
    <row r="1425">
      <c r="A1425" s="4" t="s">
        <v>1440</v>
      </c>
      <c r="B1425" s="5" t="str">
        <f>IFERROR(__xludf.DUMMYFUNCTION("IF(A1425="""","""",INDEX(SPLIT(A1425,"" ""),COUNTA(SPLIT(A1425,"" ""))))"),"Binago")</f>
        <v>Binago</v>
      </c>
      <c r="C1425" s="6"/>
      <c r="D1425" s="6" t="s">
        <v>1426</v>
      </c>
      <c r="E1425" s="7" t="s">
        <v>1427</v>
      </c>
    </row>
    <row r="1426">
      <c r="A1426" s="4" t="s">
        <v>1441</v>
      </c>
      <c r="B1426" s="5" t="str">
        <f>IFERROR(__xludf.DUMMYFUNCTION("IF(A1426="""","""",INDEX(SPLIT(A1426,"" ""),COUNTA(SPLIT(A1426,"" ""))))"),"Bizzarone")</f>
        <v>Bizzarone</v>
      </c>
      <c r="C1426" s="6"/>
      <c r="D1426" s="6" t="s">
        <v>1426</v>
      </c>
      <c r="E1426" s="7" t="s">
        <v>1427</v>
      </c>
    </row>
    <row r="1427">
      <c r="A1427" s="4" t="s">
        <v>1442</v>
      </c>
      <c r="B1427" s="5" t="str">
        <f>IFERROR(__xludf.DUMMYFUNCTION("IF(A1427="""","""",INDEX(SPLIT(A1427,"" ""),COUNTA(SPLIT(A1427,"" ""))))"),"Blessagno")</f>
        <v>Blessagno</v>
      </c>
      <c r="C1427" s="6"/>
      <c r="D1427" s="6" t="s">
        <v>1426</v>
      </c>
      <c r="E1427" s="7" t="s">
        <v>1427</v>
      </c>
    </row>
    <row r="1428">
      <c r="A1428" s="4" t="s">
        <v>1443</v>
      </c>
      <c r="B1428" s="5" t="str">
        <f>IFERROR(__xludf.DUMMYFUNCTION("IF(A1428="""","""",INDEX(SPLIT(A1428,"" ""),COUNTA(SPLIT(A1428,"" ""))))"),"Blevio")</f>
        <v>Blevio</v>
      </c>
      <c r="C1428" s="6"/>
      <c r="D1428" s="6" t="s">
        <v>1426</v>
      </c>
      <c r="E1428" s="7" t="s">
        <v>1427</v>
      </c>
    </row>
    <row r="1429">
      <c r="A1429" s="4" t="s">
        <v>1444</v>
      </c>
      <c r="B1429" s="5" t="str">
        <f>IFERROR(__xludf.DUMMYFUNCTION("IF(A1429="""","""",INDEX(SPLIT(A1429,"" ""),COUNTA(SPLIT(A1429,"" ""))))"),"Bregnano")</f>
        <v>Bregnano</v>
      </c>
      <c r="C1429" s="6"/>
      <c r="D1429" s="6" t="s">
        <v>1426</v>
      </c>
      <c r="E1429" s="7" t="s">
        <v>1427</v>
      </c>
    </row>
    <row r="1430">
      <c r="A1430" s="4" t="s">
        <v>1445</v>
      </c>
      <c r="B1430" s="5" t="str">
        <f>IFERROR(__xludf.DUMMYFUNCTION("IF(A1430="""","""",INDEX(SPLIT(A1430,"" ""),COUNTA(SPLIT(A1430,"" ""))))"),"Brenna")</f>
        <v>Brenna</v>
      </c>
      <c r="C1430" s="6"/>
      <c r="D1430" s="6" t="s">
        <v>1426</v>
      </c>
      <c r="E1430" s="7" t="s">
        <v>1427</v>
      </c>
    </row>
    <row r="1431">
      <c r="A1431" s="4" t="s">
        <v>1446</v>
      </c>
      <c r="B1431" s="5" t="str">
        <f>IFERROR(__xludf.DUMMYFUNCTION("IF(A1431="""","""",INDEX(SPLIT(A1431,"" ""),COUNTA(SPLIT(A1431,"" ""))))"),"Brienno")</f>
        <v>Brienno</v>
      </c>
      <c r="C1431" s="6"/>
      <c r="D1431" s="6" t="s">
        <v>1426</v>
      </c>
      <c r="E1431" s="7" t="s">
        <v>1427</v>
      </c>
    </row>
    <row r="1432">
      <c r="A1432" s="4" t="s">
        <v>1447</v>
      </c>
      <c r="B1432" s="5" t="str">
        <f>IFERROR(__xludf.DUMMYFUNCTION("IF(A1432="""","""",INDEX(SPLIT(A1432,"" ""),COUNTA(SPLIT(A1432,"" ""))))"),"Brunate")</f>
        <v>Brunate</v>
      </c>
      <c r="C1432" s="6"/>
      <c r="D1432" s="6" t="s">
        <v>1426</v>
      </c>
      <c r="E1432" s="7" t="s">
        <v>1427</v>
      </c>
    </row>
    <row r="1433">
      <c r="A1433" s="4" t="s">
        <v>1448</v>
      </c>
      <c r="B1433" s="5" t="str">
        <f>IFERROR(__xludf.DUMMYFUNCTION("IF(A1433="""","""",INDEX(SPLIT(A1433,"" ""),COUNTA(SPLIT(A1433,"" ""))))"),"Bulgarograsso")</f>
        <v>Bulgarograsso</v>
      </c>
      <c r="C1433" s="6"/>
      <c r="D1433" s="6" t="s">
        <v>1426</v>
      </c>
      <c r="E1433" s="7" t="s">
        <v>1427</v>
      </c>
    </row>
    <row r="1434">
      <c r="A1434" s="4" t="s">
        <v>1449</v>
      </c>
      <c r="B1434" s="5" t="str">
        <f>IFERROR(__xludf.DUMMYFUNCTION("IF(A1434="""","""",INDEX(SPLIT(A1434,"" ""),COUNTA(SPLIT(A1434,"" ""))))"),"Cabiate")</f>
        <v>Cabiate</v>
      </c>
      <c r="C1434" s="6"/>
      <c r="D1434" s="6" t="s">
        <v>1426</v>
      </c>
      <c r="E1434" s="7" t="s">
        <v>1427</v>
      </c>
    </row>
    <row r="1435">
      <c r="A1435" s="4" t="s">
        <v>1450</v>
      </c>
      <c r="B1435" s="5" t="str">
        <f>IFERROR(__xludf.DUMMYFUNCTION("IF(A1435="""","""",INDEX(SPLIT(A1435,"" ""),COUNTA(SPLIT(A1435,"" ""))))"),"Cadorago")</f>
        <v>Cadorago</v>
      </c>
      <c r="C1435" s="6"/>
      <c r="D1435" s="6" t="s">
        <v>1426</v>
      </c>
      <c r="E1435" s="7" t="s">
        <v>1427</v>
      </c>
    </row>
    <row r="1436">
      <c r="A1436" s="4" t="s">
        <v>1451</v>
      </c>
      <c r="B1436" s="5" t="str">
        <f>IFERROR(__xludf.DUMMYFUNCTION("IF(A1436="""","""",INDEX(SPLIT(A1436,"" ""),COUNTA(SPLIT(A1436,"" ""))))"),"Caglio")</f>
        <v>Caglio</v>
      </c>
      <c r="C1436" s="6"/>
      <c r="D1436" s="6" t="s">
        <v>1426</v>
      </c>
      <c r="E1436" s="7" t="s">
        <v>1427</v>
      </c>
    </row>
    <row r="1437">
      <c r="A1437" s="4" t="s">
        <v>1452</v>
      </c>
      <c r="B1437" s="5" t="str">
        <f>IFERROR(__xludf.DUMMYFUNCTION("IF(A1437="""","""",INDEX(SPLIT(A1437,"" ""),COUNTA(SPLIT(A1437,"" ""))))"),"Cagno")</f>
        <v>Cagno</v>
      </c>
      <c r="C1437" s="6"/>
      <c r="D1437" s="6" t="s">
        <v>1426</v>
      </c>
      <c r="E1437" s="7" t="s">
        <v>1427</v>
      </c>
    </row>
    <row r="1438">
      <c r="A1438" s="4" t="s">
        <v>1453</v>
      </c>
      <c r="B1438" s="5" t="str">
        <f>IFERROR(__xludf.DUMMYFUNCTION("IF(A1438="""","""",INDEX(SPLIT(A1438,"" ""),COUNTA(SPLIT(A1438,"" ""))))"),"d'Italia")</f>
        <v>d'Italia</v>
      </c>
      <c r="C1438" s="6"/>
      <c r="D1438" s="6" t="s">
        <v>1426</v>
      </c>
      <c r="E1438" s="7" t="s">
        <v>1427</v>
      </c>
    </row>
    <row r="1439">
      <c r="A1439" s="4" t="s">
        <v>1454</v>
      </c>
      <c r="B1439" s="5" t="str">
        <f>IFERROR(__xludf.DUMMYFUNCTION("IF(A1439="""","""",INDEX(SPLIT(A1439,"" ""),COUNTA(SPLIT(A1439,"" ""))))"),"Cantù")</f>
        <v>Cantù</v>
      </c>
      <c r="C1439" s="6"/>
      <c r="D1439" s="6" t="s">
        <v>1426</v>
      </c>
      <c r="E1439" s="7" t="s">
        <v>1427</v>
      </c>
    </row>
    <row r="1440">
      <c r="A1440" s="4" t="s">
        <v>1455</v>
      </c>
      <c r="B1440" s="5" t="str">
        <f>IFERROR(__xludf.DUMMYFUNCTION("IF(A1440="""","""",INDEX(SPLIT(A1440,"" ""),COUNTA(SPLIT(A1440,"" ""))))"),"Canzo")</f>
        <v>Canzo</v>
      </c>
      <c r="C1440" s="6"/>
      <c r="D1440" s="6" t="s">
        <v>1426</v>
      </c>
      <c r="E1440" s="7" t="s">
        <v>1427</v>
      </c>
    </row>
    <row r="1441">
      <c r="A1441" s="4" t="s">
        <v>1456</v>
      </c>
      <c r="B1441" s="5" t="str">
        <f>IFERROR(__xludf.DUMMYFUNCTION("IF(A1441="""","""",INDEX(SPLIT(A1441,"" ""),COUNTA(SPLIT(A1441,"" ""))))"),"Intimiano")</f>
        <v>Intimiano</v>
      </c>
      <c r="C1441" s="6"/>
      <c r="D1441" s="6" t="s">
        <v>1426</v>
      </c>
      <c r="E1441" s="7" t="s">
        <v>1427</v>
      </c>
    </row>
    <row r="1442">
      <c r="A1442" s="4" t="s">
        <v>1457</v>
      </c>
      <c r="B1442" s="5" t="str">
        <f>IFERROR(__xludf.DUMMYFUNCTION("IF(A1442="""","""",INDEX(SPLIT(A1442,"" ""),COUNTA(SPLIT(A1442,"" ""))))"),"Urio")</f>
        <v>Urio</v>
      </c>
      <c r="C1442" s="6"/>
      <c r="D1442" s="6" t="s">
        <v>1426</v>
      </c>
      <c r="E1442" s="7" t="s">
        <v>1427</v>
      </c>
    </row>
    <row r="1443">
      <c r="A1443" s="4" t="s">
        <v>1458</v>
      </c>
      <c r="B1443" s="5" t="str">
        <f>IFERROR(__xludf.DUMMYFUNCTION("IF(A1443="""","""",INDEX(SPLIT(A1443,"" ""),COUNTA(SPLIT(A1443,"" ""))))"),"Carbonate")</f>
        <v>Carbonate</v>
      </c>
      <c r="C1443" s="6"/>
      <c r="D1443" s="6" t="s">
        <v>1426</v>
      </c>
      <c r="E1443" s="7" t="s">
        <v>1427</v>
      </c>
    </row>
    <row r="1444">
      <c r="A1444" s="4" t="s">
        <v>1459</v>
      </c>
      <c r="B1444" s="5" t="str">
        <f>IFERROR(__xludf.DUMMYFUNCTION("IF(A1444="""","""",INDEX(SPLIT(A1444,"" ""),COUNTA(SPLIT(A1444,"" ""))))"),"Carimate")</f>
        <v>Carimate</v>
      </c>
      <c r="C1444" s="6"/>
      <c r="D1444" s="6" t="s">
        <v>1426</v>
      </c>
      <c r="E1444" s="7" t="s">
        <v>1427</v>
      </c>
    </row>
    <row r="1445">
      <c r="A1445" s="4" t="s">
        <v>1460</v>
      </c>
      <c r="B1445" s="5" t="str">
        <f>IFERROR(__xludf.DUMMYFUNCTION("IF(A1445="""","""",INDEX(SPLIT(A1445,"" ""),COUNTA(SPLIT(A1445,"" ""))))"),"Carlazzo")</f>
        <v>Carlazzo</v>
      </c>
      <c r="C1445" s="6"/>
      <c r="D1445" s="6" t="s">
        <v>1426</v>
      </c>
      <c r="E1445" s="7" t="s">
        <v>1427</v>
      </c>
    </row>
    <row r="1446">
      <c r="A1446" s="4" t="s">
        <v>1461</v>
      </c>
      <c r="B1446" s="5" t="str">
        <f>IFERROR(__xludf.DUMMYFUNCTION("IF(A1446="""","""",INDEX(SPLIT(A1446,"" ""),COUNTA(SPLIT(A1446,"" ""))))"),"Carugo")</f>
        <v>Carugo</v>
      </c>
      <c r="C1446" s="6"/>
      <c r="D1446" s="6" t="s">
        <v>1426</v>
      </c>
      <c r="E1446" s="7" t="s">
        <v>1427</v>
      </c>
    </row>
    <row r="1447">
      <c r="A1447" s="4" t="s">
        <v>1462</v>
      </c>
      <c r="B1447" s="5" t="str">
        <f>IFERROR(__xludf.DUMMYFUNCTION("IF(A1447="""","""",INDEX(SPLIT(A1447,"" ""),COUNTA(SPLIT(A1447,"" ""))))"),"d'Erba")</f>
        <v>d'Erba</v>
      </c>
      <c r="C1447" s="6"/>
      <c r="D1447" s="6" t="s">
        <v>1426</v>
      </c>
      <c r="E1447" s="7" t="s">
        <v>1427</v>
      </c>
    </row>
    <row r="1448">
      <c r="A1448" s="4" t="s">
        <v>1463</v>
      </c>
      <c r="B1448" s="5" t="str">
        <f>IFERROR(__xludf.DUMMYFUNCTION("IF(A1448="""","""",INDEX(SPLIT(A1448,"" ""),COUNTA(SPLIT(A1448,"" ""))))"),"Bernate")</f>
        <v>Bernate</v>
      </c>
      <c r="C1448" s="6"/>
      <c r="D1448" s="6" t="s">
        <v>1426</v>
      </c>
      <c r="E1448" s="7" t="s">
        <v>1427</v>
      </c>
    </row>
    <row r="1449">
      <c r="A1449" s="4" t="s">
        <v>1464</v>
      </c>
      <c r="B1449" s="5" t="str">
        <f>IFERROR(__xludf.DUMMYFUNCTION("IF(A1449="""","""",INDEX(SPLIT(A1449,"" ""),COUNTA(SPLIT(A1449,"" ""))))"),"Rizzardi")</f>
        <v>Rizzardi</v>
      </c>
      <c r="C1449" s="6"/>
      <c r="D1449" s="6" t="s">
        <v>1426</v>
      </c>
      <c r="E1449" s="7" t="s">
        <v>1427</v>
      </c>
    </row>
    <row r="1450">
      <c r="A1450" s="4" t="s">
        <v>1465</v>
      </c>
      <c r="B1450" s="5" t="str">
        <f>IFERROR(__xludf.DUMMYFUNCTION("IF(A1450="""","""",INDEX(SPLIT(A1450,"" ""),COUNTA(SPLIT(A1450,"" ""))))"),"Castelmarte")</f>
        <v>Castelmarte</v>
      </c>
      <c r="C1450" s="6"/>
      <c r="D1450" s="6" t="s">
        <v>1426</v>
      </c>
      <c r="E1450" s="7" t="s">
        <v>1427</v>
      </c>
    </row>
    <row r="1451">
      <c r="A1451" s="4" t="s">
        <v>1466</v>
      </c>
      <c r="B1451" s="5" t="str">
        <f>IFERROR(__xludf.DUMMYFUNCTION("IF(A1451="""","""",INDEX(SPLIT(A1451,"" ""),COUNTA(SPLIT(A1451,"" ""))))"),"Bozzente")</f>
        <v>Bozzente</v>
      </c>
      <c r="C1451" s="6"/>
      <c r="D1451" s="6" t="s">
        <v>1426</v>
      </c>
      <c r="E1451" s="7" t="s">
        <v>1427</v>
      </c>
    </row>
    <row r="1452">
      <c r="A1452" s="4" t="s">
        <v>1467</v>
      </c>
      <c r="B1452" s="5" t="str">
        <f>IFERROR(__xludf.DUMMYFUNCTION("IF(A1452="""","""",INDEX(SPLIT(A1452,"" ""),COUNTA(SPLIT(A1452,"" ""))))"),"Cavargna")</f>
        <v>Cavargna</v>
      </c>
      <c r="C1452" s="6"/>
      <c r="D1452" s="6" t="s">
        <v>1426</v>
      </c>
      <c r="E1452" s="7" t="s">
        <v>1427</v>
      </c>
    </row>
    <row r="1453">
      <c r="A1453" s="4" t="s">
        <v>1468</v>
      </c>
      <c r="B1453" s="5" t="str">
        <f>IFERROR(__xludf.DUMMYFUNCTION("IF(A1453="""","""",INDEX(SPLIT(A1453,"" ""),COUNTA(SPLIT(A1453,"" ""))))"),"d'Intelvi")</f>
        <v>d'Intelvi</v>
      </c>
      <c r="C1453" s="6"/>
      <c r="D1453" s="6" t="s">
        <v>1426</v>
      </c>
      <c r="E1453" s="7" t="s">
        <v>1427</v>
      </c>
    </row>
    <row r="1454">
      <c r="A1454" s="4" t="s">
        <v>1469</v>
      </c>
      <c r="B1454" s="5" t="str">
        <f>IFERROR(__xludf.DUMMYFUNCTION("IF(A1454="""","""",INDEX(SPLIT(A1454,"" ""),COUNTA(SPLIT(A1454,"" ""))))"),"Cermenate")</f>
        <v>Cermenate</v>
      </c>
      <c r="C1454" s="6"/>
      <c r="D1454" s="6" t="s">
        <v>1426</v>
      </c>
      <c r="E1454" s="7" t="s">
        <v>1427</v>
      </c>
    </row>
    <row r="1455">
      <c r="A1455" s="4" t="s">
        <v>1470</v>
      </c>
      <c r="B1455" s="5" t="str">
        <f>IFERROR(__xludf.DUMMYFUNCTION("IF(A1455="""","""",INDEX(SPLIT(A1455,"" ""),COUNTA(SPLIT(A1455,"" ""))))"),"Cernobbio")</f>
        <v>Cernobbio</v>
      </c>
      <c r="C1455" s="6"/>
      <c r="D1455" s="6" t="s">
        <v>1426</v>
      </c>
      <c r="E1455" s="7" t="s">
        <v>1427</v>
      </c>
    </row>
    <row r="1456">
      <c r="A1456" s="4" t="s">
        <v>1471</v>
      </c>
      <c r="B1456" s="5" t="str">
        <f>IFERROR(__xludf.DUMMYFUNCTION("IF(A1456="""","""",INDEX(SPLIT(A1456,"" ""),COUNTA(SPLIT(A1456,"" ""))))"),"Cirimido")</f>
        <v>Cirimido</v>
      </c>
      <c r="C1456" s="6"/>
      <c r="D1456" s="6" t="s">
        <v>1426</v>
      </c>
      <c r="E1456" s="7" t="s">
        <v>1427</v>
      </c>
    </row>
    <row r="1457">
      <c r="A1457" s="4" t="s">
        <v>1472</v>
      </c>
      <c r="B1457" s="5" t="str">
        <f>IFERROR(__xludf.DUMMYFUNCTION("IF(A1457="""","""",INDEX(SPLIT(A1457,"" ""),COUNTA(SPLIT(A1457,"" ""))))"),"Osteno")</f>
        <v>Osteno</v>
      </c>
      <c r="C1457" s="6"/>
      <c r="D1457" s="6" t="s">
        <v>1426</v>
      </c>
      <c r="E1457" s="7" t="s">
        <v>1427</v>
      </c>
    </row>
    <row r="1458">
      <c r="A1458" s="4" t="s">
        <v>1473</v>
      </c>
      <c r="B1458" s="5" t="str">
        <f>IFERROR(__xludf.DUMMYFUNCTION("IF(A1458="""","""",INDEX(SPLIT(A1458,"" ""),COUNTA(SPLIT(A1458,"" ""))))"),"Colonno")</f>
        <v>Colonno</v>
      </c>
      <c r="C1458" s="6"/>
      <c r="D1458" s="6" t="s">
        <v>1426</v>
      </c>
      <c r="E1458" s="7" t="s">
        <v>1427</v>
      </c>
    </row>
    <row r="1459">
      <c r="A1459" s="4" t="s">
        <v>1426</v>
      </c>
      <c r="B1459" s="5" t="str">
        <f>IFERROR(__xludf.DUMMYFUNCTION("IF(A1459="""","""",INDEX(SPLIT(A1459,"" ""),COUNTA(SPLIT(A1459,"" ""))))"),"Como")</f>
        <v>Como</v>
      </c>
      <c r="C1459" s="6"/>
      <c r="D1459" s="6" t="s">
        <v>1426</v>
      </c>
      <c r="E1459" s="7" t="s">
        <v>1427</v>
      </c>
    </row>
    <row r="1460">
      <c r="A1460" s="4" t="s">
        <v>1474</v>
      </c>
      <c r="B1460" s="5" t="str">
        <f>IFERROR(__xludf.DUMMYFUNCTION("IF(A1460="""","""",INDEX(SPLIT(A1460,"" ""),COUNTA(SPLIT(A1460,"" ""))))"),"Corrido")</f>
        <v>Corrido</v>
      </c>
      <c r="C1460" s="6"/>
      <c r="D1460" s="6" t="s">
        <v>1426</v>
      </c>
      <c r="E1460" s="7" t="s">
        <v>1427</v>
      </c>
    </row>
    <row r="1461">
      <c r="A1461" s="4" t="s">
        <v>1475</v>
      </c>
      <c r="B1461" s="5" t="str">
        <f>IFERROR(__xludf.DUMMYFUNCTION("IF(A1461="""","""",INDEX(SPLIT(A1461,"" ""),COUNTA(SPLIT(A1461,"" ""))))"),"Cremia")</f>
        <v>Cremia</v>
      </c>
      <c r="C1461" s="6"/>
      <c r="D1461" s="6" t="s">
        <v>1426</v>
      </c>
      <c r="E1461" s="7" t="s">
        <v>1427</v>
      </c>
    </row>
    <row r="1462">
      <c r="A1462" s="4" t="s">
        <v>1476</v>
      </c>
      <c r="B1462" s="5" t="str">
        <f>IFERROR(__xludf.DUMMYFUNCTION("IF(A1462="""","""",INDEX(SPLIT(A1462,"" ""),COUNTA(SPLIT(A1462,"" ""))))"),"Cucciago")</f>
        <v>Cucciago</v>
      </c>
      <c r="C1462" s="6"/>
      <c r="D1462" s="6" t="s">
        <v>1426</v>
      </c>
      <c r="E1462" s="7" t="s">
        <v>1427</v>
      </c>
    </row>
    <row r="1463">
      <c r="A1463" s="4" t="s">
        <v>1477</v>
      </c>
      <c r="B1463" s="5" t="str">
        <f>IFERROR(__xludf.DUMMYFUNCTION("IF(A1463="""","""",INDEX(SPLIT(A1463,"" ""),COUNTA(SPLIT(A1463,"" ""))))"),"Cusino")</f>
        <v>Cusino</v>
      </c>
      <c r="C1463" s="6"/>
      <c r="D1463" s="6" t="s">
        <v>1426</v>
      </c>
      <c r="E1463" s="7" t="s">
        <v>1427</v>
      </c>
    </row>
    <row r="1464">
      <c r="A1464" s="4" t="s">
        <v>1478</v>
      </c>
      <c r="B1464" s="5" t="str">
        <f>IFERROR(__xludf.DUMMYFUNCTION("IF(A1464="""","""",INDEX(SPLIT(A1464,"" ""),COUNTA(SPLIT(A1464,"" ""))))"),"Dizzasco")</f>
        <v>Dizzasco</v>
      </c>
      <c r="C1464" s="6"/>
      <c r="D1464" s="6" t="s">
        <v>1426</v>
      </c>
      <c r="E1464" s="7" t="s">
        <v>1427</v>
      </c>
    </row>
    <row r="1465">
      <c r="A1465" s="4" t="s">
        <v>1479</v>
      </c>
      <c r="B1465" s="5" t="str">
        <f>IFERROR(__xludf.DUMMYFUNCTION("IF(A1465="""","""",INDEX(SPLIT(A1465,"" ""),COUNTA(SPLIT(A1465,"" ""))))"),"Domaso")</f>
        <v>Domaso</v>
      </c>
      <c r="C1465" s="6"/>
      <c r="D1465" s="6" t="s">
        <v>1426</v>
      </c>
      <c r="E1465" s="7" t="s">
        <v>1427</v>
      </c>
    </row>
    <row r="1466">
      <c r="A1466" s="4" t="s">
        <v>1480</v>
      </c>
      <c r="B1466" s="5" t="str">
        <f>IFERROR(__xludf.DUMMYFUNCTION("IF(A1466="""","""",INDEX(SPLIT(A1466,"" ""),COUNTA(SPLIT(A1466,"" ""))))"),"Dongo")</f>
        <v>Dongo</v>
      </c>
      <c r="C1466" s="6"/>
      <c r="D1466" s="6" t="s">
        <v>1426</v>
      </c>
      <c r="E1466" s="7" t="s">
        <v>1427</v>
      </c>
    </row>
    <row r="1467">
      <c r="A1467" s="4" t="s">
        <v>1481</v>
      </c>
      <c r="B1467" s="5" t="str">
        <f>IFERROR(__xludf.DUMMYFUNCTION("IF(A1467="""","""",INDEX(SPLIT(A1467,"" ""),COUNTA(SPLIT(A1467,"" ""))))"),"Liro")</f>
        <v>Liro</v>
      </c>
      <c r="C1467" s="6"/>
      <c r="D1467" s="6" t="s">
        <v>1426</v>
      </c>
      <c r="E1467" s="7" t="s">
        <v>1427</v>
      </c>
    </row>
    <row r="1468">
      <c r="A1468" s="4" t="s">
        <v>1482</v>
      </c>
      <c r="B1468" s="5" t="str">
        <f>IFERROR(__xludf.DUMMYFUNCTION("IF(A1468="""","""",INDEX(SPLIT(A1468,"" ""),COUNTA(SPLIT(A1468,"" ""))))"),"Erba")</f>
        <v>Erba</v>
      </c>
      <c r="C1468" s="6"/>
      <c r="D1468" s="6" t="s">
        <v>1426</v>
      </c>
      <c r="E1468" s="7" t="s">
        <v>1427</v>
      </c>
    </row>
    <row r="1469">
      <c r="A1469" s="4" t="s">
        <v>1483</v>
      </c>
      <c r="B1469" s="5" t="str">
        <f>IFERROR(__xludf.DUMMYFUNCTION("IF(A1469="""","""",INDEX(SPLIT(A1469,"" ""),COUNTA(SPLIT(A1469,"" ""))))"),"Eupilio")</f>
        <v>Eupilio</v>
      </c>
      <c r="C1469" s="6"/>
      <c r="D1469" s="6" t="s">
        <v>1426</v>
      </c>
      <c r="E1469" s="7" t="s">
        <v>1427</v>
      </c>
    </row>
    <row r="1470">
      <c r="A1470" s="4" t="s">
        <v>1484</v>
      </c>
      <c r="B1470" s="5" t="str">
        <f>IFERROR(__xludf.DUMMYFUNCTION("IF(A1470="""","""",INDEX(SPLIT(A1470,"" ""),COUNTA(SPLIT(A1470,"" ""))))"),"Lario")</f>
        <v>Lario</v>
      </c>
      <c r="C1470" s="6"/>
      <c r="D1470" s="6" t="s">
        <v>1426</v>
      </c>
      <c r="E1470" s="7" t="s">
        <v>1427</v>
      </c>
    </row>
    <row r="1471">
      <c r="A1471" s="4" t="s">
        <v>1485</v>
      </c>
      <c r="B1471" s="5" t="str">
        <f>IFERROR(__xludf.DUMMYFUNCTION("IF(A1471="""","""",INDEX(SPLIT(A1471,"" ""),COUNTA(SPLIT(A1471,"" ""))))"),"Faloppio")</f>
        <v>Faloppio</v>
      </c>
      <c r="C1471" s="6"/>
      <c r="D1471" s="6" t="s">
        <v>1426</v>
      </c>
      <c r="E1471" s="7" t="s">
        <v>1427</v>
      </c>
    </row>
    <row r="1472">
      <c r="A1472" s="4" t="s">
        <v>1486</v>
      </c>
      <c r="B1472" s="5" t="str">
        <f>IFERROR(__xludf.DUMMYFUNCTION("IF(A1472="""","""",INDEX(SPLIT(A1472,"" ""),COUNTA(SPLIT(A1472,"" ""))))"),"Fenegrò")</f>
        <v>Fenegrò</v>
      </c>
      <c r="C1472" s="6"/>
      <c r="D1472" s="6" t="s">
        <v>1426</v>
      </c>
      <c r="E1472" s="7" t="s">
        <v>1427</v>
      </c>
    </row>
    <row r="1473">
      <c r="A1473" s="4" t="s">
        <v>1487</v>
      </c>
      <c r="B1473" s="5" t="str">
        <f>IFERROR(__xludf.DUMMYFUNCTION("IF(A1473="""","""",INDEX(SPLIT(A1473,"" ""),COUNTA(SPLIT(A1473,"" ""))))"),"Serenza")</f>
        <v>Serenza</v>
      </c>
      <c r="C1473" s="6"/>
      <c r="D1473" s="6" t="s">
        <v>1426</v>
      </c>
      <c r="E1473" s="7" t="s">
        <v>1427</v>
      </c>
    </row>
    <row r="1474">
      <c r="A1474" s="4" t="s">
        <v>1488</v>
      </c>
      <c r="B1474" s="5" t="str">
        <f>IFERROR(__xludf.DUMMYFUNCTION("IF(A1474="""","""",INDEX(SPLIT(A1474,"" ""),COUNTA(SPLIT(A1474,"" ""))))"),"Mornasco")</f>
        <v>Mornasco</v>
      </c>
      <c r="C1474" s="6"/>
      <c r="D1474" s="6" t="s">
        <v>1426</v>
      </c>
      <c r="E1474" s="7" t="s">
        <v>1427</v>
      </c>
    </row>
    <row r="1475">
      <c r="A1475" s="4" t="s">
        <v>1489</v>
      </c>
      <c r="B1475" s="5" t="str">
        <f>IFERROR(__xludf.DUMMYFUNCTION("IF(A1475="""","""",INDEX(SPLIT(A1475,"" ""),COUNTA(SPLIT(A1475,"" ""))))"),"Garzeno")</f>
        <v>Garzeno</v>
      </c>
      <c r="C1475" s="6"/>
      <c r="D1475" s="6" t="s">
        <v>1426</v>
      </c>
      <c r="E1475" s="7" t="s">
        <v>1427</v>
      </c>
    </row>
    <row r="1476">
      <c r="A1476" s="4" t="s">
        <v>1490</v>
      </c>
      <c r="B1476" s="5" t="str">
        <f>IFERROR(__xludf.DUMMYFUNCTION("IF(A1476="""","""",INDEX(SPLIT(A1476,"" ""),COUNTA(SPLIT(A1476,"" ""))))"),"Lario")</f>
        <v>Lario</v>
      </c>
      <c r="C1476" s="6"/>
      <c r="D1476" s="6" t="s">
        <v>1426</v>
      </c>
      <c r="E1476" s="7" t="s">
        <v>1427</v>
      </c>
    </row>
    <row r="1477">
      <c r="A1477" s="4" t="s">
        <v>1491</v>
      </c>
      <c r="B1477" s="5" t="str">
        <f>IFERROR(__xludf.DUMMYFUNCTION("IF(A1477="""","""",INDEX(SPLIT(A1477,"" ""),COUNTA(SPLIT(A1477,"" ""))))"),"Grandate")</f>
        <v>Grandate</v>
      </c>
      <c r="C1477" s="6"/>
      <c r="D1477" s="6" t="s">
        <v>1426</v>
      </c>
      <c r="E1477" s="7" t="s">
        <v>1427</v>
      </c>
    </row>
    <row r="1478">
      <c r="A1478" s="4" t="s">
        <v>1492</v>
      </c>
      <c r="B1478" s="5" t="str">
        <f>IFERROR(__xludf.DUMMYFUNCTION("IF(A1478="""","""",INDEX(SPLIT(A1478,"" ""),COUNTA(SPLIT(A1478,"" ""))))"),"Uniti")</f>
        <v>Uniti</v>
      </c>
      <c r="C1478" s="6"/>
      <c r="D1478" s="6" t="s">
        <v>1426</v>
      </c>
      <c r="E1478" s="7" t="s">
        <v>1427</v>
      </c>
    </row>
    <row r="1479">
      <c r="A1479" s="4" t="s">
        <v>1493</v>
      </c>
      <c r="B1479" s="5" t="str">
        <f>IFERROR(__xludf.DUMMYFUNCTION("IF(A1479="""","""",INDEX(SPLIT(A1479,"" ""),COUNTA(SPLIT(A1479,"" ""))))"),"Griante")</f>
        <v>Griante</v>
      </c>
      <c r="C1479" s="6"/>
      <c r="D1479" s="6" t="s">
        <v>1426</v>
      </c>
      <c r="E1479" s="7" t="s">
        <v>1427</v>
      </c>
    </row>
    <row r="1480">
      <c r="A1480" s="4" t="s">
        <v>1494</v>
      </c>
      <c r="B1480" s="5" t="str">
        <f>IFERROR(__xludf.DUMMYFUNCTION("IF(A1480="""","""",INDEX(SPLIT(A1480,"" ""),COUNTA(SPLIT(A1480,"" ""))))"),"Guanzate")</f>
        <v>Guanzate</v>
      </c>
      <c r="C1480" s="6"/>
      <c r="D1480" s="6" t="s">
        <v>1426</v>
      </c>
      <c r="E1480" s="7" t="s">
        <v>1427</v>
      </c>
    </row>
    <row r="1481">
      <c r="A1481" s="4" t="s">
        <v>1495</v>
      </c>
      <c r="B1481" s="5" t="str">
        <f>IFERROR(__xludf.DUMMYFUNCTION("IF(A1481="""","""",INDEX(SPLIT(A1481,"" ""),COUNTA(SPLIT(A1481,"" ""))))"),"Inverigo")</f>
        <v>Inverigo</v>
      </c>
      <c r="C1481" s="6"/>
      <c r="D1481" s="6" t="s">
        <v>1426</v>
      </c>
      <c r="E1481" s="7" t="s">
        <v>1427</v>
      </c>
    </row>
    <row r="1482">
      <c r="A1482" s="4" t="s">
        <v>1496</v>
      </c>
      <c r="B1482" s="5" t="str">
        <f>IFERROR(__xludf.DUMMYFUNCTION("IF(A1482="""","""",INDEX(SPLIT(A1482,"" ""),COUNTA(SPLIT(A1482,"" ""))))"),"Laglio")</f>
        <v>Laglio</v>
      </c>
      <c r="C1482" s="6"/>
      <c r="D1482" s="6" t="s">
        <v>1426</v>
      </c>
      <c r="E1482" s="7" t="s">
        <v>1427</v>
      </c>
    </row>
    <row r="1483">
      <c r="A1483" s="4" t="s">
        <v>1497</v>
      </c>
      <c r="B1483" s="5" t="str">
        <f>IFERROR(__xludf.DUMMYFUNCTION("IF(A1483="""","""",INDEX(SPLIT(A1483,"" ""),COUNTA(SPLIT(A1483,"" ""))))"),"Laino")</f>
        <v>Laino</v>
      </c>
      <c r="C1483" s="6"/>
      <c r="D1483" s="6" t="s">
        <v>1426</v>
      </c>
      <c r="E1483" s="7" t="s">
        <v>1427</v>
      </c>
    </row>
    <row r="1484">
      <c r="A1484" s="4" t="s">
        <v>1498</v>
      </c>
      <c r="B1484" s="5" t="str">
        <f>IFERROR(__xludf.DUMMYFUNCTION("IF(A1484="""","""",INDEX(SPLIT(A1484,"" ""),COUNTA(SPLIT(A1484,"" ""))))"),"Lambrugo")</f>
        <v>Lambrugo</v>
      </c>
      <c r="C1484" s="6"/>
      <c r="D1484" s="6" t="s">
        <v>1426</v>
      </c>
      <c r="E1484" s="7" t="s">
        <v>1427</v>
      </c>
    </row>
    <row r="1485">
      <c r="A1485" s="4" t="s">
        <v>1499</v>
      </c>
      <c r="B1485" s="5" t="str">
        <f>IFERROR(__xludf.DUMMYFUNCTION("IF(A1485="""","""",INDEX(SPLIT(A1485,"" ""),COUNTA(SPLIT(A1485,"" ""))))"),"Lasnigo")</f>
        <v>Lasnigo</v>
      </c>
      <c r="C1485" s="6"/>
      <c r="D1485" s="6" t="s">
        <v>1426</v>
      </c>
      <c r="E1485" s="7" t="s">
        <v>1427</v>
      </c>
    </row>
    <row r="1486">
      <c r="A1486" s="4" t="s">
        <v>1500</v>
      </c>
      <c r="B1486" s="5" t="str">
        <f>IFERROR(__xludf.DUMMYFUNCTION("IF(A1486="""","""",INDEX(SPLIT(A1486,"" ""),COUNTA(SPLIT(A1486,"" ""))))"),"Lezzeno")</f>
        <v>Lezzeno</v>
      </c>
      <c r="C1486" s="6"/>
      <c r="D1486" s="6" t="s">
        <v>1426</v>
      </c>
      <c r="E1486" s="7" t="s">
        <v>1427</v>
      </c>
    </row>
    <row r="1487">
      <c r="A1487" s="4" t="s">
        <v>1501</v>
      </c>
      <c r="B1487" s="5" t="str">
        <f>IFERROR(__xludf.DUMMYFUNCTION("IF(A1487="""","""",INDEX(SPLIT(A1487,"" ""),COUNTA(SPLIT(A1487,"" ""))))"),"Comasco")</f>
        <v>Comasco</v>
      </c>
      <c r="C1487" s="6"/>
      <c r="D1487" s="6" t="s">
        <v>1426</v>
      </c>
      <c r="E1487" s="7" t="s">
        <v>1427</v>
      </c>
    </row>
    <row r="1488">
      <c r="A1488" s="4" t="s">
        <v>1502</v>
      </c>
      <c r="B1488" s="5" t="str">
        <f>IFERROR(__xludf.DUMMYFUNCTION("IF(A1488="""","""",INDEX(SPLIT(A1488,"" ""),COUNTA(SPLIT(A1488,"" ""))))"),"Lipomo")</f>
        <v>Lipomo</v>
      </c>
      <c r="C1488" s="6"/>
      <c r="D1488" s="6" t="s">
        <v>1426</v>
      </c>
      <c r="E1488" s="7" t="s">
        <v>1427</v>
      </c>
    </row>
    <row r="1489">
      <c r="A1489" s="4" t="s">
        <v>1503</v>
      </c>
      <c r="B1489" s="5" t="str">
        <f>IFERROR(__xludf.DUMMYFUNCTION("IF(A1489="""","""",INDEX(SPLIT(A1489,"" ""),COUNTA(SPLIT(A1489,"" ""))))"),"Livo")</f>
        <v>Livo</v>
      </c>
      <c r="C1489" s="6"/>
      <c r="D1489" s="6" t="s">
        <v>1426</v>
      </c>
      <c r="E1489" s="7" t="s">
        <v>1427</v>
      </c>
    </row>
    <row r="1490">
      <c r="A1490" s="4" t="s">
        <v>1504</v>
      </c>
      <c r="B1490" s="5" t="str">
        <f>IFERROR(__xludf.DUMMYFUNCTION("IF(A1490="""","""",INDEX(SPLIT(A1490,"" ""),COUNTA(SPLIT(A1490,"" ""))))"),"Varesino")</f>
        <v>Varesino</v>
      </c>
      <c r="C1490" s="6"/>
      <c r="D1490" s="6" t="s">
        <v>1426</v>
      </c>
      <c r="E1490" s="7" t="s">
        <v>1427</v>
      </c>
    </row>
    <row r="1491">
      <c r="A1491" s="4" t="s">
        <v>1505</v>
      </c>
      <c r="B1491" s="5" t="str">
        <f>IFERROR(__xludf.DUMMYFUNCTION("IF(A1491="""","""",INDEX(SPLIT(A1491,"" ""),COUNTA(SPLIT(A1491,"" ""))))"),"Lomazzo")</f>
        <v>Lomazzo</v>
      </c>
      <c r="C1491" s="6"/>
      <c r="D1491" s="6" t="s">
        <v>1426</v>
      </c>
      <c r="E1491" s="7" t="s">
        <v>1427</v>
      </c>
    </row>
    <row r="1492">
      <c r="A1492" s="4" t="s">
        <v>1506</v>
      </c>
      <c r="B1492" s="5" t="str">
        <f>IFERROR(__xludf.DUMMYFUNCTION("IF(A1492="""","""",INDEX(SPLIT(A1492,"" ""),COUNTA(SPLIT(A1492,"" ""))))"),"Segrino")</f>
        <v>Segrino</v>
      </c>
      <c r="C1492" s="6"/>
      <c r="D1492" s="6" t="s">
        <v>1426</v>
      </c>
      <c r="E1492" s="7" t="s">
        <v>1427</v>
      </c>
    </row>
    <row r="1493">
      <c r="A1493" s="4" t="s">
        <v>1507</v>
      </c>
      <c r="B1493" s="5" t="str">
        <f>IFERROR(__xludf.DUMMYFUNCTION("IF(A1493="""","""",INDEX(SPLIT(A1493,"" ""),COUNTA(SPLIT(A1493,"" ""))))"),"Luisago")</f>
        <v>Luisago</v>
      </c>
      <c r="C1493" s="6"/>
      <c r="D1493" s="6" t="s">
        <v>1426</v>
      </c>
      <c r="E1493" s="7" t="s">
        <v>1427</v>
      </c>
    </row>
    <row r="1494">
      <c r="A1494" s="4" t="s">
        <v>1508</v>
      </c>
      <c r="B1494" s="5" t="str">
        <f>IFERROR(__xludf.DUMMYFUNCTION("IF(A1494="""","""",INDEX(SPLIT(A1494,"" ""),COUNTA(SPLIT(A1494,"" ""))))"),"d'Erba")</f>
        <v>d'Erba</v>
      </c>
      <c r="C1494" s="6"/>
      <c r="D1494" s="6" t="s">
        <v>1426</v>
      </c>
      <c r="E1494" s="7" t="s">
        <v>1427</v>
      </c>
    </row>
    <row r="1495">
      <c r="A1495" s="4" t="s">
        <v>1509</v>
      </c>
      <c r="B1495" s="5" t="str">
        <f>IFERROR(__xludf.DUMMYFUNCTION("IF(A1495="""","""",INDEX(SPLIT(A1495,"" ""),COUNTA(SPLIT(A1495,"" ""))))"),"Marinone")</f>
        <v>Marinone</v>
      </c>
      <c r="C1495" s="6"/>
      <c r="D1495" s="6" t="s">
        <v>1426</v>
      </c>
      <c r="E1495" s="7" t="s">
        <v>1427</v>
      </c>
    </row>
    <row r="1496">
      <c r="A1496" s="4" t="s">
        <v>1510</v>
      </c>
      <c r="B1496" s="5" t="str">
        <f>IFERROR(__xludf.DUMMYFUNCTION("IF(A1496="""","""",INDEX(SPLIT(A1496,"" ""),COUNTA(SPLIT(A1496,"" ""))))"),"Caccivio")</f>
        <v>Caccivio</v>
      </c>
      <c r="C1496" s="6"/>
      <c r="D1496" s="6" t="s">
        <v>1426</v>
      </c>
      <c r="E1496" s="7" t="s">
        <v>1427</v>
      </c>
    </row>
    <row r="1497">
      <c r="A1497" s="4" t="s">
        <v>1511</v>
      </c>
      <c r="B1497" s="5" t="str">
        <f>IFERROR(__xludf.DUMMYFUNCTION("IF(A1497="""","""",INDEX(SPLIT(A1497,"" ""),COUNTA(SPLIT(A1497,"" ""))))"),"Magreglio")</f>
        <v>Magreglio</v>
      </c>
      <c r="C1497" s="6"/>
      <c r="D1497" s="6" t="s">
        <v>1426</v>
      </c>
      <c r="E1497" s="7" t="s">
        <v>1427</v>
      </c>
    </row>
    <row r="1498">
      <c r="A1498" s="4" t="s">
        <v>1512</v>
      </c>
      <c r="B1498" s="5" t="str">
        <f>IFERROR(__xludf.DUMMYFUNCTION("IF(A1498="""","""",INDEX(SPLIT(A1498,"" ""),COUNTA(SPLIT(A1498,"" ""))))"),"Comense")</f>
        <v>Comense</v>
      </c>
      <c r="C1498" s="6"/>
      <c r="D1498" s="6" t="s">
        <v>1426</v>
      </c>
      <c r="E1498" s="7" t="s">
        <v>1427</v>
      </c>
    </row>
    <row r="1499">
      <c r="A1499" s="4" t="s">
        <v>1513</v>
      </c>
      <c r="B1499" s="5" t="str">
        <f>IFERROR(__xludf.DUMMYFUNCTION("IF(A1499="""","""",INDEX(SPLIT(A1499,"" ""),COUNTA(SPLIT(A1499,"" ""))))"),"Maslianico")</f>
        <v>Maslianico</v>
      </c>
      <c r="C1499" s="6"/>
      <c r="D1499" s="6" t="s">
        <v>1426</v>
      </c>
      <c r="E1499" s="7" t="s">
        <v>1427</v>
      </c>
    </row>
    <row r="1500">
      <c r="A1500" s="4" t="s">
        <v>1514</v>
      </c>
      <c r="B1500" s="5" t="str">
        <f>IFERROR(__xludf.DUMMYFUNCTION("IF(A1500="""","""",INDEX(SPLIT(A1500,"" ""),COUNTA(SPLIT(A1500,"" ""))))"),"Menaggio")</f>
        <v>Menaggio</v>
      </c>
      <c r="C1500" s="6"/>
      <c r="D1500" s="6" t="s">
        <v>1426</v>
      </c>
      <c r="E1500" s="7" t="s">
        <v>1427</v>
      </c>
    </row>
    <row r="1501">
      <c r="A1501" s="4" t="s">
        <v>1515</v>
      </c>
      <c r="B1501" s="5" t="str">
        <f>IFERROR(__xludf.DUMMYFUNCTION("IF(A1501="""","""",INDEX(SPLIT(A1501,"" ""),COUNTA(SPLIT(A1501,"" ""))))"),"Merone")</f>
        <v>Merone</v>
      </c>
      <c r="C1501" s="6"/>
      <c r="D1501" s="6" t="s">
        <v>1426</v>
      </c>
      <c r="E1501" s="7" t="s">
        <v>1427</v>
      </c>
    </row>
    <row r="1502">
      <c r="A1502" s="4" t="s">
        <v>1516</v>
      </c>
      <c r="B1502" s="5" t="str">
        <f>IFERROR(__xludf.DUMMYFUNCTION("IF(A1502="""","""",INDEX(SPLIT(A1502,"" ""),COUNTA(SPLIT(A1502,"" ""))))"),"Moltrasio")</f>
        <v>Moltrasio</v>
      </c>
      <c r="C1502" s="6"/>
      <c r="D1502" s="6" t="s">
        <v>1426</v>
      </c>
      <c r="E1502" s="7" t="s">
        <v>1427</v>
      </c>
    </row>
    <row r="1503">
      <c r="A1503" s="4" t="s">
        <v>1517</v>
      </c>
      <c r="B1503" s="5" t="str">
        <f>IFERROR(__xludf.DUMMYFUNCTION("IF(A1503="""","""",INDEX(SPLIT(A1503,"" ""),COUNTA(SPLIT(A1503,"" ""))))"),"Monguzzo")</f>
        <v>Monguzzo</v>
      </c>
      <c r="C1503" s="6"/>
      <c r="D1503" s="6" t="s">
        <v>1426</v>
      </c>
      <c r="E1503" s="7" t="s">
        <v>1427</v>
      </c>
    </row>
    <row r="1504">
      <c r="A1504" s="4" t="s">
        <v>1518</v>
      </c>
      <c r="B1504" s="5" t="str">
        <f>IFERROR(__xludf.DUMMYFUNCTION("IF(A1504="""","""",INDEX(SPLIT(A1504,"" ""),COUNTA(SPLIT(A1504,"" ""))))"),"Lucino")</f>
        <v>Lucino</v>
      </c>
      <c r="C1504" s="6"/>
      <c r="D1504" s="6" t="s">
        <v>1426</v>
      </c>
      <c r="E1504" s="7" t="s">
        <v>1427</v>
      </c>
    </row>
    <row r="1505">
      <c r="A1505" s="4" t="s">
        <v>1519</v>
      </c>
      <c r="B1505" s="5" t="str">
        <f>IFERROR(__xludf.DUMMYFUNCTION("IF(A1505="""","""",INDEX(SPLIT(A1505,"" ""),COUNTA(SPLIT(A1505,"" ""))))"),"Montemezzo")</f>
        <v>Montemezzo</v>
      </c>
      <c r="C1505" s="6"/>
      <c r="D1505" s="6" t="s">
        <v>1426</v>
      </c>
      <c r="E1505" s="7" t="s">
        <v>1427</v>
      </c>
    </row>
    <row r="1506">
      <c r="A1506" s="4" t="s">
        <v>1520</v>
      </c>
      <c r="B1506" s="5" t="str">
        <f>IFERROR(__xludf.DUMMYFUNCTION("IF(A1506="""","""",INDEX(SPLIT(A1506,"" ""),COUNTA(SPLIT(A1506,"" ""))))"),"Montorfano")</f>
        <v>Montorfano</v>
      </c>
      <c r="C1506" s="6"/>
      <c r="D1506" s="6" t="s">
        <v>1426</v>
      </c>
      <c r="E1506" s="7" t="s">
        <v>1427</v>
      </c>
    </row>
    <row r="1507">
      <c r="A1507" s="4" t="s">
        <v>1521</v>
      </c>
      <c r="B1507" s="5" t="str">
        <f>IFERROR(__xludf.DUMMYFUNCTION("IF(A1507="""","""",INDEX(SPLIT(A1507,"" ""),COUNTA(SPLIT(A1507,"" ""))))"),"Mozzate")</f>
        <v>Mozzate</v>
      </c>
      <c r="C1507" s="6"/>
      <c r="D1507" s="6" t="s">
        <v>1426</v>
      </c>
      <c r="E1507" s="7" t="s">
        <v>1427</v>
      </c>
    </row>
    <row r="1508">
      <c r="A1508" s="4" t="s">
        <v>1522</v>
      </c>
      <c r="B1508" s="5" t="str">
        <f>IFERROR(__xludf.DUMMYFUNCTION("IF(A1508="""","""",INDEX(SPLIT(A1508,"" ""),COUNTA(SPLIT(A1508,"" ""))))"),"Musso")</f>
        <v>Musso</v>
      </c>
      <c r="C1508" s="6"/>
      <c r="D1508" s="6" t="s">
        <v>1426</v>
      </c>
      <c r="E1508" s="7" t="s">
        <v>1427</v>
      </c>
    </row>
    <row r="1509">
      <c r="A1509" s="4" t="s">
        <v>1523</v>
      </c>
      <c r="B1509" s="5" t="str">
        <f>IFERROR(__xludf.DUMMYFUNCTION("IF(A1509="""","""",INDEX(SPLIT(A1509,"" ""),COUNTA(SPLIT(A1509,"" ""))))"),"Nesso")</f>
        <v>Nesso</v>
      </c>
      <c r="C1509" s="6"/>
      <c r="D1509" s="6" t="s">
        <v>1426</v>
      </c>
      <c r="E1509" s="7" t="s">
        <v>1427</v>
      </c>
    </row>
    <row r="1510">
      <c r="A1510" s="4" t="s">
        <v>1524</v>
      </c>
      <c r="B1510" s="5" t="str">
        <f>IFERROR(__xludf.DUMMYFUNCTION("IF(A1510="""","""",INDEX(SPLIT(A1510,"" ""),COUNTA(SPLIT(A1510,"" ""))))"),"Novedrate")</f>
        <v>Novedrate</v>
      </c>
      <c r="C1510" s="6"/>
      <c r="D1510" s="6" t="s">
        <v>1426</v>
      </c>
      <c r="E1510" s="7" t="s">
        <v>1427</v>
      </c>
    </row>
    <row r="1511">
      <c r="A1511" s="4" t="s">
        <v>1525</v>
      </c>
      <c r="B1511" s="5" t="str">
        <f>IFERROR(__xludf.DUMMYFUNCTION("IF(A1511="""","""",INDEX(SPLIT(A1511,"" ""),COUNTA(SPLIT(A1511,"" ""))))"),"Comasco")</f>
        <v>Comasco</v>
      </c>
      <c r="C1511" s="6"/>
      <c r="D1511" s="6" t="s">
        <v>1426</v>
      </c>
      <c r="E1511" s="7" t="s">
        <v>1427</v>
      </c>
    </row>
    <row r="1512">
      <c r="A1512" s="4" t="s">
        <v>1526</v>
      </c>
      <c r="B1512" s="5" t="str">
        <f>IFERROR(__xludf.DUMMYFUNCTION("IF(A1512="""","""",INDEX(SPLIT(A1512,"" ""),COUNTA(SPLIT(A1512,"" ""))))"),"Mamette")</f>
        <v>Mamette</v>
      </c>
      <c r="C1512" s="6"/>
      <c r="D1512" s="6" t="s">
        <v>1426</v>
      </c>
      <c r="E1512" s="7" t="s">
        <v>1427</v>
      </c>
    </row>
    <row r="1513">
      <c r="A1513" s="4" t="s">
        <v>1527</v>
      </c>
      <c r="B1513" s="5" t="str">
        <f>IFERROR(__xludf.DUMMYFUNCTION("IF(A1513="""","""",INDEX(SPLIT(A1513,"" ""),COUNTA(SPLIT(A1513,"" ""))))"),"Orsenigo")</f>
        <v>Orsenigo</v>
      </c>
      <c r="C1513" s="6"/>
      <c r="D1513" s="6" t="s">
        <v>1426</v>
      </c>
      <c r="E1513" s="7" t="s">
        <v>1427</v>
      </c>
    </row>
    <row r="1514">
      <c r="A1514" s="4" t="s">
        <v>1528</v>
      </c>
      <c r="B1514" s="5" t="str">
        <f>IFERROR(__xludf.DUMMYFUNCTION("IF(A1514="""","""",INDEX(SPLIT(A1514,"" ""),COUNTA(SPLIT(A1514,"" ""))))"),"Peglio")</f>
        <v>Peglio</v>
      </c>
      <c r="C1514" s="6"/>
      <c r="D1514" s="6" t="s">
        <v>1426</v>
      </c>
      <c r="E1514" s="7" t="s">
        <v>1427</v>
      </c>
    </row>
    <row r="1515">
      <c r="A1515" s="4" t="s">
        <v>1529</v>
      </c>
      <c r="B1515" s="5" t="str">
        <f>IFERROR(__xludf.DUMMYFUNCTION("IF(A1515="""","""",INDEX(SPLIT(A1515,"" ""),COUNTA(SPLIT(A1515,"" ""))))"),"Lario")</f>
        <v>Lario</v>
      </c>
      <c r="C1515" s="6"/>
      <c r="D1515" s="6" t="s">
        <v>1426</v>
      </c>
      <c r="E1515" s="7" t="s">
        <v>1427</v>
      </c>
    </row>
    <row r="1516">
      <c r="A1516" s="4" t="s">
        <v>1530</v>
      </c>
      <c r="B1516" s="5" t="str">
        <f>IFERROR(__xludf.DUMMYFUNCTION("IF(A1516="""","""",INDEX(SPLIT(A1516,"" ""),COUNTA(SPLIT(A1516,"" ""))))"),"Pigra")</f>
        <v>Pigra</v>
      </c>
      <c r="C1516" s="6"/>
      <c r="D1516" s="6" t="s">
        <v>1426</v>
      </c>
      <c r="E1516" s="7" t="s">
        <v>1427</v>
      </c>
    </row>
    <row r="1517">
      <c r="A1517" s="4" t="s">
        <v>1531</v>
      </c>
      <c r="B1517" s="5" t="str">
        <f>IFERROR(__xludf.DUMMYFUNCTION("IF(A1517="""","""",INDEX(SPLIT(A1517,"" ""),COUNTA(SPLIT(A1517,"" ""))))"),"Plesio")</f>
        <v>Plesio</v>
      </c>
      <c r="C1517" s="6"/>
      <c r="D1517" s="6" t="s">
        <v>1426</v>
      </c>
      <c r="E1517" s="7" t="s">
        <v>1427</v>
      </c>
    </row>
    <row r="1518">
      <c r="A1518" s="4" t="s">
        <v>1532</v>
      </c>
      <c r="B1518" s="5" t="str">
        <f>IFERROR(__xludf.DUMMYFUNCTION("IF(A1518="""","""",INDEX(SPLIT(A1518,"" ""),COUNTA(SPLIT(A1518,"" ""))))"),"Lario")</f>
        <v>Lario</v>
      </c>
      <c r="C1518" s="6"/>
      <c r="D1518" s="6" t="s">
        <v>1426</v>
      </c>
      <c r="E1518" s="7" t="s">
        <v>1427</v>
      </c>
    </row>
    <row r="1519">
      <c r="A1519" s="4" t="s">
        <v>1533</v>
      </c>
      <c r="B1519" s="5" t="str">
        <f>IFERROR(__xludf.DUMMYFUNCTION("IF(A1519="""","""",INDEX(SPLIT(A1519,"" ""),COUNTA(SPLIT(A1519,"" ""))))"),"Ponna")</f>
        <v>Ponna</v>
      </c>
      <c r="C1519" s="6"/>
      <c r="D1519" s="6" t="s">
        <v>1426</v>
      </c>
      <c r="E1519" s="7" t="s">
        <v>1427</v>
      </c>
    </row>
    <row r="1520">
      <c r="A1520" s="4" t="s">
        <v>1534</v>
      </c>
      <c r="B1520" s="5" t="str">
        <f>IFERROR(__xludf.DUMMYFUNCTION("IF(A1520="""","""",INDEX(SPLIT(A1520,"" ""),COUNTA(SPLIT(A1520,"" ""))))"),"Lambro")</f>
        <v>Lambro</v>
      </c>
      <c r="C1520" s="6"/>
      <c r="D1520" s="6" t="s">
        <v>1426</v>
      </c>
      <c r="E1520" s="7" t="s">
        <v>1427</v>
      </c>
    </row>
    <row r="1521">
      <c r="A1521" s="4" t="s">
        <v>1535</v>
      </c>
      <c r="B1521" s="5" t="str">
        <f>IFERROR(__xludf.DUMMYFUNCTION("IF(A1521="""","""",INDEX(SPLIT(A1521,"" ""),COUNTA(SPLIT(A1521,"" ""))))"),"Porlezza")</f>
        <v>Porlezza</v>
      </c>
      <c r="C1521" s="6"/>
      <c r="D1521" s="6" t="s">
        <v>1426</v>
      </c>
      <c r="E1521" s="7" t="s">
        <v>1427</v>
      </c>
    </row>
    <row r="1522">
      <c r="A1522" s="4" t="s">
        <v>1536</v>
      </c>
      <c r="B1522" s="5" t="str">
        <f>IFERROR(__xludf.DUMMYFUNCTION("IF(A1522="""","""",INDEX(SPLIT(A1522,"" ""),COUNTA(SPLIT(A1522,"" ""))))"),"Proserpio")</f>
        <v>Proserpio</v>
      </c>
      <c r="C1522" s="6"/>
      <c r="D1522" s="6" t="s">
        <v>1426</v>
      </c>
      <c r="E1522" s="7" t="s">
        <v>1427</v>
      </c>
    </row>
    <row r="1523">
      <c r="A1523" s="4" t="s">
        <v>1537</v>
      </c>
      <c r="B1523" s="5" t="str">
        <f>IFERROR(__xludf.DUMMYFUNCTION("IF(A1523="""","""",INDEX(SPLIT(A1523,"" ""),COUNTA(SPLIT(A1523,"" ""))))"),"Pusiano")</f>
        <v>Pusiano</v>
      </c>
      <c r="C1523" s="6"/>
      <c r="D1523" s="6" t="s">
        <v>1426</v>
      </c>
      <c r="E1523" s="7" t="s">
        <v>1427</v>
      </c>
    </row>
    <row r="1524">
      <c r="A1524" s="4" t="s">
        <v>1538</v>
      </c>
      <c r="B1524" s="5" t="str">
        <f>IFERROR(__xludf.DUMMYFUNCTION("IF(A1524="""","""",INDEX(SPLIT(A1524,"" ""),COUNTA(SPLIT(A1524,"" ""))))"),"Rezzago")</f>
        <v>Rezzago</v>
      </c>
      <c r="C1524" s="6"/>
      <c r="D1524" s="6" t="s">
        <v>1426</v>
      </c>
      <c r="E1524" s="7" t="s">
        <v>1427</v>
      </c>
    </row>
    <row r="1525">
      <c r="A1525" s="4" t="s">
        <v>1539</v>
      </c>
      <c r="B1525" s="5" t="str">
        <f>IFERROR(__xludf.DUMMYFUNCTION("IF(A1525="""","""",INDEX(SPLIT(A1525,"" ""),COUNTA(SPLIT(A1525,"" ""))))"),"Rodero")</f>
        <v>Rodero</v>
      </c>
      <c r="C1525" s="6"/>
      <c r="D1525" s="6" t="s">
        <v>1426</v>
      </c>
      <c r="E1525" s="7" t="s">
        <v>1427</v>
      </c>
    </row>
    <row r="1526">
      <c r="A1526" s="4" t="s">
        <v>1540</v>
      </c>
      <c r="B1526" s="5" t="str">
        <f>IFERROR(__xludf.DUMMYFUNCTION("IF(A1526="""","""",INDEX(SPLIT(A1526,"" ""),COUNTA(SPLIT(A1526,"" ""))))"),"Ronago")</f>
        <v>Ronago</v>
      </c>
      <c r="C1526" s="6"/>
      <c r="D1526" s="6" t="s">
        <v>1426</v>
      </c>
      <c r="E1526" s="7" t="s">
        <v>1427</v>
      </c>
    </row>
    <row r="1527">
      <c r="A1527" s="4" t="s">
        <v>1541</v>
      </c>
      <c r="B1527" s="5" t="str">
        <f>IFERROR(__xludf.DUMMYFUNCTION("IF(A1527="""","""",INDEX(SPLIT(A1527,"" ""),COUNTA(SPLIT(A1527,"" ""))))"),"Rovellasca")</f>
        <v>Rovellasca</v>
      </c>
      <c r="C1527" s="6"/>
      <c r="D1527" s="6" t="s">
        <v>1426</v>
      </c>
      <c r="E1527" s="7" t="s">
        <v>1427</v>
      </c>
    </row>
    <row r="1528">
      <c r="A1528" s="4" t="s">
        <v>1542</v>
      </c>
      <c r="B1528" s="5" t="str">
        <f>IFERROR(__xludf.DUMMYFUNCTION("IF(A1528="""","""",INDEX(SPLIT(A1528,"" ""),COUNTA(SPLIT(A1528,"" ""))))"),"Porro")</f>
        <v>Porro</v>
      </c>
      <c r="C1528" s="6"/>
      <c r="D1528" s="6" t="s">
        <v>1426</v>
      </c>
      <c r="E1528" s="7" t="s">
        <v>1427</v>
      </c>
    </row>
    <row r="1529">
      <c r="A1529" s="4" t="s">
        <v>1543</v>
      </c>
      <c r="B1529" s="5" t="str">
        <f>IFERROR(__xludf.DUMMYFUNCTION("IF(A1529="""","""",INDEX(SPLIT(A1529,"" ""),COUNTA(SPLIT(A1529,"" ""))))"),"Comacina")</f>
        <v>Comacina</v>
      </c>
      <c r="C1529" s="6"/>
      <c r="D1529" s="6" t="s">
        <v>1426</v>
      </c>
      <c r="E1529" s="7" t="s">
        <v>1427</v>
      </c>
    </row>
    <row r="1530">
      <c r="A1530" s="4" t="s">
        <v>1544</v>
      </c>
      <c r="B1530" s="5" t="str">
        <f>IFERROR(__xludf.DUMMYFUNCTION("IF(A1530="""","""",INDEX(SPLIT(A1530,"" ""),COUNTA(SPLIT(A1530,"" ""))))"),"Cavargna")</f>
        <v>Cavargna</v>
      </c>
      <c r="C1530" s="6"/>
      <c r="D1530" s="6" t="s">
        <v>1426</v>
      </c>
      <c r="E1530" s="7" t="s">
        <v>1427</v>
      </c>
    </row>
    <row r="1531">
      <c r="A1531" s="4" t="s">
        <v>1545</v>
      </c>
      <c r="B1531" s="5" t="str">
        <f>IFERROR(__xludf.DUMMYFUNCTION("IF(A1531="""","""",INDEX(SPLIT(A1531,"" ""),COUNTA(SPLIT(A1531,"" ""))))"),"Battaglia")</f>
        <v>Battaglia</v>
      </c>
      <c r="C1531" s="6"/>
      <c r="D1531" s="6" t="s">
        <v>1426</v>
      </c>
      <c r="E1531" s="7" t="s">
        <v>1427</v>
      </c>
    </row>
    <row r="1532">
      <c r="A1532" s="4" t="s">
        <v>1546</v>
      </c>
      <c r="B1532" s="5" t="str">
        <f>IFERROR(__xludf.DUMMYFUNCTION("IF(A1532="""","""",INDEX(SPLIT(A1532,"" ""),COUNTA(SPLIT(A1532,"" ""))))"),"Cavargna")</f>
        <v>Cavargna</v>
      </c>
      <c r="C1532" s="6"/>
      <c r="D1532" s="6" t="s">
        <v>1426</v>
      </c>
      <c r="E1532" s="7" t="s">
        <v>1427</v>
      </c>
    </row>
    <row r="1533">
      <c r="A1533" s="4" t="s">
        <v>1547</v>
      </c>
      <c r="B1533" s="5" t="str">
        <f>IFERROR(__xludf.DUMMYFUNCTION("IF(A1533="""","""",INDEX(SPLIT(A1533,"" ""),COUNTA(SPLIT(A1533,"" ""))))"),"Schignano")</f>
        <v>Schignano</v>
      </c>
      <c r="C1533" s="6"/>
      <c r="D1533" s="6" t="s">
        <v>1426</v>
      </c>
      <c r="E1533" s="7" t="s">
        <v>1427</v>
      </c>
    </row>
    <row r="1534">
      <c r="A1534" s="4" t="s">
        <v>1548</v>
      </c>
      <c r="B1534" s="5" t="str">
        <f>IFERROR(__xludf.DUMMYFUNCTION("IF(A1534="""","""",INDEX(SPLIT(A1534,"" ""),COUNTA(SPLIT(A1534,"" ""))))"),"Comasco")</f>
        <v>Comasco</v>
      </c>
      <c r="C1534" s="6"/>
      <c r="D1534" s="6" t="s">
        <v>1426</v>
      </c>
      <c r="E1534" s="7" t="s">
        <v>1427</v>
      </c>
    </row>
    <row r="1535">
      <c r="A1535" s="4" t="s">
        <v>1549</v>
      </c>
      <c r="B1535" s="5" t="str">
        <f>IFERROR(__xludf.DUMMYFUNCTION("IF(A1535="""","""",INDEX(SPLIT(A1535,"" ""),COUNTA(SPLIT(A1535,"" ""))))"),"Solbiate")</f>
        <v>Solbiate</v>
      </c>
      <c r="C1535" s="6"/>
      <c r="D1535" s="6" t="s">
        <v>1426</v>
      </c>
      <c r="E1535" s="7" t="s">
        <v>1427</v>
      </c>
    </row>
    <row r="1536">
      <c r="A1536" s="4" t="s">
        <v>1550</v>
      </c>
      <c r="B1536" s="5" t="str">
        <f>IFERROR(__xludf.DUMMYFUNCTION("IF(A1536="""","""",INDEX(SPLIT(A1536,"" ""),COUNTA(SPLIT(A1536,"" ""))))"),"Sorico")</f>
        <v>Sorico</v>
      </c>
      <c r="C1536" s="6"/>
      <c r="D1536" s="6" t="s">
        <v>1426</v>
      </c>
      <c r="E1536" s="7" t="s">
        <v>1427</v>
      </c>
    </row>
    <row r="1537">
      <c r="A1537" s="4" t="s">
        <v>1551</v>
      </c>
      <c r="B1537" s="5" t="str">
        <f>IFERROR(__xludf.DUMMYFUNCTION("IF(A1537="""","""",INDEX(SPLIT(A1537,"" ""),COUNTA(SPLIT(A1537,"" ""))))"),"Sormano")</f>
        <v>Sormano</v>
      </c>
      <c r="C1537" s="6"/>
      <c r="D1537" s="6" t="s">
        <v>1426</v>
      </c>
      <c r="E1537" s="7" t="s">
        <v>1427</v>
      </c>
    </row>
    <row r="1538">
      <c r="A1538" s="4" t="s">
        <v>1552</v>
      </c>
      <c r="B1538" s="5" t="str">
        <f>IFERROR(__xludf.DUMMYFUNCTION("IF(A1538="""","""",INDEX(SPLIT(A1538,"" ""),COUNTA(SPLIT(A1538,"" ""))))"),"Stazzona")</f>
        <v>Stazzona</v>
      </c>
      <c r="C1538" s="6"/>
      <c r="D1538" s="6" t="s">
        <v>1426</v>
      </c>
      <c r="E1538" s="7" t="s">
        <v>1427</v>
      </c>
    </row>
    <row r="1539">
      <c r="A1539" s="4" t="s">
        <v>1553</v>
      </c>
      <c r="B1539" s="5" t="str">
        <f>IFERROR(__xludf.DUMMYFUNCTION("IF(A1539="""","""",INDEX(SPLIT(A1539,"" ""),COUNTA(SPLIT(A1539,"" ""))))"),"Tavernerio")</f>
        <v>Tavernerio</v>
      </c>
      <c r="C1539" s="6"/>
      <c r="D1539" s="6" t="s">
        <v>1426</v>
      </c>
      <c r="E1539" s="7" t="s">
        <v>1427</v>
      </c>
    </row>
    <row r="1540">
      <c r="A1540" s="4" t="s">
        <v>1554</v>
      </c>
      <c r="B1540" s="5" t="str">
        <f>IFERROR(__xludf.DUMMYFUNCTION("IF(A1540="""","""",INDEX(SPLIT(A1540,"" ""),COUNTA(SPLIT(A1540,"" ""))))"),"Torno")</f>
        <v>Torno</v>
      </c>
      <c r="C1540" s="6"/>
      <c r="D1540" s="6" t="s">
        <v>1426</v>
      </c>
      <c r="E1540" s="7" t="s">
        <v>1427</v>
      </c>
    </row>
    <row r="1541">
      <c r="A1541" s="4" t="s">
        <v>1555</v>
      </c>
      <c r="B1541" s="5" t="str">
        <f>IFERROR(__xludf.DUMMYFUNCTION("IF(A1541="""","""",INDEX(SPLIT(A1541,"" ""),COUNTA(SPLIT(A1541,"" ""))))"),"Trezzone")</f>
        <v>Trezzone</v>
      </c>
      <c r="C1541" s="6"/>
      <c r="D1541" s="6" t="s">
        <v>1426</v>
      </c>
      <c r="E1541" s="7" t="s">
        <v>1427</v>
      </c>
    </row>
    <row r="1542">
      <c r="A1542" s="4" t="s">
        <v>1556</v>
      </c>
      <c r="B1542" s="5" t="str">
        <f>IFERROR(__xludf.DUMMYFUNCTION("IF(A1542="""","""",INDEX(SPLIT(A1542,"" ""),COUNTA(SPLIT(A1542,"" ""))))"),"Turate")</f>
        <v>Turate</v>
      </c>
      <c r="C1542" s="6"/>
      <c r="D1542" s="6" t="s">
        <v>1426</v>
      </c>
      <c r="E1542" s="7" t="s">
        <v>1427</v>
      </c>
    </row>
    <row r="1543">
      <c r="A1543" s="4" t="s">
        <v>1557</v>
      </c>
      <c r="B1543" s="5" t="str">
        <f>IFERROR(__xludf.DUMMYFUNCTION("IF(A1543="""","""",INDEX(SPLIT(A1543,"" ""),COUNTA(SPLIT(A1543,"" ""))))"),"UggiateTrevano")</f>
        <v>UggiateTrevano</v>
      </c>
      <c r="C1543" s="6"/>
      <c r="D1543" s="6" t="s">
        <v>1426</v>
      </c>
      <c r="E1543" s="7" t="s">
        <v>1427</v>
      </c>
    </row>
    <row r="1544">
      <c r="A1544" s="4" t="s">
        <v>1558</v>
      </c>
      <c r="B1544" s="5" t="str">
        <f>IFERROR(__xludf.DUMMYFUNCTION("IF(A1544="""","""",INDEX(SPLIT(A1544,"" ""),COUNTA(SPLIT(A1544,"" ""))))"),"Valbrona")</f>
        <v>Valbrona</v>
      </c>
      <c r="C1544" s="6"/>
      <c r="D1544" s="6" t="s">
        <v>1426</v>
      </c>
      <c r="E1544" s="7" t="s">
        <v>1427</v>
      </c>
    </row>
    <row r="1545">
      <c r="A1545" s="4" t="s">
        <v>1559</v>
      </c>
      <c r="B1545" s="5" t="str">
        <f>IFERROR(__xludf.DUMMYFUNCTION("IF(A1545="""","""",INDEX(SPLIT(A1545,"" ""),COUNTA(SPLIT(A1545,"" ""))))"),"Valmorea")</f>
        <v>Valmorea</v>
      </c>
      <c r="C1545" s="6"/>
      <c r="D1545" s="6" t="s">
        <v>1426</v>
      </c>
      <c r="E1545" s="7" t="s">
        <v>1427</v>
      </c>
    </row>
    <row r="1546">
      <c r="A1546" s="4" t="s">
        <v>1560</v>
      </c>
      <c r="B1546" s="5" t="str">
        <f>IFERROR(__xludf.DUMMYFUNCTION("IF(A1546="""","""",INDEX(SPLIT(A1546,"" ""),COUNTA(SPLIT(A1546,"" ""))))"),"Rezzo")</f>
        <v>Rezzo</v>
      </c>
      <c r="C1546" s="6"/>
      <c r="D1546" s="6" t="s">
        <v>1426</v>
      </c>
      <c r="E1546" s="7" t="s">
        <v>1427</v>
      </c>
    </row>
    <row r="1547">
      <c r="A1547" s="4" t="s">
        <v>1561</v>
      </c>
      <c r="B1547" s="5" t="str">
        <f>IFERROR(__xludf.DUMMYFUNCTION("IF(A1547="""","""",INDEX(SPLIT(A1547,"" ""),COUNTA(SPLIT(A1547,"" ""))))"),"Valsolda")</f>
        <v>Valsolda</v>
      </c>
      <c r="C1547" s="6"/>
      <c r="D1547" s="6" t="s">
        <v>1426</v>
      </c>
      <c r="E1547" s="7" t="s">
        <v>1427</v>
      </c>
    </row>
    <row r="1548">
      <c r="A1548" s="4" t="s">
        <v>1562</v>
      </c>
      <c r="B1548" s="5" t="str">
        <f>IFERROR(__xludf.DUMMYFUNCTION("IF(A1548="""","""",INDEX(SPLIT(A1548,"" ""),COUNTA(SPLIT(A1548,"" ""))))"),"Veleso")</f>
        <v>Veleso</v>
      </c>
      <c r="C1548" s="6"/>
      <c r="D1548" s="6" t="s">
        <v>1426</v>
      </c>
      <c r="E1548" s="7" t="s">
        <v>1427</v>
      </c>
    </row>
    <row r="1549">
      <c r="A1549" s="4" t="s">
        <v>1563</v>
      </c>
      <c r="B1549" s="5" t="str">
        <f>IFERROR(__xludf.DUMMYFUNCTION("IF(A1549="""","""",INDEX(SPLIT(A1549,"" ""),COUNTA(SPLIT(A1549,"" ""))))"),"Veniano")</f>
        <v>Veniano</v>
      </c>
      <c r="C1549" s="6"/>
      <c r="D1549" s="6" t="s">
        <v>1426</v>
      </c>
      <c r="E1549" s="7" t="s">
        <v>1427</v>
      </c>
    </row>
    <row r="1550">
      <c r="A1550" s="4" t="s">
        <v>1564</v>
      </c>
      <c r="B1550" s="5" t="str">
        <f>IFERROR(__xludf.DUMMYFUNCTION("IF(A1550="""","""",INDEX(SPLIT(A1550,"" ""),COUNTA(SPLIT(A1550,"" ""))))"),"Vercana")</f>
        <v>Vercana</v>
      </c>
      <c r="C1550" s="6"/>
      <c r="D1550" s="6" t="s">
        <v>1426</v>
      </c>
      <c r="E1550" s="7" t="s">
        <v>1427</v>
      </c>
    </row>
    <row r="1551">
      <c r="A1551" s="4" t="s">
        <v>1565</v>
      </c>
      <c r="B1551" s="5" t="str">
        <f>IFERROR(__xludf.DUMMYFUNCTION("IF(A1551="""","""",INDEX(SPLIT(A1551,"" ""),COUNTA(SPLIT(A1551,"" ""))))"),"Minoprio")</f>
        <v>Minoprio</v>
      </c>
      <c r="C1551" s="6"/>
      <c r="D1551" s="6" t="s">
        <v>1426</v>
      </c>
      <c r="E1551" s="7" t="s">
        <v>1427</v>
      </c>
    </row>
    <row r="1552">
      <c r="A1552" s="4" t="s">
        <v>1566</v>
      </c>
      <c r="B1552" s="5" t="str">
        <f>IFERROR(__xludf.DUMMYFUNCTION("IF(A1552="""","""",INDEX(SPLIT(A1552,"" ""),COUNTA(SPLIT(A1552,"" ""))))"),"Guardia")</f>
        <v>Guardia</v>
      </c>
      <c r="C1552" s="6"/>
      <c r="D1552" s="6" t="s">
        <v>1426</v>
      </c>
      <c r="E1552" s="7" t="s">
        <v>1427</v>
      </c>
    </row>
    <row r="1553">
      <c r="A1553" s="4" t="s">
        <v>1567</v>
      </c>
      <c r="B1553" s="5" t="str">
        <f>IFERROR(__xludf.DUMMYFUNCTION("IF(A1553="""","""",INDEX(SPLIT(A1553,"" ""),COUNTA(SPLIT(A1553,"" ""))))"),"Zelbio")</f>
        <v>Zelbio</v>
      </c>
      <c r="C1553" s="6"/>
      <c r="D1553" s="6" t="s">
        <v>1426</v>
      </c>
      <c r="E1553" s="7" t="s">
        <v>1427</v>
      </c>
    </row>
    <row r="1554">
      <c r="A1554" s="4" t="s">
        <v>1568</v>
      </c>
      <c r="B1554" s="5" t="str">
        <f>IFERROR(__xludf.DUMMYFUNCTION("IF(A1554="""","""",INDEX(SPLIT(A1554,"" ""),COUNTA(SPLIT(A1554,"" ""))))"),"Siro")</f>
        <v>Siro</v>
      </c>
      <c r="C1554" s="6"/>
      <c r="D1554" s="6" t="s">
        <v>1426</v>
      </c>
      <c r="E1554" s="7" t="s">
        <v>1427</v>
      </c>
    </row>
    <row r="1555">
      <c r="A1555" s="4" t="s">
        <v>1569</v>
      </c>
      <c r="B1555" s="5" t="str">
        <f>IFERROR(__xludf.DUMMYFUNCTION("IF(A1555="""","""",INDEX(SPLIT(A1555,"" ""),COUNTA(SPLIT(A1555,"" ""))))"),"Uniti")</f>
        <v>Uniti</v>
      </c>
      <c r="C1555" s="6"/>
      <c r="D1555" s="6" t="s">
        <v>1426</v>
      </c>
      <c r="E1555" s="7" t="s">
        <v>1427</v>
      </c>
    </row>
    <row r="1556">
      <c r="A1556" s="8" t="s">
        <v>1570</v>
      </c>
      <c r="B1556" s="5" t="str">
        <f>IFERROR(__xludf.DUMMYFUNCTION("IF(A1556="""","""",INDEX(SPLIT(A1556,"" ""),COUNTA(SPLIT(A1556,"" ""))))"),"Bellagio")</f>
        <v>Bellagio</v>
      </c>
      <c r="C1556" s="6"/>
      <c r="D1556" s="6" t="s">
        <v>1426</v>
      </c>
      <c r="E1556" s="7" t="s">
        <v>1427</v>
      </c>
    </row>
    <row r="1557">
      <c r="A1557" s="8" t="s">
        <v>1571</v>
      </c>
      <c r="B1557" s="5" t="str">
        <f>IFERROR(__xludf.DUMMYFUNCTION("IF(A1557="""","""",INDEX(SPLIT(A1557,"" ""),COUNTA(SPLIT(A1557,"" ""))))"),"Colverde")</f>
        <v>Colverde</v>
      </c>
      <c r="C1557" s="6"/>
      <c r="D1557" s="6" t="s">
        <v>1426</v>
      </c>
      <c r="E1557" s="7" t="s">
        <v>1427</v>
      </c>
    </row>
    <row r="1558">
      <c r="A1558" s="8" t="s">
        <v>1572</v>
      </c>
      <c r="B1558" s="5" t="str">
        <f>IFERROR(__xludf.DUMMYFUNCTION("IF(A1558="""","""",INDEX(SPLIT(A1558,"" ""),COUNTA(SPLIT(A1558,"" ""))))"),"Tremezzina")</f>
        <v>Tremezzina</v>
      </c>
      <c r="C1558" s="6"/>
      <c r="D1558" s="6" t="s">
        <v>1426</v>
      </c>
      <c r="E1558" s="7" t="s">
        <v>1427</v>
      </c>
    </row>
    <row r="1559">
      <c r="A1559" s="8" t="s">
        <v>1573</v>
      </c>
      <c r="B1559" s="5" t="str">
        <f>IFERROR(__xludf.DUMMYFUNCTION("IF(A1559="""","""",INDEX(SPLIT(A1559,"" ""),COUNTA(SPLIT(A1559,"" ""))))"),"Intelvi")</f>
        <v>Intelvi</v>
      </c>
      <c r="C1559" s="6"/>
      <c r="D1559" s="6" t="s">
        <v>1426</v>
      </c>
      <c r="E1559" s="7" t="s">
        <v>1427</v>
      </c>
    </row>
    <row r="1560">
      <c r="A1560" s="8" t="s">
        <v>1574</v>
      </c>
      <c r="B1560" s="5" t="str">
        <f>IFERROR(__xludf.DUMMYFUNCTION("IF(A1560="""","""",INDEX(SPLIT(A1560,"" ""),COUNTA(SPLIT(A1560,"" ""))))"),"Intelvi")</f>
        <v>Intelvi</v>
      </c>
      <c r="C1560" s="6"/>
      <c r="D1560" s="6" t="s">
        <v>1426</v>
      </c>
      <c r="E1560" s="7" t="s">
        <v>1427</v>
      </c>
    </row>
    <row r="1561">
      <c r="A1561" s="4" t="s">
        <v>1575</v>
      </c>
      <c r="B1561" s="5" t="str">
        <f>IFERROR(__xludf.DUMMYFUNCTION("IF(A1561="""","""",INDEX(SPLIT(A1561,"" ""),COUNTA(SPLIT(A1561,"" ""))))"),"Marco")</f>
        <v>Marco</v>
      </c>
      <c r="C1561" s="6"/>
      <c r="D1561" s="6" t="s">
        <v>1576</v>
      </c>
      <c r="E1561" s="7" t="s">
        <v>1577</v>
      </c>
    </row>
    <row r="1562">
      <c r="A1562" s="4" t="s">
        <v>1578</v>
      </c>
      <c r="B1562" s="5" t="str">
        <f>IFERROR(__xludf.DUMMYFUNCTION("IF(A1562="""","""",INDEX(SPLIT(A1562,"" ""),COUNTA(SPLIT(A1562,"" ""))))"),"Albosaggia")</f>
        <v>Albosaggia</v>
      </c>
      <c r="C1562" s="6"/>
      <c r="D1562" s="6" t="s">
        <v>1576</v>
      </c>
      <c r="E1562" s="7" t="s">
        <v>1577</v>
      </c>
    </row>
    <row r="1563">
      <c r="A1563" s="4" t="s">
        <v>1579</v>
      </c>
      <c r="B1563" s="5" t="str">
        <f>IFERROR(__xludf.DUMMYFUNCTION("IF(A1563="""","""",INDEX(SPLIT(A1563,"" ""),COUNTA(SPLIT(A1563,"" ""))))"),"Valtellino")</f>
        <v>Valtellino</v>
      </c>
      <c r="C1563" s="6"/>
      <c r="D1563" s="6" t="s">
        <v>1576</v>
      </c>
      <c r="E1563" s="7" t="s">
        <v>1577</v>
      </c>
    </row>
    <row r="1564">
      <c r="A1564" s="4" t="s">
        <v>1580</v>
      </c>
      <c r="B1564" s="5" t="str">
        <f>IFERROR(__xludf.DUMMYFUNCTION("IF(A1564="""","""",INDEX(SPLIT(A1564,"" ""),COUNTA(SPLIT(A1564,"" ""))))"),"Aprica")</f>
        <v>Aprica</v>
      </c>
      <c r="C1564" s="6"/>
      <c r="D1564" s="6" t="s">
        <v>1576</v>
      </c>
      <c r="E1564" s="7" t="s">
        <v>1577</v>
      </c>
    </row>
    <row r="1565">
      <c r="A1565" s="4" t="s">
        <v>1581</v>
      </c>
      <c r="B1565" s="5" t="str">
        <f>IFERROR(__xludf.DUMMYFUNCTION("IF(A1565="""","""",INDEX(SPLIT(A1565,"" ""),COUNTA(SPLIT(A1565,"" ""))))"),"Ardenno")</f>
        <v>Ardenno</v>
      </c>
      <c r="C1565" s="6"/>
      <c r="D1565" s="6" t="s">
        <v>1576</v>
      </c>
      <c r="E1565" s="7" t="s">
        <v>1577</v>
      </c>
    </row>
    <row r="1566">
      <c r="A1566" s="4" t="s">
        <v>1582</v>
      </c>
      <c r="B1566" s="5" t="str">
        <f>IFERROR(__xludf.DUMMYFUNCTION("IF(A1566="""","""",INDEX(SPLIT(A1566,"" ""),COUNTA(SPLIT(A1566,"" ""))))"),"Bema")</f>
        <v>Bema</v>
      </c>
      <c r="C1566" s="6"/>
      <c r="D1566" s="6" t="s">
        <v>1576</v>
      </c>
      <c r="E1566" s="7" t="s">
        <v>1577</v>
      </c>
    </row>
    <row r="1567">
      <c r="A1567" s="4" t="s">
        <v>1583</v>
      </c>
      <c r="B1567" s="5" t="str">
        <f>IFERROR(__xludf.DUMMYFUNCTION("IF(A1567="""","""",INDEX(SPLIT(A1567,"" ""),COUNTA(SPLIT(A1567,"" ""))))"),"Valtellina")</f>
        <v>Valtellina</v>
      </c>
      <c r="C1567" s="6"/>
      <c r="D1567" s="6" t="s">
        <v>1576</v>
      </c>
      <c r="E1567" s="7" t="s">
        <v>1577</v>
      </c>
    </row>
    <row r="1568">
      <c r="A1568" s="4" t="s">
        <v>1584</v>
      </c>
      <c r="B1568" s="5" t="str">
        <f>IFERROR(__xludf.DUMMYFUNCTION("IF(A1568="""","""",INDEX(SPLIT(A1568,"" ""),COUNTA(SPLIT(A1568,"" ""))))"),"Bianzone")</f>
        <v>Bianzone</v>
      </c>
      <c r="C1568" s="6"/>
      <c r="D1568" s="6" t="s">
        <v>1576</v>
      </c>
      <c r="E1568" s="7" t="s">
        <v>1577</v>
      </c>
    </row>
    <row r="1569">
      <c r="A1569" s="4" t="s">
        <v>1585</v>
      </c>
      <c r="B1569" s="5" t="str">
        <f>IFERROR(__xludf.DUMMYFUNCTION("IF(A1569="""","""",INDEX(SPLIT(A1569,"" ""),COUNTA(SPLIT(A1569,"" ""))))"),"Bormio")</f>
        <v>Bormio</v>
      </c>
      <c r="C1569" s="6"/>
      <c r="D1569" s="6" t="s">
        <v>1576</v>
      </c>
      <c r="E1569" s="7" t="s">
        <v>1577</v>
      </c>
    </row>
    <row r="1570">
      <c r="A1570" s="4" t="s">
        <v>1586</v>
      </c>
      <c r="B1570" s="5" t="str">
        <f>IFERROR(__xludf.DUMMYFUNCTION("IF(A1570="""","""",INDEX(SPLIT(A1570,"" ""),COUNTA(SPLIT(A1570,"" ""))))"),"Monte")</f>
        <v>Monte</v>
      </c>
      <c r="C1570" s="6"/>
      <c r="D1570" s="6" t="s">
        <v>1576</v>
      </c>
      <c r="E1570" s="7" t="s">
        <v>1577</v>
      </c>
    </row>
    <row r="1571">
      <c r="A1571" s="4" t="s">
        <v>1587</v>
      </c>
      <c r="B1571" s="5" t="str">
        <f>IFERROR(__xludf.DUMMYFUNCTION("IF(A1571="""","""",INDEX(SPLIT(A1571,"" ""),COUNTA(SPLIT(A1571,"" ""))))"),"Caiolo")</f>
        <v>Caiolo</v>
      </c>
      <c r="C1571" s="6"/>
      <c r="D1571" s="6" t="s">
        <v>1576</v>
      </c>
      <c r="E1571" s="7" t="s">
        <v>1577</v>
      </c>
    </row>
    <row r="1572">
      <c r="A1572" s="4" t="s">
        <v>1588</v>
      </c>
      <c r="B1572" s="5" t="str">
        <f>IFERROR(__xludf.DUMMYFUNCTION("IF(A1572="""","""",INDEX(SPLIT(A1572,"" ""),COUNTA(SPLIT(A1572,"" ""))))"),"Campodolcino")</f>
        <v>Campodolcino</v>
      </c>
      <c r="C1572" s="6"/>
      <c r="D1572" s="6" t="s">
        <v>1576</v>
      </c>
      <c r="E1572" s="7" t="s">
        <v>1577</v>
      </c>
    </row>
    <row r="1573">
      <c r="A1573" s="4" t="s">
        <v>1589</v>
      </c>
      <c r="B1573" s="5" t="str">
        <f>IFERROR(__xludf.DUMMYFUNCTION("IF(A1573="""","""",INDEX(SPLIT(A1573,"" ""),COUNTA(SPLIT(A1573,"" ""))))"),"Caspoggio")</f>
        <v>Caspoggio</v>
      </c>
      <c r="C1573" s="6"/>
      <c r="D1573" s="6" t="s">
        <v>1576</v>
      </c>
      <c r="E1573" s="7" t="s">
        <v>1577</v>
      </c>
    </row>
    <row r="1574">
      <c r="A1574" s="4" t="s">
        <v>1590</v>
      </c>
      <c r="B1574" s="5" t="str">
        <f>IFERROR(__xludf.DUMMYFUNCTION("IF(A1574="""","""",INDEX(SPLIT(A1574,"" ""),COUNTA(SPLIT(A1574,"" ""))))"),"dell'Acqua")</f>
        <v>dell'Acqua</v>
      </c>
      <c r="C1574" s="6"/>
      <c r="D1574" s="6" t="s">
        <v>1576</v>
      </c>
      <c r="E1574" s="7" t="s">
        <v>1577</v>
      </c>
    </row>
    <row r="1575">
      <c r="A1575" s="4" t="s">
        <v>1591</v>
      </c>
      <c r="B1575" s="5" t="str">
        <f>IFERROR(__xludf.DUMMYFUNCTION("IF(A1575="""","""",INDEX(SPLIT(A1575,"" ""),COUNTA(SPLIT(A1575,"" ""))))"),"Andevenno")</f>
        <v>Andevenno</v>
      </c>
      <c r="C1575" s="6"/>
      <c r="D1575" s="6" t="s">
        <v>1576</v>
      </c>
      <c r="E1575" s="7" t="s">
        <v>1577</v>
      </c>
    </row>
    <row r="1576">
      <c r="A1576" s="4" t="s">
        <v>1592</v>
      </c>
      <c r="B1576" s="5" t="str">
        <f>IFERROR(__xludf.DUMMYFUNCTION("IF(A1576="""","""",INDEX(SPLIT(A1576,"" ""),COUNTA(SPLIT(A1576,"" ""))))"),"Cedrasco")</f>
        <v>Cedrasco</v>
      </c>
      <c r="C1576" s="6"/>
      <c r="D1576" s="6" t="s">
        <v>1576</v>
      </c>
      <c r="E1576" s="7" t="s">
        <v>1577</v>
      </c>
    </row>
    <row r="1577">
      <c r="A1577" s="4" t="s">
        <v>1593</v>
      </c>
      <c r="B1577" s="5" t="str">
        <f>IFERROR(__xludf.DUMMYFUNCTION("IF(A1577="""","""",INDEX(SPLIT(A1577,"" ""),COUNTA(SPLIT(A1577,"" ""))))"),"Cercino")</f>
        <v>Cercino</v>
      </c>
      <c r="C1577" s="6"/>
      <c r="D1577" s="6" t="s">
        <v>1576</v>
      </c>
      <c r="E1577" s="7" t="s">
        <v>1577</v>
      </c>
    </row>
    <row r="1578">
      <c r="A1578" s="4" t="s">
        <v>1594</v>
      </c>
      <c r="B1578" s="5" t="str">
        <f>IFERROR(__xludf.DUMMYFUNCTION("IF(A1578="""","""",INDEX(SPLIT(A1578,"" ""),COUNTA(SPLIT(A1578,"" ""))))"),"Chiavenna")</f>
        <v>Chiavenna</v>
      </c>
      <c r="C1578" s="6"/>
      <c r="D1578" s="6" t="s">
        <v>1576</v>
      </c>
      <c r="E1578" s="7" t="s">
        <v>1577</v>
      </c>
    </row>
    <row r="1579">
      <c r="A1579" s="4" t="s">
        <v>1595</v>
      </c>
      <c r="B1579" s="5" t="str">
        <f>IFERROR(__xludf.DUMMYFUNCTION("IF(A1579="""","""",INDEX(SPLIT(A1579,"" ""),COUNTA(SPLIT(A1579,"" ""))))"),"Valmalenco")</f>
        <v>Valmalenco</v>
      </c>
      <c r="C1579" s="6"/>
      <c r="D1579" s="6" t="s">
        <v>1576</v>
      </c>
      <c r="E1579" s="7" t="s">
        <v>1577</v>
      </c>
    </row>
    <row r="1580">
      <c r="A1580" s="4" t="s">
        <v>1596</v>
      </c>
      <c r="B1580" s="5" t="str">
        <f>IFERROR(__xludf.DUMMYFUNCTION("IF(A1580="""","""",INDEX(SPLIT(A1580,"" ""),COUNTA(SPLIT(A1580,"" ""))))"),"Chiuro")</f>
        <v>Chiuro</v>
      </c>
      <c r="C1580" s="6"/>
      <c r="D1580" s="6" t="s">
        <v>1576</v>
      </c>
      <c r="E1580" s="7" t="s">
        <v>1577</v>
      </c>
    </row>
    <row r="1581">
      <c r="A1581" s="4" t="s">
        <v>1597</v>
      </c>
      <c r="B1581" s="5" t="str">
        <f>IFERROR(__xludf.DUMMYFUNCTION("IF(A1581="""","""",INDEX(SPLIT(A1581,"" ""),COUNTA(SPLIT(A1581,"" ""))))"),"Cino")</f>
        <v>Cino</v>
      </c>
      <c r="C1581" s="6"/>
      <c r="D1581" s="6" t="s">
        <v>1576</v>
      </c>
      <c r="E1581" s="7" t="s">
        <v>1577</v>
      </c>
    </row>
    <row r="1582">
      <c r="A1582" s="4" t="s">
        <v>1598</v>
      </c>
      <c r="B1582" s="5" t="str">
        <f>IFERROR(__xludf.DUMMYFUNCTION("IF(A1582="""","""",INDEX(SPLIT(A1582,"" ""),COUNTA(SPLIT(A1582,"" ""))))"),"Civo")</f>
        <v>Civo</v>
      </c>
      <c r="C1582" s="6"/>
      <c r="D1582" s="6" t="s">
        <v>1576</v>
      </c>
      <c r="E1582" s="7" t="s">
        <v>1577</v>
      </c>
    </row>
    <row r="1583">
      <c r="A1583" s="4" t="s">
        <v>1599</v>
      </c>
      <c r="B1583" s="5" t="str">
        <f>IFERROR(__xludf.DUMMYFUNCTION("IF(A1583="""","""",INDEX(SPLIT(A1583,"" ""),COUNTA(SPLIT(A1583,"" ""))))"),"Colorina")</f>
        <v>Colorina</v>
      </c>
      <c r="C1583" s="6"/>
      <c r="D1583" s="6" t="s">
        <v>1576</v>
      </c>
      <c r="E1583" s="7" t="s">
        <v>1577</v>
      </c>
    </row>
    <row r="1584">
      <c r="A1584" s="4" t="s">
        <v>1600</v>
      </c>
      <c r="B1584" s="5" t="str">
        <f>IFERROR(__xludf.DUMMYFUNCTION("IF(A1584="""","""",INDEX(SPLIT(A1584,"" ""),COUNTA(SPLIT(A1584,"" ""))))"),"Valtellino")</f>
        <v>Valtellino</v>
      </c>
      <c r="C1584" s="6"/>
      <c r="D1584" s="6" t="s">
        <v>1576</v>
      </c>
      <c r="E1584" s="7" t="s">
        <v>1577</v>
      </c>
    </row>
    <row r="1585">
      <c r="A1585" s="4" t="s">
        <v>1601</v>
      </c>
      <c r="B1585" s="5" t="str">
        <f>IFERROR(__xludf.DUMMYFUNCTION("IF(A1585="""","""",INDEX(SPLIT(A1585,"" ""),COUNTA(SPLIT(A1585,"" ""))))"),"Dazio")</f>
        <v>Dazio</v>
      </c>
      <c r="C1585" s="6"/>
      <c r="D1585" s="6" t="s">
        <v>1576</v>
      </c>
      <c r="E1585" s="7" t="s">
        <v>1577</v>
      </c>
    </row>
    <row r="1586">
      <c r="A1586" s="4" t="s">
        <v>1602</v>
      </c>
      <c r="B1586" s="5" t="str">
        <f>IFERROR(__xludf.DUMMYFUNCTION("IF(A1586="""","""",INDEX(SPLIT(A1586,"" ""),COUNTA(SPLIT(A1586,"" ""))))"),"Delebio")</f>
        <v>Delebio</v>
      </c>
      <c r="C1586" s="6"/>
      <c r="D1586" s="6" t="s">
        <v>1576</v>
      </c>
      <c r="E1586" s="7" t="s">
        <v>1577</v>
      </c>
    </row>
    <row r="1587">
      <c r="A1587" s="4" t="s">
        <v>1603</v>
      </c>
      <c r="B1587" s="5" t="str">
        <f>IFERROR(__xludf.DUMMYFUNCTION("IF(A1587="""","""",INDEX(SPLIT(A1587,"" ""),COUNTA(SPLIT(A1587,"" ""))))"),"Dubino")</f>
        <v>Dubino</v>
      </c>
      <c r="C1587" s="6"/>
      <c r="D1587" s="6" t="s">
        <v>1576</v>
      </c>
      <c r="E1587" s="7" t="s">
        <v>1577</v>
      </c>
    </row>
    <row r="1588">
      <c r="A1588" s="4" t="s">
        <v>1604</v>
      </c>
      <c r="B1588" s="5" t="str">
        <f>IFERROR(__xludf.DUMMYFUNCTION("IF(A1588="""","""",INDEX(SPLIT(A1588,"" ""),COUNTA(SPLIT(A1588,"" ""))))"),"Valtellino")</f>
        <v>Valtellino</v>
      </c>
      <c r="C1588" s="6"/>
      <c r="D1588" s="6" t="s">
        <v>1576</v>
      </c>
      <c r="E1588" s="7" t="s">
        <v>1577</v>
      </c>
    </row>
    <row r="1589">
      <c r="A1589" s="4" t="s">
        <v>1605</v>
      </c>
      <c r="B1589" s="5" t="str">
        <f>IFERROR(__xludf.DUMMYFUNCTION("IF(A1589="""","""",INDEX(SPLIT(A1589,"" ""),COUNTA(SPLIT(A1589,"" ""))))"),"Forcola")</f>
        <v>Forcola</v>
      </c>
      <c r="C1589" s="6"/>
      <c r="D1589" s="6" t="s">
        <v>1576</v>
      </c>
      <c r="E1589" s="7" t="s">
        <v>1577</v>
      </c>
    </row>
    <row r="1590">
      <c r="A1590" s="4" t="s">
        <v>1606</v>
      </c>
      <c r="B1590" s="5" t="str">
        <f>IFERROR(__xludf.DUMMYFUNCTION("IF(A1590="""","""",INDEX(SPLIT(A1590,"" ""),COUNTA(SPLIT(A1590,"" ""))))"),"Fusine")</f>
        <v>Fusine</v>
      </c>
      <c r="C1590" s="6"/>
      <c r="D1590" s="6" t="s">
        <v>1576</v>
      </c>
      <c r="E1590" s="7" t="s">
        <v>1577</v>
      </c>
    </row>
    <row r="1591">
      <c r="A1591" s="4" t="s">
        <v>1607</v>
      </c>
      <c r="B1591" s="5" t="str">
        <f>IFERROR(__xludf.DUMMYFUNCTION("IF(A1591="""","""",INDEX(SPLIT(A1591,"" ""),COUNTA(SPLIT(A1591,"" ""))))"),"Alta")</f>
        <v>Alta</v>
      </c>
      <c r="C1591" s="6"/>
      <c r="D1591" s="6" t="s">
        <v>1576</v>
      </c>
      <c r="E1591" s="7" t="s">
        <v>1577</v>
      </c>
    </row>
    <row r="1592">
      <c r="A1592" s="4" t="s">
        <v>1608</v>
      </c>
      <c r="B1592" s="5" t="str">
        <f>IFERROR(__xludf.DUMMYFUNCTION("IF(A1592="""","""",INDEX(SPLIT(A1592,"" ""),COUNTA(SPLIT(A1592,"" ""))))"),"Gordona")</f>
        <v>Gordona</v>
      </c>
      <c r="C1592" s="6"/>
      <c r="D1592" s="6" t="s">
        <v>1576</v>
      </c>
      <c r="E1592" s="7" t="s">
        <v>1577</v>
      </c>
    </row>
    <row r="1593">
      <c r="A1593" s="4" t="s">
        <v>1609</v>
      </c>
      <c r="B1593" s="5" t="str">
        <f>IFERROR(__xludf.DUMMYFUNCTION("IF(A1593="""","""",INDEX(SPLIT(A1593,"" ""),COUNTA(SPLIT(A1593,"" ""))))"),"Grosio")</f>
        <v>Grosio</v>
      </c>
      <c r="C1593" s="6"/>
      <c r="D1593" s="6" t="s">
        <v>1576</v>
      </c>
      <c r="E1593" s="7" t="s">
        <v>1577</v>
      </c>
    </row>
    <row r="1594">
      <c r="A1594" s="4" t="s">
        <v>1610</v>
      </c>
      <c r="B1594" s="5" t="str">
        <f>IFERROR(__xludf.DUMMYFUNCTION("IF(A1594="""","""",INDEX(SPLIT(A1594,"" ""),COUNTA(SPLIT(A1594,"" ""))))"),"Grosotto")</f>
        <v>Grosotto</v>
      </c>
      <c r="C1594" s="6"/>
      <c r="D1594" s="6" t="s">
        <v>1576</v>
      </c>
      <c r="E1594" s="7" t="s">
        <v>1577</v>
      </c>
    </row>
    <row r="1595">
      <c r="A1595" s="4" t="s">
        <v>1611</v>
      </c>
      <c r="B1595" s="5" t="str">
        <f>IFERROR(__xludf.DUMMYFUNCTION("IF(A1595="""","""",INDEX(SPLIT(A1595,"" ""),COUNTA(SPLIT(A1595,"" ""))))"),"Madesimo")</f>
        <v>Madesimo</v>
      </c>
      <c r="C1595" s="6"/>
      <c r="D1595" s="6" t="s">
        <v>1576</v>
      </c>
      <c r="E1595" s="7" t="s">
        <v>1577</v>
      </c>
    </row>
    <row r="1596">
      <c r="A1596" s="4" t="s">
        <v>1612</v>
      </c>
      <c r="B1596" s="5" t="str">
        <f>IFERROR(__xludf.DUMMYFUNCTION("IF(A1596="""","""",INDEX(SPLIT(A1596,"" ""),COUNTA(SPLIT(A1596,"" ""))))"),"Lanzada")</f>
        <v>Lanzada</v>
      </c>
      <c r="C1596" s="6"/>
      <c r="D1596" s="6" t="s">
        <v>1576</v>
      </c>
      <c r="E1596" s="7" t="s">
        <v>1577</v>
      </c>
    </row>
    <row r="1597">
      <c r="A1597" s="4" t="s">
        <v>1613</v>
      </c>
      <c r="B1597" s="5" t="str">
        <f>IFERROR(__xludf.DUMMYFUNCTION("IF(A1597="""","""",INDEX(SPLIT(A1597,"" ""),COUNTA(SPLIT(A1597,"" ""))))"),"Livigno")</f>
        <v>Livigno</v>
      </c>
      <c r="C1597" s="6"/>
      <c r="D1597" s="6" t="s">
        <v>1576</v>
      </c>
      <c r="E1597" s="7" t="s">
        <v>1577</v>
      </c>
    </row>
    <row r="1598">
      <c r="A1598" s="4" t="s">
        <v>1614</v>
      </c>
      <c r="B1598" s="5" t="str">
        <f>IFERROR(__xludf.DUMMYFUNCTION("IF(A1598="""","""",INDEX(SPLIT(A1598,"" ""),COUNTA(SPLIT(A1598,"" ""))))"),"Lovero")</f>
        <v>Lovero</v>
      </c>
      <c r="C1598" s="6"/>
      <c r="D1598" s="6" t="s">
        <v>1576</v>
      </c>
      <c r="E1598" s="7" t="s">
        <v>1577</v>
      </c>
    </row>
    <row r="1599">
      <c r="A1599" s="4" t="s">
        <v>1615</v>
      </c>
      <c r="B1599" s="5" t="str">
        <f>IFERROR(__xludf.DUMMYFUNCTION("IF(A1599="""","""",INDEX(SPLIT(A1599,"" ""),COUNTA(SPLIT(A1599,"" ""))))"),"Mantello")</f>
        <v>Mantello</v>
      </c>
      <c r="C1599" s="6"/>
      <c r="D1599" s="6" t="s">
        <v>1576</v>
      </c>
      <c r="E1599" s="7" t="s">
        <v>1577</v>
      </c>
    </row>
    <row r="1600">
      <c r="A1600" s="4" t="s">
        <v>1616</v>
      </c>
      <c r="B1600" s="5" t="str">
        <f>IFERROR(__xludf.DUMMYFUNCTION("IF(A1600="""","""",INDEX(SPLIT(A1600,"" ""),COUNTA(SPLIT(A1600,"" ""))))"),"Valtellina")</f>
        <v>Valtellina</v>
      </c>
      <c r="C1600" s="6"/>
      <c r="D1600" s="6" t="s">
        <v>1576</v>
      </c>
      <c r="E1600" s="7" t="s">
        <v>1577</v>
      </c>
    </row>
    <row r="1601">
      <c r="A1601" s="4" t="s">
        <v>1617</v>
      </c>
      <c r="B1601" s="5" t="str">
        <f>IFERROR(__xludf.DUMMYFUNCTION("IF(A1601="""","""",INDEX(SPLIT(A1601,"" ""),COUNTA(SPLIT(A1601,"" ""))))"),"Mello")</f>
        <v>Mello</v>
      </c>
      <c r="C1601" s="6"/>
      <c r="D1601" s="6" t="s">
        <v>1576</v>
      </c>
      <c r="E1601" s="7" t="s">
        <v>1577</v>
      </c>
    </row>
    <row r="1602">
      <c r="A1602" s="4" t="s">
        <v>1618</v>
      </c>
      <c r="B1602" s="5" t="str">
        <f>IFERROR(__xludf.DUMMYFUNCTION("IF(A1602="""","""",INDEX(SPLIT(A1602,"" ""),COUNTA(SPLIT(A1602,"" ""))))"),"Mese")</f>
        <v>Mese</v>
      </c>
      <c r="C1602" s="6"/>
      <c r="D1602" s="6" t="s">
        <v>1576</v>
      </c>
      <c r="E1602" s="7" t="s">
        <v>1577</v>
      </c>
    </row>
    <row r="1603">
      <c r="A1603" s="4" t="s">
        <v>1619</v>
      </c>
      <c r="B1603" s="5" t="str">
        <f>IFERROR(__xludf.DUMMYFUNCTION("IF(A1603="""","""",INDEX(SPLIT(A1603,"" ""),COUNTA(SPLIT(A1603,"" ""))))"),"Valtellina")</f>
        <v>Valtellina</v>
      </c>
      <c r="C1603" s="6"/>
      <c r="D1603" s="6" t="s">
        <v>1576</v>
      </c>
      <c r="E1603" s="7" t="s">
        <v>1577</v>
      </c>
    </row>
    <row r="1604">
      <c r="A1604" s="4" t="s">
        <v>1620</v>
      </c>
      <c r="B1604" s="5" t="str">
        <f>IFERROR(__xludf.DUMMYFUNCTION("IF(A1604="""","""",INDEX(SPLIT(A1604,"" ""),COUNTA(SPLIT(A1604,"" ""))))"),"Morbegno")</f>
        <v>Morbegno</v>
      </c>
      <c r="C1604" s="6"/>
      <c r="D1604" s="6" t="s">
        <v>1576</v>
      </c>
      <c r="E1604" s="7" t="s">
        <v>1577</v>
      </c>
    </row>
    <row r="1605">
      <c r="A1605" s="4" t="s">
        <v>1621</v>
      </c>
      <c r="B1605" s="5" t="str">
        <f>IFERROR(__xludf.DUMMYFUNCTION("IF(A1605="""","""",INDEX(SPLIT(A1605,"" ""),COUNTA(SPLIT(A1605,"" ""))))"),"Mezzola")</f>
        <v>Mezzola</v>
      </c>
      <c r="C1605" s="6"/>
      <c r="D1605" s="6" t="s">
        <v>1576</v>
      </c>
      <c r="E1605" s="7" t="s">
        <v>1577</v>
      </c>
    </row>
    <row r="1606">
      <c r="A1606" s="4" t="s">
        <v>1622</v>
      </c>
      <c r="B1606" s="5" t="str">
        <f>IFERROR(__xludf.DUMMYFUNCTION("IF(A1606="""","""",INDEX(SPLIT(A1606,"" ""),COUNTA(SPLIT(A1606,"" ""))))"),"Pedesina")</f>
        <v>Pedesina</v>
      </c>
      <c r="C1606" s="6"/>
      <c r="D1606" s="6" t="s">
        <v>1576</v>
      </c>
      <c r="E1606" s="7" t="s">
        <v>1577</v>
      </c>
    </row>
    <row r="1607">
      <c r="A1607" s="4" t="s">
        <v>1623</v>
      </c>
      <c r="B1607" s="5" t="str">
        <f>IFERROR(__xludf.DUMMYFUNCTION("IF(A1607="""","""",INDEX(SPLIT(A1607,"" ""),COUNTA(SPLIT(A1607,"" ""))))"),"Piantedo")</f>
        <v>Piantedo</v>
      </c>
      <c r="C1607" s="6"/>
      <c r="D1607" s="6" t="s">
        <v>1576</v>
      </c>
      <c r="E1607" s="7" t="s">
        <v>1577</v>
      </c>
    </row>
    <row r="1608">
      <c r="A1608" s="4" t="s">
        <v>1624</v>
      </c>
      <c r="B1608" s="5" t="str">
        <f>IFERROR(__xludf.DUMMYFUNCTION("IF(A1608="""","""",INDEX(SPLIT(A1608,"" ""),COUNTA(SPLIT(A1608,"" ""))))"),"Piateda")</f>
        <v>Piateda</v>
      </c>
      <c r="C1608" s="6"/>
      <c r="D1608" s="6" t="s">
        <v>1576</v>
      </c>
      <c r="E1608" s="7" t="s">
        <v>1577</v>
      </c>
    </row>
    <row r="1609">
      <c r="A1609" s="4" t="s">
        <v>1625</v>
      </c>
      <c r="B1609" s="5" t="str">
        <f>IFERROR(__xludf.DUMMYFUNCTION("IF(A1609="""","""",INDEX(SPLIT(A1609,"" ""),COUNTA(SPLIT(A1609,"" ""))))"),"Piuro")</f>
        <v>Piuro</v>
      </c>
      <c r="C1609" s="6"/>
      <c r="D1609" s="6" t="s">
        <v>1576</v>
      </c>
      <c r="E1609" s="7" t="s">
        <v>1577</v>
      </c>
    </row>
    <row r="1610">
      <c r="A1610" s="4" t="s">
        <v>1626</v>
      </c>
      <c r="B1610" s="5" t="str">
        <f>IFERROR(__xludf.DUMMYFUNCTION("IF(A1610="""","""",INDEX(SPLIT(A1610,"" ""),COUNTA(SPLIT(A1610,"" ""))))"),"Poggiridenti")</f>
        <v>Poggiridenti</v>
      </c>
      <c r="C1610" s="6"/>
      <c r="D1610" s="6" t="s">
        <v>1576</v>
      </c>
      <c r="E1610" s="7" t="s">
        <v>1577</v>
      </c>
    </row>
    <row r="1611">
      <c r="A1611" s="4" t="s">
        <v>1627</v>
      </c>
      <c r="B1611" s="5" t="str">
        <f>IFERROR(__xludf.DUMMYFUNCTION("IF(A1611="""","""",INDEX(SPLIT(A1611,"" ""),COUNTA(SPLIT(A1611,"" ""))))"),"Valtellina")</f>
        <v>Valtellina</v>
      </c>
      <c r="C1611" s="6"/>
      <c r="D1611" s="6" t="s">
        <v>1576</v>
      </c>
      <c r="E1611" s="7" t="s">
        <v>1577</v>
      </c>
    </row>
    <row r="1612">
      <c r="A1612" s="4" t="s">
        <v>1628</v>
      </c>
      <c r="B1612" s="5" t="str">
        <f>IFERROR(__xludf.DUMMYFUNCTION("IF(A1612="""","""",INDEX(SPLIT(A1612,"" ""),COUNTA(SPLIT(A1612,"" ""))))"),"Postalesio")</f>
        <v>Postalesio</v>
      </c>
      <c r="C1612" s="6"/>
      <c r="D1612" s="6" t="s">
        <v>1576</v>
      </c>
      <c r="E1612" s="7" t="s">
        <v>1577</v>
      </c>
    </row>
    <row r="1613">
      <c r="A1613" s="4" t="s">
        <v>1629</v>
      </c>
      <c r="B1613" s="5" t="str">
        <f>IFERROR(__xludf.DUMMYFUNCTION("IF(A1613="""","""",INDEX(SPLIT(A1613,"" ""),COUNTA(SPLIT(A1613,"" ""))))"),"Camportaccio")</f>
        <v>Camportaccio</v>
      </c>
      <c r="C1613" s="6"/>
      <c r="D1613" s="6" t="s">
        <v>1576</v>
      </c>
      <c r="E1613" s="7" t="s">
        <v>1577</v>
      </c>
    </row>
    <row r="1614">
      <c r="A1614" s="4" t="s">
        <v>1630</v>
      </c>
      <c r="B1614" s="5" t="str">
        <f>IFERROR(__xludf.DUMMYFUNCTION("IF(A1614="""","""",INDEX(SPLIT(A1614,"" ""),COUNTA(SPLIT(A1614,"" ""))))"),"Rasura")</f>
        <v>Rasura</v>
      </c>
      <c r="C1614" s="6"/>
      <c r="D1614" s="6" t="s">
        <v>1576</v>
      </c>
      <c r="E1614" s="7" t="s">
        <v>1577</v>
      </c>
    </row>
    <row r="1615">
      <c r="A1615" s="4" t="s">
        <v>1631</v>
      </c>
      <c r="B1615" s="5" t="str">
        <f>IFERROR(__xludf.DUMMYFUNCTION("IF(A1615="""","""",INDEX(SPLIT(A1615,"" ""),COUNTA(SPLIT(A1615,"" ""))))"),"Rogolo")</f>
        <v>Rogolo</v>
      </c>
      <c r="C1615" s="6"/>
      <c r="D1615" s="6" t="s">
        <v>1576</v>
      </c>
      <c r="E1615" s="7" t="s">
        <v>1577</v>
      </c>
    </row>
    <row r="1616">
      <c r="A1616" s="4" t="s">
        <v>1632</v>
      </c>
      <c r="B1616" s="5" t="str">
        <f>IFERROR(__xludf.DUMMYFUNCTION("IF(A1616="""","""",INDEX(SPLIT(A1616,"" ""),COUNTA(SPLIT(A1616,"" ""))))"),"Samolaco")</f>
        <v>Samolaco</v>
      </c>
      <c r="C1616" s="6"/>
      <c r="D1616" s="6" t="s">
        <v>1576</v>
      </c>
      <c r="E1616" s="7" t="s">
        <v>1577</v>
      </c>
    </row>
    <row r="1617">
      <c r="A1617" s="4" t="s">
        <v>1633</v>
      </c>
      <c r="B1617" s="5" t="str">
        <f>IFERROR(__xludf.DUMMYFUNCTION("IF(A1617="""","""",INDEX(SPLIT(A1617,"" ""),COUNTA(SPLIT(A1617,"" ""))))"),"Filippo")</f>
        <v>Filippo</v>
      </c>
      <c r="C1617" s="6"/>
      <c r="D1617" s="6" t="s">
        <v>1576</v>
      </c>
      <c r="E1617" s="7" t="s">
        <v>1577</v>
      </c>
    </row>
    <row r="1618">
      <c r="A1618" s="4" t="s">
        <v>1634</v>
      </c>
      <c r="B1618" s="5" t="str">
        <f>IFERROR(__xludf.DUMMYFUNCTION("IF(A1618="""","""",INDEX(SPLIT(A1618,"" ""),COUNTA(SPLIT(A1618,"" ""))))"),"Sernio")</f>
        <v>Sernio</v>
      </c>
      <c r="C1618" s="6"/>
      <c r="D1618" s="6" t="s">
        <v>1576</v>
      </c>
      <c r="E1618" s="7" t="s">
        <v>1577</v>
      </c>
    </row>
    <row r="1619">
      <c r="A1619" s="4" t="s">
        <v>1635</v>
      </c>
      <c r="B1619" s="5" t="str">
        <f>IFERROR(__xludf.DUMMYFUNCTION("IF(A1619="""","""",INDEX(SPLIT(A1619,"" ""),COUNTA(SPLIT(A1619,"" ""))))"),"Sondalo")</f>
        <v>Sondalo</v>
      </c>
      <c r="C1619" s="6"/>
      <c r="D1619" s="6" t="s">
        <v>1576</v>
      </c>
      <c r="E1619" s="7" t="s">
        <v>1577</v>
      </c>
    </row>
    <row r="1620">
      <c r="A1620" s="4" t="s">
        <v>1576</v>
      </c>
      <c r="B1620" s="5" t="str">
        <f>IFERROR(__xludf.DUMMYFUNCTION("IF(A1620="""","""",INDEX(SPLIT(A1620,"" ""),COUNTA(SPLIT(A1620,"" ""))))"),"Sondrio")</f>
        <v>Sondrio</v>
      </c>
      <c r="C1620" s="6"/>
      <c r="D1620" s="6" t="s">
        <v>1576</v>
      </c>
      <c r="E1620" s="7" t="s">
        <v>1577</v>
      </c>
    </row>
    <row r="1621">
      <c r="A1621" s="4" t="s">
        <v>1636</v>
      </c>
      <c r="B1621" s="5" t="str">
        <f>IFERROR(__xludf.DUMMYFUNCTION("IF(A1621="""","""",INDEX(SPLIT(A1621,"" ""),COUNTA(SPLIT(A1621,"" ""))))"),"Spriana")</f>
        <v>Spriana</v>
      </c>
      <c r="C1621" s="6"/>
      <c r="D1621" s="6" t="s">
        <v>1576</v>
      </c>
      <c r="E1621" s="7" t="s">
        <v>1577</v>
      </c>
    </row>
    <row r="1622">
      <c r="A1622" s="4" t="s">
        <v>1637</v>
      </c>
      <c r="B1622" s="5" t="str">
        <f>IFERROR(__xludf.DUMMYFUNCTION("IF(A1622="""","""",INDEX(SPLIT(A1622,"" ""),COUNTA(SPLIT(A1622,"" ""))))"),"Talamona")</f>
        <v>Talamona</v>
      </c>
      <c r="C1622" s="6"/>
      <c r="D1622" s="6" t="s">
        <v>1576</v>
      </c>
      <c r="E1622" s="7" t="s">
        <v>1577</v>
      </c>
    </row>
    <row r="1623">
      <c r="A1623" s="4" t="s">
        <v>1638</v>
      </c>
      <c r="B1623" s="5" t="str">
        <f>IFERROR(__xludf.DUMMYFUNCTION("IF(A1623="""","""",INDEX(SPLIT(A1623,"" ""),COUNTA(SPLIT(A1623,"" ""))))"),"Tartano")</f>
        <v>Tartano</v>
      </c>
      <c r="C1623" s="6"/>
      <c r="D1623" s="6" t="s">
        <v>1576</v>
      </c>
      <c r="E1623" s="7" t="s">
        <v>1577</v>
      </c>
    </row>
    <row r="1624">
      <c r="A1624" s="4" t="s">
        <v>1639</v>
      </c>
      <c r="B1624" s="5" t="str">
        <f>IFERROR(__xludf.DUMMYFUNCTION("IF(A1624="""","""",INDEX(SPLIT(A1624,"" ""),COUNTA(SPLIT(A1624,"" ""))))"),"Teglio")</f>
        <v>Teglio</v>
      </c>
      <c r="C1624" s="6"/>
      <c r="D1624" s="6" t="s">
        <v>1576</v>
      </c>
      <c r="E1624" s="7" t="s">
        <v>1577</v>
      </c>
    </row>
    <row r="1625">
      <c r="A1625" s="4" t="s">
        <v>1640</v>
      </c>
      <c r="B1625" s="5" t="str">
        <f>IFERROR(__xludf.DUMMYFUNCTION("IF(A1625="""","""",INDEX(SPLIT(A1625,"" ""),COUNTA(SPLIT(A1625,"" ""))))"),"Tirano")</f>
        <v>Tirano</v>
      </c>
      <c r="C1625" s="6"/>
      <c r="D1625" s="6" t="s">
        <v>1576</v>
      </c>
      <c r="E1625" s="7" t="s">
        <v>1577</v>
      </c>
    </row>
    <row r="1626">
      <c r="A1626" s="4" t="s">
        <v>1641</v>
      </c>
      <c r="B1626" s="5" t="str">
        <f>IFERROR(__xludf.DUMMYFUNCTION("IF(A1626="""","""",INDEX(SPLIT(A1626,"" ""),COUNTA(SPLIT(A1626,"" ""))))"),"Maria")</f>
        <v>Maria</v>
      </c>
      <c r="C1626" s="6"/>
      <c r="D1626" s="6" t="s">
        <v>1576</v>
      </c>
      <c r="E1626" s="7" t="s">
        <v>1577</v>
      </c>
    </row>
    <row r="1627">
      <c r="A1627" s="4" t="s">
        <v>1642</v>
      </c>
      <c r="B1627" s="5" t="str">
        <f>IFERROR(__xludf.DUMMYFUNCTION("IF(A1627="""","""",INDEX(SPLIT(A1627,"" ""),COUNTA(SPLIT(A1627,"" ""))))"),"Sant'Agata")</f>
        <v>Sant'Agata</v>
      </c>
      <c r="C1627" s="6"/>
      <c r="D1627" s="6" t="s">
        <v>1576</v>
      </c>
      <c r="E1627" s="7" t="s">
        <v>1577</v>
      </c>
    </row>
    <row r="1628">
      <c r="A1628" s="4" t="s">
        <v>1643</v>
      </c>
      <c r="B1628" s="5" t="str">
        <f>IFERROR(__xludf.DUMMYFUNCTION("IF(A1628="""","""",INDEX(SPLIT(A1628,"" ""),COUNTA(SPLIT(A1628,"" ""))))"),"Traona")</f>
        <v>Traona</v>
      </c>
      <c r="C1628" s="6"/>
      <c r="D1628" s="6" t="s">
        <v>1576</v>
      </c>
      <c r="E1628" s="7" t="s">
        <v>1577</v>
      </c>
    </row>
    <row r="1629">
      <c r="A1629" s="4" t="s">
        <v>1644</v>
      </c>
      <c r="B1629" s="5" t="str">
        <f>IFERROR(__xludf.DUMMYFUNCTION("IF(A1629="""","""",INDEX(SPLIT(A1629,"" ""),COUNTA(SPLIT(A1629,"" ""))))"),"Tresivio")</f>
        <v>Tresivio</v>
      </c>
      <c r="C1629" s="6"/>
      <c r="D1629" s="6" t="s">
        <v>1576</v>
      </c>
      <c r="E1629" s="7" t="s">
        <v>1577</v>
      </c>
    </row>
    <row r="1630">
      <c r="A1630" s="4" t="s">
        <v>1645</v>
      </c>
      <c r="B1630" s="5" t="str">
        <f>IFERROR(__xludf.DUMMYFUNCTION("IF(A1630="""","""",INDEX(SPLIT(A1630,"" ""),COUNTA(SPLIT(A1630,"" ""))))"),"Valdidentro")</f>
        <v>Valdidentro</v>
      </c>
      <c r="C1630" s="6"/>
      <c r="D1630" s="6" t="s">
        <v>1576</v>
      </c>
      <c r="E1630" s="7" t="s">
        <v>1577</v>
      </c>
    </row>
    <row r="1631">
      <c r="A1631" s="4" t="s">
        <v>1646</v>
      </c>
      <c r="B1631" s="5" t="str">
        <f>IFERROR(__xludf.DUMMYFUNCTION("IF(A1631="""","""",INDEX(SPLIT(A1631,"" ""),COUNTA(SPLIT(A1631,"" ""))))"),"Valdisotto")</f>
        <v>Valdisotto</v>
      </c>
      <c r="C1631" s="6"/>
      <c r="D1631" s="6" t="s">
        <v>1576</v>
      </c>
      <c r="E1631" s="7" t="s">
        <v>1577</v>
      </c>
    </row>
    <row r="1632">
      <c r="A1632" s="4" t="s">
        <v>1647</v>
      </c>
      <c r="B1632" s="5" t="str">
        <f>IFERROR(__xludf.DUMMYFUNCTION("IF(A1632="""","""",INDEX(SPLIT(A1632,"" ""),COUNTA(SPLIT(A1632,"" ""))))"),"Valfurva")</f>
        <v>Valfurva</v>
      </c>
      <c r="C1632" s="6"/>
      <c r="D1632" s="6" t="s">
        <v>1576</v>
      </c>
      <c r="E1632" s="7" t="s">
        <v>1577</v>
      </c>
    </row>
    <row r="1633">
      <c r="A1633" s="4" t="s">
        <v>1648</v>
      </c>
      <c r="B1633" s="5" t="str">
        <f>IFERROR(__xludf.DUMMYFUNCTION("IF(A1633="""","""",INDEX(SPLIT(A1633,"" ""),COUNTA(SPLIT(A1633,"" ""))))"),"Masino")</f>
        <v>Masino</v>
      </c>
      <c r="C1633" s="6"/>
      <c r="D1633" s="6" t="s">
        <v>1576</v>
      </c>
      <c r="E1633" s="7" t="s">
        <v>1577</v>
      </c>
    </row>
    <row r="1634">
      <c r="A1634" s="4" t="s">
        <v>1649</v>
      </c>
      <c r="B1634" s="5" t="str">
        <f>IFERROR(__xludf.DUMMYFUNCTION("IF(A1634="""","""",INDEX(SPLIT(A1634,"" ""),COUNTA(SPLIT(A1634,"" ""))))"),"Verceia")</f>
        <v>Verceia</v>
      </c>
      <c r="C1634" s="6"/>
      <c r="D1634" s="6" t="s">
        <v>1576</v>
      </c>
      <c r="E1634" s="7" t="s">
        <v>1577</v>
      </c>
    </row>
    <row r="1635">
      <c r="A1635" s="4" t="s">
        <v>1650</v>
      </c>
      <c r="B1635" s="5" t="str">
        <f>IFERROR(__xludf.DUMMYFUNCTION("IF(A1635="""","""",INDEX(SPLIT(A1635,"" ""),COUNTA(SPLIT(A1635,"" ""))))"),"Vervio")</f>
        <v>Vervio</v>
      </c>
      <c r="C1635" s="6"/>
      <c r="D1635" s="6" t="s">
        <v>1576</v>
      </c>
      <c r="E1635" s="7" t="s">
        <v>1577</v>
      </c>
    </row>
    <row r="1636">
      <c r="A1636" s="4" t="s">
        <v>1651</v>
      </c>
      <c r="B1636" s="5" t="str">
        <f>IFERROR(__xludf.DUMMYFUNCTION("IF(A1636="""","""",INDEX(SPLIT(A1636,"" ""),COUNTA(SPLIT(A1636,"" ""))))"),"Chiavenna")</f>
        <v>Chiavenna</v>
      </c>
      <c r="C1636" s="6"/>
      <c r="D1636" s="6" t="s">
        <v>1576</v>
      </c>
      <c r="E1636" s="7" t="s">
        <v>1577</v>
      </c>
    </row>
    <row r="1637">
      <c r="A1637" s="4" t="s">
        <v>1652</v>
      </c>
      <c r="B1637" s="5" t="str">
        <f>IFERROR(__xludf.DUMMYFUNCTION("IF(A1637="""","""",INDEX(SPLIT(A1637,"" ""),COUNTA(SPLIT(A1637,"" ""))))"),"Tirano")</f>
        <v>Tirano</v>
      </c>
      <c r="C1637" s="6"/>
      <c r="D1637" s="6" t="s">
        <v>1576</v>
      </c>
      <c r="E1637" s="7" t="s">
        <v>1577</v>
      </c>
    </row>
    <row r="1638">
      <c r="A1638" s="4" t="s">
        <v>1653</v>
      </c>
      <c r="B1638" s="5" t="str">
        <f>IFERROR(__xludf.DUMMYFUNCTION("IF(A1638="""","""",INDEX(SPLIT(A1638,"" ""),COUNTA(SPLIT(A1638,"" ""))))"),"Abbiategrasso")</f>
        <v>Abbiategrasso</v>
      </c>
      <c r="C1638" s="6" t="s">
        <v>1654</v>
      </c>
      <c r="D1638" s="6"/>
      <c r="E1638" s="7" t="s">
        <v>1655</v>
      </c>
    </row>
    <row r="1639">
      <c r="A1639" s="4" t="s">
        <v>1656</v>
      </c>
      <c r="B1639" s="5" t="str">
        <f>IFERROR(__xludf.DUMMYFUNCTION("IF(A1639="""","""",INDEX(SPLIT(A1639,"" ""),COUNTA(SPLIT(A1639,"" ""))))"),"Albairate")</f>
        <v>Albairate</v>
      </c>
      <c r="C1639" s="6" t="s">
        <v>1654</v>
      </c>
      <c r="D1639" s="6"/>
      <c r="E1639" s="7" t="s">
        <v>1655</v>
      </c>
    </row>
    <row r="1640">
      <c r="A1640" s="4" t="s">
        <v>1657</v>
      </c>
      <c r="B1640" s="5" t="str">
        <f>IFERROR(__xludf.DUMMYFUNCTION("IF(A1640="""","""",INDEX(SPLIT(A1640,"" ""),COUNTA(SPLIT(A1640,"" ""))))"),"Arconate")</f>
        <v>Arconate</v>
      </c>
      <c r="C1640" s="6" t="s">
        <v>1654</v>
      </c>
      <c r="D1640" s="6"/>
      <c r="E1640" s="7" t="s">
        <v>1655</v>
      </c>
    </row>
    <row r="1641">
      <c r="A1641" s="4" t="s">
        <v>1658</v>
      </c>
      <c r="B1641" s="5" t="str">
        <f>IFERROR(__xludf.DUMMYFUNCTION("IF(A1641="""","""",INDEX(SPLIT(A1641,"" ""),COUNTA(SPLIT(A1641,"" ""))))"),"Arese")</f>
        <v>Arese</v>
      </c>
      <c r="C1641" s="6" t="s">
        <v>1654</v>
      </c>
      <c r="D1641" s="6"/>
      <c r="E1641" s="7" t="s">
        <v>1655</v>
      </c>
    </row>
    <row r="1642">
      <c r="A1642" s="4" t="s">
        <v>1659</v>
      </c>
      <c r="B1642" s="5" t="str">
        <f>IFERROR(__xludf.DUMMYFUNCTION("IF(A1642="""","""",INDEX(SPLIT(A1642,"" ""),COUNTA(SPLIT(A1642,"" ""))))"),"Arluno")</f>
        <v>Arluno</v>
      </c>
      <c r="C1642" s="6" t="s">
        <v>1654</v>
      </c>
      <c r="D1642" s="6"/>
      <c r="E1642" s="7" t="s">
        <v>1655</v>
      </c>
    </row>
    <row r="1643">
      <c r="A1643" s="4" t="s">
        <v>1660</v>
      </c>
      <c r="B1643" s="5" t="str">
        <f>IFERROR(__xludf.DUMMYFUNCTION("IF(A1643="""","""",INDEX(SPLIT(A1643,"" ""),COUNTA(SPLIT(A1643,"" ""))))"),"Assago")</f>
        <v>Assago</v>
      </c>
      <c r="C1643" s="6" t="s">
        <v>1654</v>
      </c>
      <c r="D1643" s="6"/>
      <c r="E1643" s="7" t="s">
        <v>1655</v>
      </c>
    </row>
    <row r="1644">
      <c r="A1644" s="4" t="s">
        <v>1661</v>
      </c>
      <c r="B1644" s="5" t="str">
        <f>IFERROR(__xludf.DUMMYFUNCTION("IF(A1644="""","""",INDEX(SPLIT(A1644,"" ""),COUNTA(SPLIT(A1644,"" ""))))"),"Bareggio")</f>
        <v>Bareggio</v>
      </c>
      <c r="C1644" s="6" t="s">
        <v>1654</v>
      </c>
      <c r="D1644" s="6"/>
      <c r="E1644" s="7" t="s">
        <v>1655</v>
      </c>
    </row>
    <row r="1645">
      <c r="A1645" s="4" t="s">
        <v>1662</v>
      </c>
      <c r="B1645" s="5" t="str">
        <f>IFERROR(__xludf.DUMMYFUNCTION("IF(A1645="""","""",INDEX(SPLIT(A1645,"" ""),COUNTA(SPLIT(A1645,"" ""))))"),"Basiano")</f>
        <v>Basiano</v>
      </c>
      <c r="C1645" s="6" t="s">
        <v>1654</v>
      </c>
      <c r="D1645" s="6"/>
      <c r="E1645" s="7" t="s">
        <v>1655</v>
      </c>
    </row>
    <row r="1646">
      <c r="A1646" s="4" t="s">
        <v>1663</v>
      </c>
      <c r="B1646" s="5" t="str">
        <f>IFERROR(__xludf.DUMMYFUNCTION("IF(A1646="""","""",INDEX(SPLIT(A1646,"" ""),COUNTA(SPLIT(A1646,"" ""))))"),"Basiglio")</f>
        <v>Basiglio</v>
      </c>
      <c r="C1646" s="6" t="s">
        <v>1654</v>
      </c>
      <c r="D1646" s="6"/>
      <c r="E1646" s="7" t="s">
        <v>1655</v>
      </c>
    </row>
    <row r="1647">
      <c r="A1647" s="4" t="s">
        <v>1664</v>
      </c>
      <c r="B1647" s="5" t="str">
        <f>IFERROR(__xludf.DUMMYFUNCTION("IF(A1647="""","""",INDEX(SPLIT(A1647,"" ""),COUNTA(SPLIT(A1647,"" ""))))"),"Lombardo")</f>
        <v>Lombardo</v>
      </c>
      <c r="C1647" s="6" t="s">
        <v>1654</v>
      </c>
      <c r="D1647" s="6"/>
      <c r="E1647" s="7" t="s">
        <v>1655</v>
      </c>
    </row>
    <row r="1648">
      <c r="A1648" s="4" t="s">
        <v>1665</v>
      </c>
      <c r="B1648" s="5" t="str">
        <f>IFERROR(__xludf.DUMMYFUNCTION("IF(A1648="""","""",INDEX(SPLIT(A1648,"" ""),COUNTA(SPLIT(A1648,"" ""))))"),"Ticino")</f>
        <v>Ticino</v>
      </c>
      <c r="C1648" s="6" t="s">
        <v>1654</v>
      </c>
      <c r="D1648" s="6"/>
      <c r="E1648" s="7" t="s">
        <v>1655</v>
      </c>
    </row>
    <row r="1649">
      <c r="A1649" s="4" t="s">
        <v>1666</v>
      </c>
      <c r="B1649" s="5" t="str">
        <f>IFERROR(__xludf.DUMMYFUNCTION("IF(A1649="""","""",INDEX(SPLIT(A1649,"" ""),COUNTA(SPLIT(A1649,"" ""))))"),"Besate")</f>
        <v>Besate</v>
      </c>
      <c r="C1649" s="6" t="s">
        <v>1654</v>
      </c>
      <c r="D1649" s="6"/>
      <c r="E1649" s="7" t="s">
        <v>1655</v>
      </c>
    </row>
    <row r="1650">
      <c r="A1650" s="4" t="s">
        <v>1667</v>
      </c>
      <c r="B1650" s="5" t="str">
        <f>IFERROR(__xludf.DUMMYFUNCTION("IF(A1650="""","""",INDEX(SPLIT(A1650,"" ""),COUNTA(SPLIT(A1650,"" ""))))"),"Binasco")</f>
        <v>Binasco</v>
      </c>
      <c r="C1650" s="6" t="s">
        <v>1654</v>
      </c>
      <c r="D1650" s="6"/>
      <c r="E1650" s="7" t="s">
        <v>1655</v>
      </c>
    </row>
    <row r="1651">
      <c r="A1651" s="4" t="s">
        <v>1668</v>
      </c>
      <c r="B1651" s="5" t="str">
        <f>IFERROR(__xludf.DUMMYFUNCTION("IF(A1651="""","""",INDEX(SPLIT(A1651,"" ""),COUNTA(SPLIT(A1651,"" ""))))"),"Ticino")</f>
        <v>Ticino</v>
      </c>
      <c r="C1651" s="6" t="s">
        <v>1654</v>
      </c>
      <c r="D1651" s="6"/>
      <c r="E1651" s="7" t="s">
        <v>1655</v>
      </c>
    </row>
    <row r="1652">
      <c r="A1652" s="4" t="s">
        <v>1669</v>
      </c>
      <c r="B1652" s="5" t="str">
        <f>IFERROR(__xludf.DUMMYFUNCTION("IF(A1652="""","""",INDEX(SPLIT(A1652,"" ""),COUNTA(SPLIT(A1652,"" ""))))"),"Bollate")</f>
        <v>Bollate</v>
      </c>
      <c r="C1652" s="6" t="s">
        <v>1654</v>
      </c>
      <c r="D1652" s="6"/>
      <c r="E1652" s="7" t="s">
        <v>1655</v>
      </c>
    </row>
    <row r="1653">
      <c r="A1653" s="4" t="s">
        <v>1670</v>
      </c>
      <c r="B1653" s="5" t="str">
        <f>IFERROR(__xludf.DUMMYFUNCTION("IF(A1653="""","""",INDEX(SPLIT(A1653,"" ""),COUNTA(SPLIT(A1653,"" ""))))"),"Bresso")</f>
        <v>Bresso</v>
      </c>
      <c r="C1653" s="6" t="s">
        <v>1654</v>
      </c>
      <c r="D1653" s="6"/>
      <c r="E1653" s="7" t="s">
        <v>1655</v>
      </c>
    </row>
    <row r="1654">
      <c r="A1654" s="4" t="s">
        <v>1671</v>
      </c>
      <c r="B1654" s="5" t="str">
        <f>IFERROR(__xludf.DUMMYFUNCTION("IF(A1654="""","""",INDEX(SPLIT(A1654,"" ""),COUNTA(SPLIT(A1654,"" ""))))"),"Bubbiano")</f>
        <v>Bubbiano</v>
      </c>
      <c r="C1654" s="6" t="s">
        <v>1654</v>
      </c>
      <c r="D1654" s="6"/>
      <c r="E1654" s="7" t="s">
        <v>1655</v>
      </c>
    </row>
    <row r="1655">
      <c r="A1655" s="4" t="s">
        <v>1672</v>
      </c>
      <c r="B1655" s="5" t="str">
        <f>IFERROR(__xludf.DUMMYFUNCTION("IF(A1655="""","""",INDEX(SPLIT(A1655,"" ""),COUNTA(SPLIT(A1655,"" ""))))"),"Buccinasco")</f>
        <v>Buccinasco</v>
      </c>
      <c r="C1655" s="6" t="s">
        <v>1654</v>
      </c>
      <c r="D1655" s="6"/>
      <c r="E1655" s="7" t="s">
        <v>1655</v>
      </c>
    </row>
    <row r="1656">
      <c r="A1656" s="4" t="s">
        <v>1673</v>
      </c>
      <c r="B1656" s="5" t="str">
        <f>IFERROR(__xludf.DUMMYFUNCTION("IF(A1656="""","""",INDEX(SPLIT(A1656,"" ""),COUNTA(SPLIT(A1656,"" ""))))"),"Buscate")</f>
        <v>Buscate</v>
      </c>
      <c r="C1656" s="6" t="s">
        <v>1654</v>
      </c>
      <c r="D1656" s="6"/>
      <c r="E1656" s="7" t="s">
        <v>1655</v>
      </c>
    </row>
    <row r="1657">
      <c r="A1657" s="4" t="s">
        <v>1674</v>
      </c>
      <c r="B1657" s="5" t="str">
        <f>IFERROR(__xludf.DUMMYFUNCTION("IF(A1657="""","""",INDEX(SPLIT(A1657,"" ""),COUNTA(SPLIT(A1657,"" ""))))"),"Bussero")</f>
        <v>Bussero</v>
      </c>
      <c r="C1657" s="6" t="s">
        <v>1654</v>
      </c>
      <c r="D1657" s="6"/>
      <c r="E1657" s="7" t="s">
        <v>1655</v>
      </c>
    </row>
    <row r="1658">
      <c r="A1658" s="4" t="s">
        <v>1675</v>
      </c>
      <c r="B1658" s="5" t="str">
        <f>IFERROR(__xludf.DUMMYFUNCTION("IF(A1658="""","""",INDEX(SPLIT(A1658,"" ""),COUNTA(SPLIT(A1658,"" ""))))"),"Garolfo")</f>
        <v>Garolfo</v>
      </c>
      <c r="C1658" s="6" t="s">
        <v>1654</v>
      </c>
      <c r="D1658" s="6"/>
      <c r="E1658" s="7" t="s">
        <v>1655</v>
      </c>
    </row>
    <row r="1659">
      <c r="A1659" s="4" t="s">
        <v>1676</v>
      </c>
      <c r="B1659" s="5" t="str">
        <f>IFERROR(__xludf.DUMMYFUNCTION("IF(A1659="""","""",INDEX(SPLIT(A1659,"" ""),COUNTA(SPLIT(A1659,"" ""))))"),"Calvignasco")</f>
        <v>Calvignasco</v>
      </c>
      <c r="C1659" s="6" t="s">
        <v>1654</v>
      </c>
      <c r="D1659" s="6"/>
      <c r="E1659" s="7" t="s">
        <v>1655</v>
      </c>
    </row>
    <row r="1660">
      <c r="A1660" s="4" t="s">
        <v>1677</v>
      </c>
      <c r="B1660" s="5" t="str">
        <f>IFERROR(__xludf.DUMMYFUNCTION("IF(A1660="""","""",INDEX(SPLIT(A1660,"" ""),COUNTA(SPLIT(A1660,"" ""))))"),"Cambiago")</f>
        <v>Cambiago</v>
      </c>
      <c r="C1660" s="6" t="s">
        <v>1654</v>
      </c>
      <c r="D1660" s="6"/>
      <c r="E1660" s="7" t="s">
        <v>1655</v>
      </c>
    </row>
    <row r="1661">
      <c r="A1661" s="4" t="s">
        <v>1678</v>
      </c>
      <c r="B1661" s="5" t="str">
        <f>IFERROR(__xludf.DUMMYFUNCTION("IF(A1661="""","""",INDEX(SPLIT(A1661,"" ""),COUNTA(SPLIT(A1661,"" ""))))"),"Canegrate")</f>
        <v>Canegrate</v>
      </c>
      <c r="C1661" s="6" t="s">
        <v>1654</v>
      </c>
      <c r="D1661" s="6"/>
      <c r="E1661" s="7" t="s">
        <v>1655</v>
      </c>
    </row>
    <row r="1662">
      <c r="A1662" s="4" t="s">
        <v>1679</v>
      </c>
      <c r="B1662" s="5" t="str">
        <f>IFERROR(__xludf.DUMMYFUNCTION("IF(A1662="""","""",INDEX(SPLIT(A1662,"" ""),COUNTA(SPLIT(A1662,"" ""))))"),"Carpiano")</f>
        <v>Carpiano</v>
      </c>
      <c r="C1662" s="6" t="s">
        <v>1654</v>
      </c>
      <c r="D1662" s="6"/>
      <c r="E1662" s="7" t="s">
        <v>1655</v>
      </c>
    </row>
    <row r="1663">
      <c r="A1663" s="4" t="s">
        <v>1680</v>
      </c>
      <c r="B1663" s="5" t="str">
        <f>IFERROR(__xludf.DUMMYFUNCTION("IF(A1663="""","""",INDEX(SPLIT(A1663,"" ""),COUNTA(SPLIT(A1663,"" ""))))"),"Carugate")</f>
        <v>Carugate</v>
      </c>
      <c r="C1663" s="6" t="s">
        <v>1654</v>
      </c>
      <c r="D1663" s="6"/>
      <c r="E1663" s="7" t="s">
        <v>1655</v>
      </c>
    </row>
    <row r="1664">
      <c r="A1664" s="4" t="s">
        <v>1681</v>
      </c>
      <c r="B1664" s="5" t="str">
        <f>IFERROR(__xludf.DUMMYFUNCTION("IF(A1664="""","""",INDEX(SPLIT(A1664,"" ""),COUNTA(SPLIT(A1664,"" ""))))"),"Casarile")</f>
        <v>Casarile</v>
      </c>
      <c r="C1664" s="6" t="s">
        <v>1654</v>
      </c>
      <c r="D1664" s="6"/>
      <c r="E1664" s="7" t="s">
        <v>1655</v>
      </c>
    </row>
    <row r="1665">
      <c r="A1665" s="4" t="s">
        <v>1682</v>
      </c>
      <c r="B1665" s="5" t="str">
        <f>IFERROR(__xludf.DUMMYFUNCTION("IF(A1665="""","""",INDEX(SPLIT(A1665,"" ""),COUNTA(SPLIT(A1665,"" ""))))"),"Casorezzo")</f>
        <v>Casorezzo</v>
      </c>
      <c r="C1665" s="6" t="s">
        <v>1654</v>
      </c>
      <c r="D1665" s="6"/>
      <c r="E1665" s="7" t="s">
        <v>1655</v>
      </c>
    </row>
    <row r="1666">
      <c r="A1666" s="4" t="s">
        <v>1683</v>
      </c>
      <c r="B1666" s="5" t="str">
        <f>IFERROR(__xludf.DUMMYFUNCTION("IF(A1666="""","""",INDEX(SPLIT(A1666,"" ""),COUNTA(SPLIT(A1666,"" ""))))"),"d'Adda")</f>
        <v>d'Adda</v>
      </c>
      <c r="C1666" s="6" t="s">
        <v>1654</v>
      </c>
      <c r="D1666" s="6"/>
      <c r="E1666" s="7" t="s">
        <v>1655</v>
      </c>
    </row>
    <row r="1667">
      <c r="A1667" s="4" t="s">
        <v>1684</v>
      </c>
      <c r="B1667" s="5" t="str">
        <f>IFERROR(__xludf.DUMMYFUNCTION("IF(A1667="""","""",INDEX(SPLIT(A1667,"" ""),COUNTA(SPLIT(A1667,"" ""))))"),"Pecchi")</f>
        <v>Pecchi</v>
      </c>
      <c r="C1667" s="6" t="s">
        <v>1654</v>
      </c>
      <c r="D1667" s="6"/>
      <c r="E1667" s="7" t="s">
        <v>1655</v>
      </c>
    </row>
    <row r="1668">
      <c r="A1668" s="4" t="s">
        <v>1685</v>
      </c>
      <c r="B1668" s="5" t="str">
        <f>IFERROR(__xludf.DUMMYFUNCTION("IF(A1668="""","""",INDEX(SPLIT(A1668,"" ""),COUNTA(SPLIT(A1668,"" ""))))"),"Lugagnano")</f>
        <v>Lugagnano</v>
      </c>
      <c r="C1668" s="6" t="s">
        <v>1654</v>
      </c>
      <c r="D1668" s="6"/>
      <c r="E1668" s="7" t="s">
        <v>1655</v>
      </c>
    </row>
    <row r="1669">
      <c r="A1669" s="4" t="s">
        <v>1686</v>
      </c>
      <c r="B1669" s="5" t="str">
        <f>IFERROR(__xludf.DUMMYFUNCTION("IF(A1669="""","""",INDEX(SPLIT(A1669,"" ""),COUNTA(SPLIT(A1669,"" ""))))"),"Primo")</f>
        <v>Primo</v>
      </c>
      <c r="C1669" s="6" t="s">
        <v>1654</v>
      </c>
      <c r="D1669" s="6"/>
      <c r="E1669" s="7" t="s">
        <v>1655</v>
      </c>
    </row>
    <row r="1670">
      <c r="A1670" s="4" t="s">
        <v>1687</v>
      </c>
      <c r="B1670" s="5" t="str">
        <f>IFERROR(__xludf.DUMMYFUNCTION("IF(A1670="""","""",INDEX(SPLIT(A1670,"" ""),COUNTA(SPLIT(A1670,"" ""))))"),"Naviglio")</f>
        <v>Naviglio</v>
      </c>
      <c r="C1670" s="6" t="s">
        <v>1654</v>
      </c>
      <c r="D1670" s="6"/>
      <c r="E1670" s="7" t="s">
        <v>1655</v>
      </c>
    </row>
    <row r="1671">
      <c r="A1671" s="4" t="s">
        <v>1688</v>
      </c>
      <c r="B1671" s="5" t="str">
        <f>IFERROR(__xludf.DUMMYFUNCTION("IF(A1671="""","""",INDEX(SPLIT(A1671,"" ""),COUNTA(SPLIT(A1671,"" ""))))"),"Lambro")</f>
        <v>Lambro</v>
      </c>
      <c r="C1671" s="6" t="s">
        <v>1654</v>
      </c>
      <c r="D1671" s="6"/>
      <c r="E1671" s="7" t="s">
        <v>1655</v>
      </c>
    </row>
    <row r="1672">
      <c r="A1672" s="4" t="s">
        <v>1689</v>
      </c>
      <c r="B1672" s="5" t="str">
        <f>IFERROR(__xludf.DUMMYFUNCTION("IF(A1672="""","""",INDEX(SPLIT(A1672,"" ""),COUNTA(SPLIT(A1672,"" ""))))"),"Maggiore")</f>
        <v>Maggiore</v>
      </c>
      <c r="C1672" s="6" t="s">
        <v>1654</v>
      </c>
      <c r="D1672" s="6"/>
      <c r="E1672" s="7" t="s">
        <v>1655</v>
      </c>
    </row>
    <row r="1673">
      <c r="A1673" s="4" t="s">
        <v>1690</v>
      </c>
      <c r="B1673" s="5" t="str">
        <f>IFERROR(__xludf.DUMMYFUNCTION("IF(A1673="""","""",INDEX(SPLIT(A1673,"" ""),COUNTA(SPLIT(A1673,"" ""))))"),"Boscone")</f>
        <v>Boscone</v>
      </c>
      <c r="C1673" s="6" t="s">
        <v>1654</v>
      </c>
      <c r="D1673" s="6"/>
      <c r="E1673" s="7" t="s">
        <v>1655</v>
      </c>
    </row>
    <row r="1674">
      <c r="A1674" s="4" t="s">
        <v>1691</v>
      </c>
      <c r="B1674" s="5" t="str">
        <f>IFERROR(__xludf.DUMMYFUNCTION("IF(A1674="""","""",INDEX(SPLIT(A1674,"" ""),COUNTA(SPLIT(A1674,"" ""))))"),"Cesate")</f>
        <v>Cesate</v>
      </c>
      <c r="C1674" s="6" t="s">
        <v>1654</v>
      </c>
      <c r="D1674" s="6"/>
      <c r="E1674" s="7" t="s">
        <v>1655</v>
      </c>
    </row>
    <row r="1675">
      <c r="A1675" s="4" t="s">
        <v>1692</v>
      </c>
      <c r="B1675" s="5" t="str">
        <f>IFERROR(__xludf.DUMMYFUNCTION("IF(A1675="""","""",INDEX(SPLIT(A1675,"" ""),COUNTA(SPLIT(A1675,"" ""))))"),"Balsamo")</f>
        <v>Balsamo</v>
      </c>
      <c r="C1675" s="6" t="s">
        <v>1654</v>
      </c>
      <c r="D1675" s="6"/>
      <c r="E1675" s="7" t="s">
        <v>1655</v>
      </c>
    </row>
    <row r="1676">
      <c r="A1676" s="4" t="s">
        <v>1693</v>
      </c>
      <c r="B1676" s="5" t="str">
        <f>IFERROR(__xludf.DUMMYFUNCTION("IF(A1676="""","""",INDEX(SPLIT(A1676,"" ""),COUNTA(SPLIT(A1676,"" ""))))"),"Cisliano")</f>
        <v>Cisliano</v>
      </c>
      <c r="C1676" s="6" t="s">
        <v>1654</v>
      </c>
      <c r="D1676" s="6"/>
      <c r="E1676" s="7" t="s">
        <v>1655</v>
      </c>
    </row>
    <row r="1677">
      <c r="A1677" s="4" t="s">
        <v>1694</v>
      </c>
      <c r="B1677" s="5" t="str">
        <f>IFERROR(__xludf.DUMMYFUNCTION("IF(A1677="""","""",INDEX(SPLIT(A1677,"" ""),COUNTA(SPLIT(A1677,"" ""))))"),"Monzese")</f>
        <v>Monzese</v>
      </c>
      <c r="C1677" s="6" t="s">
        <v>1654</v>
      </c>
      <c r="D1677" s="6"/>
      <c r="E1677" s="7" t="s">
        <v>1655</v>
      </c>
    </row>
    <row r="1678">
      <c r="A1678" s="4" t="s">
        <v>1695</v>
      </c>
      <c r="B1678" s="5" t="str">
        <f>IFERROR(__xludf.DUMMYFUNCTION("IF(A1678="""","""",INDEX(SPLIT(A1678,"" ""),COUNTA(SPLIT(A1678,"" ""))))"),"Colturano")</f>
        <v>Colturano</v>
      </c>
      <c r="C1678" s="6" t="s">
        <v>1654</v>
      </c>
      <c r="D1678" s="6"/>
      <c r="E1678" s="7" t="s">
        <v>1655</v>
      </c>
    </row>
    <row r="1679">
      <c r="A1679" s="4" t="s">
        <v>1696</v>
      </c>
      <c r="B1679" s="5" t="str">
        <f>IFERROR(__xludf.DUMMYFUNCTION("IF(A1679="""","""",INDEX(SPLIT(A1679,"" ""),COUNTA(SPLIT(A1679,"" ""))))"),"Corbetta")</f>
        <v>Corbetta</v>
      </c>
      <c r="C1679" s="6" t="s">
        <v>1654</v>
      </c>
      <c r="D1679" s="6"/>
      <c r="E1679" s="7" t="s">
        <v>1655</v>
      </c>
    </row>
    <row r="1680">
      <c r="A1680" s="4" t="s">
        <v>1697</v>
      </c>
      <c r="B1680" s="5" t="str">
        <f>IFERROR(__xludf.DUMMYFUNCTION("IF(A1680="""","""",INDEX(SPLIT(A1680,"" ""),COUNTA(SPLIT(A1680,"" ""))))"),"Cormano")</f>
        <v>Cormano</v>
      </c>
      <c r="C1680" s="6" t="s">
        <v>1654</v>
      </c>
      <c r="D1680" s="6"/>
      <c r="E1680" s="7" t="s">
        <v>1655</v>
      </c>
    </row>
    <row r="1681">
      <c r="A1681" s="4" t="s">
        <v>1698</v>
      </c>
      <c r="B1681" s="5" t="str">
        <f>IFERROR(__xludf.DUMMYFUNCTION("IF(A1681="""","""",INDEX(SPLIT(A1681,"" ""),COUNTA(SPLIT(A1681,"" ""))))"),"Cornaredo")</f>
        <v>Cornaredo</v>
      </c>
      <c r="C1681" s="6" t="s">
        <v>1654</v>
      </c>
      <c r="D1681" s="6"/>
      <c r="E1681" s="7" t="s">
        <v>1655</v>
      </c>
    </row>
    <row r="1682">
      <c r="A1682" s="4" t="s">
        <v>1699</v>
      </c>
      <c r="B1682" s="5" t="str">
        <f>IFERROR(__xludf.DUMMYFUNCTION("IF(A1682="""","""",INDEX(SPLIT(A1682,"" ""),COUNTA(SPLIT(A1682,"" ""))))"),"Corsico")</f>
        <v>Corsico</v>
      </c>
      <c r="C1682" s="6" t="s">
        <v>1654</v>
      </c>
      <c r="D1682" s="6"/>
      <c r="E1682" s="7" t="s">
        <v>1655</v>
      </c>
    </row>
    <row r="1683">
      <c r="A1683" s="4" t="s">
        <v>1700</v>
      </c>
      <c r="B1683" s="5" t="str">
        <f>IFERROR(__xludf.DUMMYFUNCTION("IF(A1683="""","""",INDEX(SPLIT(A1683,"" ""),COUNTA(SPLIT(A1683,"" ""))))"),"Cuggiono")</f>
        <v>Cuggiono</v>
      </c>
      <c r="C1683" s="6" t="s">
        <v>1654</v>
      </c>
      <c r="D1683" s="6"/>
      <c r="E1683" s="7" t="s">
        <v>1655</v>
      </c>
    </row>
    <row r="1684">
      <c r="A1684" s="4" t="s">
        <v>1701</v>
      </c>
      <c r="B1684" s="5" t="str">
        <f>IFERROR(__xludf.DUMMYFUNCTION("IF(A1684="""","""",INDEX(SPLIT(A1684,"" ""),COUNTA(SPLIT(A1684,"" ""))))"),"Cusago")</f>
        <v>Cusago</v>
      </c>
      <c r="C1684" s="6" t="s">
        <v>1654</v>
      </c>
      <c r="D1684" s="6"/>
      <c r="E1684" s="7" t="s">
        <v>1655</v>
      </c>
    </row>
    <row r="1685">
      <c r="A1685" s="4" t="s">
        <v>1702</v>
      </c>
      <c r="B1685" s="5" t="str">
        <f>IFERROR(__xludf.DUMMYFUNCTION("IF(A1685="""","""",INDEX(SPLIT(A1685,"" ""),COUNTA(SPLIT(A1685,"" ""))))"),"Milanino")</f>
        <v>Milanino</v>
      </c>
      <c r="C1685" s="6" t="s">
        <v>1654</v>
      </c>
      <c r="D1685" s="6"/>
      <c r="E1685" s="7" t="s">
        <v>1655</v>
      </c>
    </row>
    <row r="1686">
      <c r="A1686" s="4" t="s">
        <v>1703</v>
      </c>
      <c r="B1686" s="5" t="str">
        <f>IFERROR(__xludf.DUMMYFUNCTION("IF(A1686="""","""",INDEX(SPLIT(A1686,"" ""),COUNTA(SPLIT(A1686,"" ""))))"),"Dairago")</f>
        <v>Dairago</v>
      </c>
      <c r="C1686" s="6" t="s">
        <v>1654</v>
      </c>
      <c r="D1686" s="6"/>
      <c r="E1686" s="7" t="s">
        <v>1655</v>
      </c>
    </row>
    <row r="1687">
      <c r="A1687" s="4" t="s">
        <v>1704</v>
      </c>
      <c r="B1687" s="5" t="str">
        <f>IFERROR(__xludf.DUMMYFUNCTION("IF(A1687="""","""",INDEX(SPLIT(A1687,"" ""),COUNTA(SPLIT(A1687,"" ""))))"),"Dresano")</f>
        <v>Dresano</v>
      </c>
      <c r="C1687" s="6" t="s">
        <v>1654</v>
      </c>
      <c r="D1687" s="6"/>
      <c r="E1687" s="7" t="s">
        <v>1655</v>
      </c>
    </row>
    <row r="1688">
      <c r="A1688" s="4" t="s">
        <v>1705</v>
      </c>
      <c r="B1688" s="5" t="str">
        <f>IFERROR(__xludf.DUMMYFUNCTION("IF(A1688="""","""",INDEX(SPLIT(A1688,"" ""),COUNTA(SPLIT(A1688,"" ""))))"),"Gaggiano")</f>
        <v>Gaggiano</v>
      </c>
      <c r="C1688" s="6" t="s">
        <v>1654</v>
      </c>
      <c r="D1688" s="6"/>
      <c r="E1688" s="7" t="s">
        <v>1655</v>
      </c>
    </row>
    <row r="1689">
      <c r="A1689" s="4" t="s">
        <v>1706</v>
      </c>
      <c r="B1689" s="5" t="str">
        <f>IFERROR(__xludf.DUMMYFUNCTION("IF(A1689="""","""",INDEX(SPLIT(A1689,"" ""),COUNTA(SPLIT(A1689,"" ""))))"),"Milanese")</f>
        <v>Milanese</v>
      </c>
      <c r="C1689" s="6" t="s">
        <v>1654</v>
      </c>
      <c r="D1689" s="6"/>
      <c r="E1689" s="7" t="s">
        <v>1655</v>
      </c>
    </row>
    <row r="1690">
      <c r="A1690" s="4" t="s">
        <v>1707</v>
      </c>
      <c r="B1690" s="5" t="str">
        <f>IFERROR(__xludf.DUMMYFUNCTION("IF(A1690="""","""",INDEX(SPLIT(A1690,"" ""),COUNTA(SPLIT(A1690,"" ""))))"),"Gessate")</f>
        <v>Gessate</v>
      </c>
      <c r="C1690" s="6" t="s">
        <v>1654</v>
      </c>
      <c r="D1690" s="6"/>
      <c r="E1690" s="7" t="s">
        <v>1655</v>
      </c>
    </row>
    <row r="1691">
      <c r="A1691" s="4" t="s">
        <v>1708</v>
      </c>
      <c r="B1691" s="5" t="str">
        <f>IFERROR(__xludf.DUMMYFUNCTION("IF(A1691="""","""",INDEX(SPLIT(A1691,"" ""),COUNTA(SPLIT(A1691,"" ""))))"),"Gorgonzola")</f>
        <v>Gorgonzola</v>
      </c>
      <c r="C1691" s="6" t="s">
        <v>1654</v>
      </c>
      <c r="D1691" s="6"/>
      <c r="E1691" s="7" t="s">
        <v>1655</v>
      </c>
    </row>
    <row r="1692">
      <c r="A1692" s="4" t="s">
        <v>1709</v>
      </c>
      <c r="B1692" s="5" t="str">
        <f>IFERROR(__xludf.DUMMYFUNCTION("IF(A1692="""","""",INDEX(SPLIT(A1692,"" ""),COUNTA(SPLIT(A1692,"" ""))))"),"Grezzago")</f>
        <v>Grezzago</v>
      </c>
      <c r="C1692" s="6" t="s">
        <v>1654</v>
      </c>
      <c r="D1692" s="6"/>
      <c r="E1692" s="7" t="s">
        <v>1655</v>
      </c>
    </row>
    <row r="1693">
      <c r="A1693" s="4" t="s">
        <v>1710</v>
      </c>
      <c r="B1693" s="5" t="str">
        <f>IFERROR(__xludf.DUMMYFUNCTION("IF(A1693="""","""",INDEX(SPLIT(A1693,"" ""),COUNTA(SPLIT(A1693,"" ""))))"),"Visconti")</f>
        <v>Visconti</v>
      </c>
      <c r="C1693" s="6" t="s">
        <v>1654</v>
      </c>
      <c r="D1693" s="6"/>
      <c r="E1693" s="7" t="s">
        <v>1655</v>
      </c>
    </row>
    <row r="1694">
      <c r="A1694" s="4" t="s">
        <v>1711</v>
      </c>
      <c r="B1694" s="5" t="str">
        <f>IFERROR(__xludf.DUMMYFUNCTION("IF(A1694="""","""",INDEX(SPLIT(A1694,"" ""),COUNTA(SPLIT(A1694,"" ""))))"),"Inveruno")</f>
        <v>Inveruno</v>
      </c>
      <c r="C1694" s="6" t="s">
        <v>1654</v>
      </c>
      <c r="D1694" s="6"/>
      <c r="E1694" s="7" t="s">
        <v>1655</v>
      </c>
    </row>
    <row r="1695">
      <c r="A1695" s="4" t="s">
        <v>1712</v>
      </c>
      <c r="B1695" s="5" t="str">
        <f>IFERROR(__xludf.DUMMYFUNCTION("IF(A1695="""","""",INDEX(SPLIT(A1695,"" ""),COUNTA(SPLIT(A1695,"" ""))))"),"Inzago")</f>
        <v>Inzago</v>
      </c>
      <c r="C1695" s="6" t="s">
        <v>1654</v>
      </c>
      <c r="D1695" s="6"/>
      <c r="E1695" s="7" t="s">
        <v>1655</v>
      </c>
    </row>
    <row r="1696">
      <c r="A1696" s="4" t="s">
        <v>1713</v>
      </c>
      <c r="B1696" s="5" t="str">
        <f>IFERROR(__xludf.DUMMYFUNCTION("IF(A1696="""","""",INDEX(SPLIT(A1696,"" ""),COUNTA(SPLIT(A1696,"" ""))))"),"Lacchiarella")</f>
        <v>Lacchiarella</v>
      </c>
      <c r="C1696" s="6" t="s">
        <v>1654</v>
      </c>
      <c r="D1696" s="6"/>
      <c r="E1696" s="7" t="s">
        <v>1655</v>
      </c>
    </row>
    <row r="1697">
      <c r="A1697" s="4" t="s">
        <v>1714</v>
      </c>
      <c r="B1697" s="5" t="str">
        <f>IFERROR(__xludf.DUMMYFUNCTION("IF(A1697="""","""",INDEX(SPLIT(A1697,"" ""),COUNTA(SPLIT(A1697,"" ""))))"),"Lainate")</f>
        <v>Lainate</v>
      </c>
      <c r="C1697" s="6" t="s">
        <v>1654</v>
      </c>
      <c r="D1697" s="6"/>
      <c r="E1697" s="7" t="s">
        <v>1655</v>
      </c>
    </row>
    <row r="1698">
      <c r="A1698" s="4" t="s">
        <v>1715</v>
      </c>
      <c r="B1698" s="5" t="str">
        <f>IFERROR(__xludf.DUMMYFUNCTION("IF(A1698="""","""",INDEX(SPLIT(A1698,"" ""),COUNTA(SPLIT(A1698,"" ""))))"),"Legnano")</f>
        <v>Legnano</v>
      </c>
      <c r="C1698" s="6" t="s">
        <v>1654</v>
      </c>
      <c r="D1698" s="6"/>
      <c r="E1698" s="7" t="s">
        <v>1655</v>
      </c>
    </row>
    <row r="1699">
      <c r="A1699" s="4" t="s">
        <v>1716</v>
      </c>
      <c r="B1699" s="5" t="str">
        <f>IFERROR(__xludf.DUMMYFUNCTION("IF(A1699="""","""",INDEX(SPLIT(A1699,"" ""),COUNTA(SPLIT(A1699,"" ""))))"),"Liscate")</f>
        <v>Liscate</v>
      </c>
      <c r="C1699" s="6" t="s">
        <v>1654</v>
      </c>
      <c r="D1699" s="6"/>
      <c r="E1699" s="7" t="s">
        <v>1655</v>
      </c>
    </row>
    <row r="1700">
      <c r="A1700" s="4" t="s">
        <v>1717</v>
      </c>
      <c r="B1700" s="5" t="str">
        <f>IFERROR(__xludf.DUMMYFUNCTION("IF(A1700="""","""",INDEX(SPLIT(A1700,"" ""),COUNTA(SPLIT(A1700,"" ""))))"),"Triulzi")</f>
        <v>Triulzi</v>
      </c>
      <c r="C1700" s="6" t="s">
        <v>1654</v>
      </c>
      <c r="D1700" s="6"/>
      <c r="E1700" s="7" t="s">
        <v>1655</v>
      </c>
    </row>
    <row r="1701">
      <c r="A1701" s="4" t="s">
        <v>1718</v>
      </c>
      <c r="B1701" s="5" t="str">
        <f>IFERROR(__xludf.DUMMYFUNCTION("IF(A1701="""","""",INDEX(SPLIT(A1701,"" ""),COUNTA(SPLIT(A1701,"" ""))))"),"Magenta")</f>
        <v>Magenta</v>
      </c>
      <c r="C1701" s="6" t="s">
        <v>1654</v>
      </c>
      <c r="D1701" s="6"/>
      <c r="E1701" s="7" t="s">
        <v>1655</v>
      </c>
    </row>
    <row r="1702">
      <c r="A1702" s="4" t="s">
        <v>1719</v>
      </c>
      <c r="B1702" s="5" t="str">
        <f>IFERROR(__xludf.DUMMYFUNCTION("IF(A1702="""","""",INDEX(SPLIT(A1702,"" ""),COUNTA(SPLIT(A1702,"" ""))))"),"Magnago")</f>
        <v>Magnago</v>
      </c>
      <c r="C1702" s="6" t="s">
        <v>1654</v>
      </c>
      <c r="D1702" s="6"/>
      <c r="E1702" s="7" t="s">
        <v>1655</v>
      </c>
    </row>
    <row r="1703">
      <c r="A1703" s="4" t="s">
        <v>1720</v>
      </c>
      <c r="B1703" s="5" t="str">
        <f>IFERROR(__xludf.DUMMYFUNCTION("IF(A1703="""","""",INDEX(SPLIT(A1703,"" ""),COUNTA(SPLIT(A1703,"" ""))))"),"Casone")</f>
        <v>Casone</v>
      </c>
      <c r="C1703" s="6" t="s">
        <v>1654</v>
      </c>
      <c r="D1703" s="6"/>
      <c r="E1703" s="7" t="s">
        <v>1655</v>
      </c>
    </row>
    <row r="1704">
      <c r="A1704" s="4" t="s">
        <v>1721</v>
      </c>
      <c r="B1704" s="5" t="str">
        <f>IFERROR(__xludf.DUMMYFUNCTION("IF(A1704="""","""",INDEX(SPLIT(A1704,"" ""),COUNTA(SPLIT(A1704,"" ""))))"),"Masate")</f>
        <v>Masate</v>
      </c>
      <c r="C1704" s="6" t="s">
        <v>1654</v>
      </c>
      <c r="D1704" s="6"/>
      <c r="E1704" s="7" t="s">
        <v>1655</v>
      </c>
    </row>
    <row r="1705">
      <c r="A1705" s="4" t="s">
        <v>1722</v>
      </c>
      <c r="B1705" s="5" t="str">
        <f>IFERROR(__xludf.DUMMYFUNCTION("IF(A1705="""","""",INDEX(SPLIT(A1705,"" ""),COUNTA(SPLIT(A1705,"" ""))))"),"Mediglia")</f>
        <v>Mediglia</v>
      </c>
      <c r="C1705" s="6" t="s">
        <v>1654</v>
      </c>
      <c r="D1705" s="6"/>
      <c r="E1705" s="7" t="s">
        <v>1655</v>
      </c>
    </row>
    <row r="1706">
      <c r="A1706" s="4" t="s">
        <v>1723</v>
      </c>
      <c r="B1706" s="5" t="str">
        <f>IFERROR(__xludf.DUMMYFUNCTION("IF(A1706="""","""",INDEX(SPLIT(A1706,"" ""),COUNTA(SPLIT(A1706,"" ""))))"),"Melegnano")</f>
        <v>Melegnano</v>
      </c>
      <c r="C1706" s="6" t="s">
        <v>1654</v>
      </c>
      <c r="D1706" s="6"/>
      <c r="E1706" s="7" t="s">
        <v>1655</v>
      </c>
    </row>
    <row r="1707">
      <c r="A1707" s="4" t="s">
        <v>1724</v>
      </c>
      <c r="B1707" s="5" t="str">
        <f>IFERROR(__xludf.DUMMYFUNCTION("IF(A1707="""","""",INDEX(SPLIT(A1707,"" ""),COUNTA(SPLIT(A1707,"" ""))))"),"Melzo")</f>
        <v>Melzo</v>
      </c>
      <c r="C1707" s="6" t="s">
        <v>1654</v>
      </c>
      <c r="D1707" s="6"/>
      <c r="E1707" s="7" t="s">
        <v>1655</v>
      </c>
    </row>
    <row r="1708">
      <c r="A1708" s="4" t="s">
        <v>1725</v>
      </c>
      <c r="B1708" s="5" t="str">
        <f>IFERROR(__xludf.DUMMYFUNCTION("IF(A1708="""","""",INDEX(SPLIT(A1708,"" ""),COUNTA(SPLIT(A1708,"" ""))))"),"Mesero")</f>
        <v>Mesero</v>
      </c>
      <c r="C1708" s="6" t="s">
        <v>1654</v>
      </c>
      <c r="D1708" s="6"/>
      <c r="E1708" s="7" t="s">
        <v>1655</v>
      </c>
    </row>
    <row r="1709">
      <c r="A1709" s="4" t="s">
        <v>1654</v>
      </c>
      <c r="B1709" s="5" t="str">
        <f>IFERROR(__xludf.DUMMYFUNCTION("IF(A1709="""","""",INDEX(SPLIT(A1709,"" ""),COUNTA(SPLIT(A1709,"" ""))))"),"Milano")</f>
        <v>Milano</v>
      </c>
      <c r="C1709" s="6" t="s">
        <v>1654</v>
      </c>
      <c r="D1709" s="6"/>
      <c r="E1709" s="7" t="s">
        <v>1655</v>
      </c>
    </row>
    <row r="1710">
      <c r="A1710" s="4" t="s">
        <v>1726</v>
      </c>
      <c r="B1710" s="5" t="str">
        <f>IFERROR(__xludf.DUMMYFUNCTION("IF(A1710="""","""",INDEX(SPLIT(A1710,"" ""),COUNTA(SPLIT(A1710,"" ""))))"),"Morimondo")</f>
        <v>Morimondo</v>
      </c>
      <c r="C1710" s="6" t="s">
        <v>1654</v>
      </c>
      <c r="D1710" s="6"/>
      <c r="E1710" s="7" t="s">
        <v>1655</v>
      </c>
    </row>
    <row r="1711">
      <c r="A1711" s="4" t="s">
        <v>1727</v>
      </c>
      <c r="B1711" s="5" t="str">
        <f>IFERROR(__xludf.DUMMYFUNCTION("IF(A1711="""","""",INDEX(SPLIT(A1711,"" ""),COUNTA(SPLIT(A1711,"" ""))))"),"Visconti")</f>
        <v>Visconti</v>
      </c>
      <c r="C1711" s="6" t="s">
        <v>1654</v>
      </c>
      <c r="D1711" s="6"/>
      <c r="E1711" s="7" t="s">
        <v>1655</v>
      </c>
    </row>
    <row r="1712">
      <c r="A1712" s="4" t="s">
        <v>1728</v>
      </c>
      <c r="B1712" s="5" t="str">
        <f>IFERROR(__xludf.DUMMYFUNCTION("IF(A1712="""","""",INDEX(SPLIT(A1712,"" ""),COUNTA(SPLIT(A1712,"" ""))))"),"Nerviano")</f>
        <v>Nerviano</v>
      </c>
      <c r="C1712" s="6" t="s">
        <v>1654</v>
      </c>
      <c r="D1712" s="6"/>
      <c r="E1712" s="7" t="s">
        <v>1655</v>
      </c>
    </row>
    <row r="1713">
      <c r="A1713" s="4" t="s">
        <v>1729</v>
      </c>
      <c r="B1713" s="5" t="str">
        <f>IFERROR(__xludf.DUMMYFUNCTION("IF(A1713="""","""",INDEX(SPLIT(A1713,"" ""),COUNTA(SPLIT(A1713,"" ""))))"),"Nosate")</f>
        <v>Nosate</v>
      </c>
      <c r="C1713" s="6" t="s">
        <v>1654</v>
      </c>
      <c r="D1713" s="6"/>
      <c r="E1713" s="7" t="s">
        <v>1655</v>
      </c>
    </row>
    <row r="1714">
      <c r="A1714" s="4" t="s">
        <v>1730</v>
      </c>
      <c r="B1714" s="5" t="str">
        <f>IFERROR(__xludf.DUMMYFUNCTION("IF(A1714="""","""",INDEX(SPLIT(A1714,"" ""),COUNTA(SPLIT(A1714,"" ""))))"),"Milanese")</f>
        <v>Milanese</v>
      </c>
      <c r="C1714" s="6" t="s">
        <v>1654</v>
      </c>
      <c r="D1714" s="6"/>
      <c r="E1714" s="7" t="s">
        <v>1655</v>
      </c>
    </row>
    <row r="1715">
      <c r="A1715" s="4" t="s">
        <v>1731</v>
      </c>
      <c r="B1715" s="5" t="str">
        <f>IFERROR(__xludf.DUMMYFUNCTION("IF(A1715="""","""",INDEX(SPLIT(A1715,"" ""),COUNTA(SPLIT(A1715,"" ""))))"),"Noviglio")</f>
        <v>Noviglio</v>
      </c>
      <c r="C1715" s="6" t="s">
        <v>1654</v>
      </c>
      <c r="D1715" s="6"/>
      <c r="E1715" s="7" t="s">
        <v>1655</v>
      </c>
    </row>
    <row r="1716">
      <c r="A1716" s="4" t="s">
        <v>1732</v>
      </c>
      <c r="B1716" s="5" t="str">
        <f>IFERROR(__xludf.DUMMYFUNCTION("IF(A1716="""","""",INDEX(SPLIT(A1716,"" ""),COUNTA(SPLIT(A1716,"" ""))))"),"Opera")</f>
        <v>Opera</v>
      </c>
      <c r="C1716" s="6" t="s">
        <v>1654</v>
      </c>
      <c r="D1716" s="6"/>
      <c r="E1716" s="7" t="s">
        <v>1655</v>
      </c>
    </row>
    <row r="1717">
      <c r="A1717" s="4" t="s">
        <v>1733</v>
      </c>
      <c r="B1717" s="5" t="str">
        <f>IFERROR(__xludf.DUMMYFUNCTION("IF(A1717="""","""",INDEX(SPLIT(A1717,"" ""),COUNTA(SPLIT(A1717,"" ""))))"),"Ossona")</f>
        <v>Ossona</v>
      </c>
      <c r="C1717" s="6" t="s">
        <v>1654</v>
      </c>
      <c r="D1717" s="6"/>
      <c r="E1717" s="7" t="s">
        <v>1655</v>
      </c>
    </row>
    <row r="1718">
      <c r="A1718" s="4" t="s">
        <v>1734</v>
      </c>
      <c r="B1718" s="5" t="str">
        <f>IFERROR(__xludf.DUMMYFUNCTION("IF(A1718="""","""",INDEX(SPLIT(A1718,"" ""),COUNTA(SPLIT(A1718,"" ""))))"),"Ozzero")</f>
        <v>Ozzero</v>
      </c>
      <c r="C1718" s="6" t="s">
        <v>1654</v>
      </c>
      <c r="D1718" s="6"/>
      <c r="E1718" s="7" t="s">
        <v>1655</v>
      </c>
    </row>
    <row r="1719">
      <c r="A1719" s="4" t="s">
        <v>1735</v>
      </c>
      <c r="B1719" s="5" t="str">
        <f>IFERROR(__xludf.DUMMYFUNCTION("IF(A1719="""","""",INDEX(SPLIT(A1719,"" ""),COUNTA(SPLIT(A1719,"" ""))))"),"Dugnano")</f>
        <v>Dugnano</v>
      </c>
      <c r="C1719" s="6" t="s">
        <v>1654</v>
      </c>
      <c r="D1719" s="6"/>
      <c r="E1719" s="7" t="s">
        <v>1655</v>
      </c>
    </row>
    <row r="1720">
      <c r="A1720" s="4" t="s">
        <v>1736</v>
      </c>
      <c r="B1720" s="5" t="str">
        <f>IFERROR(__xludf.DUMMYFUNCTION("IF(A1720="""","""",INDEX(SPLIT(A1720,"" ""),COUNTA(SPLIT(A1720,"" ""))))"),"Pantigliate")</f>
        <v>Pantigliate</v>
      </c>
      <c r="C1720" s="6" t="s">
        <v>1654</v>
      </c>
      <c r="D1720" s="6"/>
      <c r="E1720" s="7" t="s">
        <v>1655</v>
      </c>
    </row>
    <row r="1721">
      <c r="A1721" s="4" t="s">
        <v>1737</v>
      </c>
      <c r="B1721" s="5" t="str">
        <f>IFERROR(__xludf.DUMMYFUNCTION("IF(A1721="""","""",INDEX(SPLIT(A1721,"" ""),COUNTA(SPLIT(A1721,"" ""))))"),"Parabiago")</f>
        <v>Parabiago</v>
      </c>
      <c r="C1721" s="6" t="s">
        <v>1654</v>
      </c>
      <c r="D1721" s="6"/>
      <c r="E1721" s="7" t="s">
        <v>1655</v>
      </c>
    </row>
    <row r="1722">
      <c r="A1722" s="4" t="s">
        <v>1738</v>
      </c>
      <c r="B1722" s="5" t="str">
        <f>IFERROR(__xludf.DUMMYFUNCTION("IF(A1722="""","""",INDEX(SPLIT(A1722,"" ""),COUNTA(SPLIT(A1722,"" ""))))"),"Paullo")</f>
        <v>Paullo</v>
      </c>
      <c r="C1722" s="6" t="s">
        <v>1654</v>
      </c>
      <c r="D1722" s="6"/>
      <c r="E1722" s="7" t="s">
        <v>1655</v>
      </c>
    </row>
    <row r="1723">
      <c r="A1723" s="4" t="s">
        <v>1739</v>
      </c>
      <c r="B1723" s="5" t="str">
        <f>IFERROR(__xludf.DUMMYFUNCTION("IF(A1723="""","""",INDEX(SPLIT(A1723,"" ""),COUNTA(SPLIT(A1723,"" ""))))"),"Pero")</f>
        <v>Pero</v>
      </c>
      <c r="C1723" s="6" t="s">
        <v>1654</v>
      </c>
      <c r="D1723" s="6"/>
      <c r="E1723" s="7" t="s">
        <v>1655</v>
      </c>
    </row>
    <row r="1724">
      <c r="A1724" s="4" t="s">
        <v>1740</v>
      </c>
      <c r="B1724" s="5" t="str">
        <f>IFERROR(__xludf.DUMMYFUNCTION("IF(A1724="""","""",INDEX(SPLIT(A1724,"" ""),COUNTA(SPLIT(A1724,"" ""))))"),"Borromeo")</f>
        <v>Borromeo</v>
      </c>
      <c r="C1724" s="6" t="s">
        <v>1654</v>
      </c>
      <c r="D1724" s="6"/>
      <c r="E1724" s="7" t="s">
        <v>1655</v>
      </c>
    </row>
    <row r="1725">
      <c r="A1725" s="4" t="s">
        <v>1741</v>
      </c>
      <c r="B1725" s="5" t="str">
        <f>IFERROR(__xludf.DUMMYFUNCTION("IF(A1725="""","""",INDEX(SPLIT(A1725,"" ""),COUNTA(SPLIT(A1725,"" ""))))"),"Bornago")</f>
        <v>Bornago</v>
      </c>
      <c r="C1725" s="6" t="s">
        <v>1654</v>
      </c>
      <c r="D1725" s="6"/>
      <c r="E1725" s="7" t="s">
        <v>1655</v>
      </c>
    </row>
    <row r="1726">
      <c r="A1726" s="4" t="s">
        <v>1742</v>
      </c>
      <c r="B1726" s="5" t="str">
        <f>IFERROR(__xludf.DUMMYFUNCTION("IF(A1726="""","""",INDEX(SPLIT(A1726,"" ""),COUNTA(SPLIT(A1726,"" ""))))"),"Emanuele")</f>
        <v>Emanuele</v>
      </c>
      <c r="C1726" s="6" t="s">
        <v>1654</v>
      </c>
      <c r="D1726" s="6"/>
      <c r="E1726" s="7" t="s">
        <v>1655</v>
      </c>
    </row>
    <row r="1727">
      <c r="A1727" s="4" t="s">
        <v>1743</v>
      </c>
      <c r="B1727" s="5" t="str">
        <f>IFERROR(__xludf.DUMMYFUNCTION("IF(A1727="""","""",INDEX(SPLIT(A1727,"" ""),COUNTA(SPLIT(A1727,"" ""))))"),"Pioltello")</f>
        <v>Pioltello</v>
      </c>
      <c r="C1727" s="6" t="s">
        <v>1654</v>
      </c>
      <c r="D1727" s="6"/>
      <c r="E1727" s="7" t="s">
        <v>1655</v>
      </c>
    </row>
    <row r="1728">
      <c r="A1728" s="4" t="s">
        <v>1744</v>
      </c>
      <c r="B1728" s="5" t="str">
        <f>IFERROR(__xludf.DUMMYFUNCTION("IF(A1728="""","""",INDEX(SPLIT(A1728,"" ""),COUNTA(SPLIT(A1728,"" ""))))"),"Milanese")</f>
        <v>Milanese</v>
      </c>
      <c r="C1728" s="6" t="s">
        <v>1654</v>
      </c>
      <c r="D1728" s="6"/>
      <c r="E1728" s="7" t="s">
        <v>1655</v>
      </c>
    </row>
    <row r="1729">
      <c r="A1729" s="4" t="s">
        <v>1745</v>
      </c>
      <c r="B1729" s="5" t="str">
        <f>IFERROR(__xludf.DUMMYFUNCTION("IF(A1729="""","""",INDEX(SPLIT(A1729,"" ""),COUNTA(SPLIT(A1729,"" ""))))"),"d'Adda")</f>
        <v>d'Adda</v>
      </c>
      <c r="C1729" s="6" t="s">
        <v>1654</v>
      </c>
      <c r="D1729" s="6"/>
      <c r="E1729" s="7" t="s">
        <v>1655</v>
      </c>
    </row>
    <row r="1730">
      <c r="A1730" s="4" t="s">
        <v>1746</v>
      </c>
      <c r="B1730" s="5" t="str">
        <f>IFERROR(__xludf.DUMMYFUNCTION("IF(A1730="""","""",INDEX(SPLIT(A1730,"" ""),COUNTA(SPLIT(A1730,"" ""))))"),"Martesana")</f>
        <v>Martesana</v>
      </c>
      <c r="C1730" s="6" t="s">
        <v>1654</v>
      </c>
      <c r="D1730" s="6"/>
      <c r="E1730" s="7" t="s">
        <v>1655</v>
      </c>
    </row>
    <row r="1731">
      <c r="A1731" s="4" t="s">
        <v>1747</v>
      </c>
      <c r="B1731" s="5" t="str">
        <f>IFERROR(__xludf.DUMMYFUNCTION("IF(A1731="""","""",INDEX(SPLIT(A1731,"" ""),COUNTA(SPLIT(A1731,"" ""))))"),"Milanese")</f>
        <v>Milanese</v>
      </c>
      <c r="C1731" s="6" t="s">
        <v>1654</v>
      </c>
      <c r="D1731" s="6"/>
      <c r="E1731" s="7" t="s">
        <v>1655</v>
      </c>
    </row>
    <row r="1732">
      <c r="A1732" s="4" t="s">
        <v>1748</v>
      </c>
      <c r="B1732" s="5" t="str">
        <f>IFERROR(__xludf.DUMMYFUNCTION("IF(A1732="""","""",INDEX(SPLIT(A1732,"" ""),COUNTA(SPLIT(A1732,"" ""))))"),"Rescaldina")</f>
        <v>Rescaldina</v>
      </c>
      <c r="C1732" s="6" t="s">
        <v>1654</v>
      </c>
      <c r="D1732" s="6"/>
      <c r="E1732" s="7" t="s">
        <v>1655</v>
      </c>
    </row>
    <row r="1733">
      <c r="A1733" s="4" t="s">
        <v>1749</v>
      </c>
      <c r="B1733" s="5" t="str">
        <f>IFERROR(__xludf.DUMMYFUNCTION("IF(A1733="""","""",INDEX(SPLIT(A1733,"" ""),COUNTA(SPLIT(A1733,"" ""))))"),"Rho")</f>
        <v>Rho</v>
      </c>
      <c r="C1733" s="6" t="s">
        <v>1654</v>
      </c>
      <c r="D1733" s="6"/>
      <c r="E1733" s="7" t="s">
        <v>1655</v>
      </c>
    </row>
    <row r="1734">
      <c r="A1734" s="4" t="s">
        <v>1750</v>
      </c>
      <c r="B1734" s="5" t="str">
        <f>IFERROR(__xludf.DUMMYFUNCTION("IF(A1734="""","""",INDEX(SPLIT(A1734,"" ""),COUNTA(SPLIT(A1734,"" ""))))"),"Induno")</f>
        <v>Induno</v>
      </c>
      <c r="C1734" s="6" t="s">
        <v>1654</v>
      </c>
      <c r="D1734" s="6"/>
      <c r="E1734" s="7" t="s">
        <v>1655</v>
      </c>
    </row>
    <row r="1735">
      <c r="A1735" s="4" t="s">
        <v>1751</v>
      </c>
      <c r="B1735" s="5" t="str">
        <f>IFERROR(__xludf.DUMMYFUNCTION("IF(A1735="""","""",INDEX(SPLIT(A1735,"" ""),COUNTA(SPLIT(A1735,"" ""))))"),"Naviglio")</f>
        <v>Naviglio</v>
      </c>
      <c r="C1735" s="6" t="s">
        <v>1654</v>
      </c>
      <c r="D1735" s="6"/>
      <c r="E1735" s="7" t="s">
        <v>1655</v>
      </c>
    </row>
    <row r="1736">
      <c r="A1736" s="4" t="s">
        <v>1752</v>
      </c>
      <c r="B1736" s="5" t="str">
        <f>IFERROR(__xludf.DUMMYFUNCTION("IF(A1736="""","""",INDEX(SPLIT(A1736,"" ""),COUNTA(SPLIT(A1736,"" ""))))"),"Rodano")</f>
        <v>Rodano</v>
      </c>
      <c r="C1736" s="6" t="s">
        <v>1654</v>
      </c>
      <c r="D1736" s="6"/>
      <c r="E1736" s="7" t="s">
        <v>1655</v>
      </c>
    </row>
    <row r="1737">
      <c r="A1737" s="4" t="s">
        <v>1753</v>
      </c>
      <c r="B1737" s="5" t="str">
        <f>IFERROR(__xludf.DUMMYFUNCTION("IF(A1737="""","""",INDEX(SPLIT(A1737,"" ""),COUNTA(SPLIT(A1737,"" ""))))"),"Rosate")</f>
        <v>Rosate</v>
      </c>
      <c r="C1737" s="6" t="s">
        <v>1654</v>
      </c>
      <c r="D1737" s="6"/>
      <c r="E1737" s="7" t="s">
        <v>1655</v>
      </c>
    </row>
    <row r="1738">
      <c r="A1738" s="4" t="s">
        <v>1754</v>
      </c>
      <c r="B1738" s="5" t="str">
        <f>IFERROR(__xludf.DUMMYFUNCTION("IF(A1738="""","""",INDEX(SPLIT(A1738,"" ""),COUNTA(SPLIT(A1738,"" ""))))"),"Rozzano")</f>
        <v>Rozzano</v>
      </c>
      <c r="C1738" s="6" t="s">
        <v>1654</v>
      </c>
      <c r="D1738" s="6"/>
      <c r="E1738" s="7" t="s">
        <v>1655</v>
      </c>
    </row>
    <row r="1739">
      <c r="A1739" s="4" t="s">
        <v>1755</v>
      </c>
      <c r="B1739" s="5" t="str">
        <f>IFERROR(__xludf.DUMMYFUNCTION("IF(A1739="""","""",INDEX(SPLIT(A1739,"" ""),COUNTA(SPLIT(A1739,"" ""))))"),"Lambro")</f>
        <v>Lambro</v>
      </c>
      <c r="C1739" s="6" t="s">
        <v>1654</v>
      </c>
      <c r="D1739" s="6"/>
      <c r="E1739" s="7" t="s">
        <v>1655</v>
      </c>
    </row>
    <row r="1740">
      <c r="A1740" s="4" t="s">
        <v>1756</v>
      </c>
      <c r="B1740" s="5" t="str">
        <f>IFERROR(__xludf.DUMMYFUNCTION("IF(A1740="""","""",INDEX(SPLIT(A1740,"" ""),COUNTA(SPLIT(A1740,"" ""))))"),"Milanese")</f>
        <v>Milanese</v>
      </c>
      <c r="C1740" s="6" t="s">
        <v>1654</v>
      </c>
      <c r="D1740" s="6"/>
      <c r="E1740" s="7" t="s">
        <v>1655</v>
      </c>
    </row>
    <row r="1741">
      <c r="A1741" s="4" t="s">
        <v>1757</v>
      </c>
      <c r="B1741" s="5" t="str">
        <f>IFERROR(__xludf.DUMMYFUNCTION("IF(A1741="""","""",INDEX(SPLIT(A1741,"" ""),COUNTA(SPLIT(A1741,"" ""))))"),"Legnano")</f>
        <v>Legnano</v>
      </c>
      <c r="C1741" s="6" t="s">
        <v>1654</v>
      </c>
      <c r="D1741" s="6"/>
      <c r="E1741" s="7" t="s">
        <v>1655</v>
      </c>
    </row>
    <row r="1742">
      <c r="A1742" s="4" t="s">
        <v>1758</v>
      </c>
      <c r="B1742" s="5" t="str">
        <f>IFERROR(__xludf.DUMMYFUNCTION("IF(A1742="""","""",INDEX(SPLIT(A1742,"" ""),COUNTA(SPLIT(A1742,"" ""))))"),"Milanese")</f>
        <v>Milanese</v>
      </c>
      <c r="C1742" s="6" t="s">
        <v>1654</v>
      </c>
      <c r="D1742" s="6"/>
      <c r="E1742" s="7" t="s">
        <v>1655</v>
      </c>
    </row>
    <row r="1743">
      <c r="A1743" s="4" t="s">
        <v>1759</v>
      </c>
      <c r="B1743" s="5" t="str">
        <f>IFERROR(__xludf.DUMMYFUNCTION("IF(A1743="""","""",INDEX(SPLIT(A1743,"" ""),COUNTA(SPLIT(A1743,"" ""))))"),"Ticino")</f>
        <v>Ticino</v>
      </c>
      <c r="C1743" s="6" t="s">
        <v>1654</v>
      </c>
      <c r="D1743" s="6"/>
      <c r="E1743" s="7" t="s">
        <v>1655</v>
      </c>
    </row>
    <row r="1744">
      <c r="A1744" s="4" t="s">
        <v>1760</v>
      </c>
      <c r="B1744" s="5" t="str">
        <f>IFERROR(__xludf.DUMMYFUNCTION("IF(A1744="""","""",INDEX(SPLIT(A1744,"" ""),COUNTA(SPLIT(A1744,"" ""))))"),"Olona")</f>
        <v>Olona</v>
      </c>
      <c r="C1744" s="6" t="s">
        <v>1654</v>
      </c>
      <c r="D1744" s="6"/>
      <c r="E1744" s="7" t="s">
        <v>1655</v>
      </c>
    </row>
    <row r="1745">
      <c r="A1745" s="4" t="s">
        <v>1761</v>
      </c>
      <c r="B1745" s="5" t="str">
        <f>IFERROR(__xludf.DUMMYFUNCTION("IF(A1745="""","""",INDEX(SPLIT(A1745,"" ""),COUNTA(SPLIT(A1745,"" ""))))"),"Lambro")</f>
        <v>Lambro</v>
      </c>
      <c r="C1745" s="6" t="s">
        <v>1654</v>
      </c>
      <c r="D1745" s="6"/>
      <c r="E1745" s="7" t="s">
        <v>1655</v>
      </c>
    </row>
    <row r="1746">
      <c r="A1746" s="4" t="s">
        <v>1762</v>
      </c>
      <c r="B1746" s="5" t="str">
        <f>IFERROR(__xludf.DUMMYFUNCTION("IF(A1746="""","""",INDEX(SPLIT(A1746,"" ""),COUNTA(SPLIT(A1746,"" ""))))"),"Sedriano")</f>
        <v>Sedriano</v>
      </c>
      <c r="C1746" s="6" t="s">
        <v>1654</v>
      </c>
      <c r="D1746" s="6"/>
      <c r="E1746" s="7" t="s">
        <v>1655</v>
      </c>
    </row>
    <row r="1747">
      <c r="A1747" s="4" t="s">
        <v>1763</v>
      </c>
      <c r="B1747" s="5" t="str">
        <f>IFERROR(__xludf.DUMMYFUNCTION("IF(A1747="""","""",INDEX(SPLIT(A1747,"" ""),COUNTA(SPLIT(A1747,"" ""))))"),"Segrate")</f>
        <v>Segrate</v>
      </c>
      <c r="C1747" s="6" t="s">
        <v>1654</v>
      </c>
      <c r="D1747" s="6"/>
      <c r="E1747" s="7" t="s">
        <v>1655</v>
      </c>
    </row>
    <row r="1748">
      <c r="A1748" s="4" t="s">
        <v>1764</v>
      </c>
      <c r="B1748" s="5" t="str">
        <f>IFERROR(__xludf.DUMMYFUNCTION("IF(A1748="""","""",INDEX(SPLIT(A1748,"" ""),COUNTA(SPLIT(A1748,"" ""))))"),"Senago")</f>
        <v>Senago</v>
      </c>
      <c r="C1748" s="6" t="s">
        <v>1654</v>
      </c>
      <c r="D1748" s="6"/>
      <c r="E1748" s="7" t="s">
        <v>1655</v>
      </c>
    </row>
    <row r="1749">
      <c r="A1749" s="4" t="s">
        <v>1765</v>
      </c>
      <c r="B1749" s="5" t="str">
        <f>IFERROR(__xludf.DUMMYFUNCTION("IF(A1749="""","""",INDEX(SPLIT(A1749,"" ""),COUNTA(SPLIT(A1749,"" ""))))"),"Giovanni")</f>
        <v>Giovanni</v>
      </c>
      <c r="C1749" s="6" t="s">
        <v>1654</v>
      </c>
      <c r="D1749" s="6"/>
      <c r="E1749" s="7" t="s">
        <v>1655</v>
      </c>
    </row>
    <row r="1750">
      <c r="A1750" s="4" t="s">
        <v>1766</v>
      </c>
      <c r="B1750" s="5" t="str">
        <f>IFERROR(__xludf.DUMMYFUNCTION("IF(A1750="""","""",INDEX(SPLIT(A1750,"" ""),COUNTA(SPLIT(A1750,"" ""))))"),"Settala")</f>
        <v>Settala</v>
      </c>
      <c r="C1750" s="6" t="s">
        <v>1654</v>
      </c>
      <c r="D1750" s="6"/>
      <c r="E1750" s="7" t="s">
        <v>1655</v>
      </c>
    </row>
    <row r="1751">
      <c r="A1751" s="4" t="s">
        <v>1767</v>
      </c>
      <c r="B1751" s="5" t="str">
        <f>IFERROR(__xludf.DUMMYFUNCTION("IF(A1751="""","""",INDEX(SPLIT(A1751,"" ""),COUNTA(SPLIT(A1751,"" ""))))"),"Milanese")</f>
        <v>Milanese</v>
      </c>
      <c r="C1751" s="6" t="s">
        <v>1654</v>
      </c>
      <c r="D1751" s="6"/>
      <c r="E1751" s="7" t="s">
        <v>1655</v>
      </c>
    </row>
    <row r="1752">
      <c r="A1752" s="4" t="s">
        <v>1768</v>
      </c>
      <c r="B1752" s="5" t="str">
        <f>IFERROR(__xludf.DUMMYFUNCTION("IF(A1752="""","""",INDEX(SPLIT(A1752,"" ""),COUNTA(SPLIT(A1752,"" ""))))"),"Solaro")</f>
        <v>Solaro</v>
      </c>
      <c r="C1752" s="6" t="s">
        <v>1654</v>
      </c>
      <c r="D1752" s="6"/>
      <c r="E1752" s="7" t="s">
        <v>1655</v>
      </c>
    </row>
    <row r="1753">
      <c r="A1753" s="4" t="s">
        <v>1769</v>
      </c>
      <c r="B1753" s="5" t="str">
        <f>IFERROR(__xludf.DUMMYFUNCTION("IF(A1753="""","""",INDEX(SPLIT(A1753,"" ""),COUNTA(SPLIT(A1753,"" ""))))"),"Rosa")</f>
        <v>Rosa</v>
      </c>
      <c r="C1753" s="6" t="s">
        <v>1654</v>
      </c>
      <c r="D1753" s="6"/>
      <c r="E1753" s="7" t="s">
        <v>1655</v>
      </c>
    </row>
    <row r="1754">
      <c r="A1754" s="4" t="s">
        <v>1770</v>
      </c>
      <c r="B1754" s="5" t="str">
        <f>IFERROR(__xludf.DUMMYFUNCTION("IF(A1754="""","""",INDEX(SPLIT(A1754,"" ""),COUNTA(SPLIT(A1754,"" ""))))"),"Naviglio")</f>
        <v>Naviglio</v>
      </c>
      <c r="C1754" s="6" t="s">
        <v>1654</v>
      </c>
      <c r="D1754" s="6"/>
      <c r="E1754" s="7" t="s">
        <v>1655</v>
      </c>
    </row>
    <row r="1755">
      <c r="A1755" s="4" t="s">
        <v>1771</v>
      </c>
      <c r="B1755" s="5" t="str">
        <f>IFERROR(__xludf.DUMMYFUNCTION("IF(A1755="""","""",INDEX(SPLIT(A1755,"" ""),COUNTA(SPLIT(A1755,"" ""))))"),"sull'Adda")</f>
        <v>sull'Adda</v>
      </c>
      <c r="C1755" s="6" t="s">
        <v>1654</v>
      </c>
      <c r="D1755" s="6"/>
      <c r="E1755" s="7" t="s">
        <v>1655</v>
      </c>
    </row>
    <row r="1756">
      <c r="A1756" s="4" t="s">
        <v>1772</v>
      </c>
      <c r="B1756" s="5" t="str">
        <f>IFERROR(__xludf.DUMMYFUNCTION("IF(A1756="""","""",INDEX(SPLIT(A1756,"" ""),COUNTA(SPLIT(A1756,"" ""))))"),"Tribiano")</f>
        <v>Tribiano</v>
      </c>
      <c r="C1756" s="6" t="s">
        <v>1654</v>
      </c>
      <c r="D1756" s="6"/>
      <c r="E1756" s="7" t="s">
        <v>1655</v>
      </c>
    </row>
    <row r="1757">
      <c r="A1757" s="4" t="s">
        <v>1773</v>
      </c>
      <c r="B1757" s="5" t="str">
        <f>IFERROR(__xludf.DUMMYFUNCTION("IF(A1757="""","""",INDEX(SPLIT(A1757,"" ""),COUNTA(SPLIT(A1757,"" ""))))"),"Truccazzano")</f>
        <v>Truccazzano</v>
      </c>
      <c r="C1757" s="6" t="s">
        <v>1654</v>
      </c>
      <c r="D1757" s="6"/>
      <c r="E1757" s="7" t="s">
        <v>1655</v>
      </c>
    </row>
    <row r="1758">
      <c r="A1758" s="4" t="s">
        <v>1774</v>
      </c>
      <c r="B1758" s="5" t="str">
        <f>IFERROR(__xludf.DUMMYFUNCTION("IF(A1758="""","""",INDEX(SPLIT(A1758,"" ""),COUNTA(SPLIT(A1758,"" ""))))"),"Turbigo")</f>
        <v>Turbigo</v>
      </c>
      <c r="C1758" s="6" t="s">
        <v>1654</v>
      </c>
      <c r="D1758" s="6"/>
      <c r="E1758" s="7" t="s">
        <v>1655</v>
      </c>
    </row>
    <row r="1759">
      <c r="A1759" s="4" t="s">
        <v>1775</v>
      </c>
      <c r="B1759" s="5" t="str">
        <f>IFERROR(__xludf.DUMMYFUNCTION("IF(A1759="""","""",INDEX(SPLIT(A1759,"" ""),COUNTA(SPLIT(A1759,"" ""))))"),"Vanzago")</f>
        <v>Vanzago</v>
      </c>
      <c r="C1759" s="6" t="s">
        <v>1654</v>
      </c>
      <c r="D1759" s="6"/>
      <c r="E1759" s="7" t="s">
        <v>1655</v>
      </c>
    </row>
    <row r="1760">
      <c r="A1760" s="4" t="s">
        <v>1776</v>
      </c>
      <c r="B1760" s="5" t="str">
        <f>IFERROR(__xludf.DUMMYFUNCTION("IF(A1760="""","""",INDEX(SPLIT(A1760,"" ""),COUNTA(SPLIT(A1760,"" ""))))"),"d'Adda")</f>
        <v>d'Adda</v>
      </c>
      <c r="C1760" s="6" t="s">
        <v>1654</v>
      </c>
      <c r="D1760" s="6"/>
      <c r="E1760" s="7" t="s">
        <v>1655</v>
      </c>
    </row>
    <row r="1761">
      <c r="A1761" s="4" t="s">
        <v>1777</v>
      </c>
      <c r="B1761" s="5" t="str">
        <f>IFERROR(__xludf.DUMMYFUNCTION("IF(A1761="""","""",INDEX(SPLIT(A1761,"" ""),COUNTA(SPLIT(A1761,"" ""))))"),"Vermezzo")</f>
        <v>Vermezzo</v>
      </c>
      <c r="C1761" s="6" t="s">
        <v>1654</v>
      </c>
      <c r="D1761" s="6"/>
      <c r="E1761" s="7" t="s">
        <v>1655</v>
      </c>
    </row>
    <row r="1762">
      <c r="A1762" s="4" t="s">
        <v>1778</v>
      </c>
      <c r="B1762" s="5" t="str">
        <f>IFERROR(__xludf.DUMMYFUNCTION("IF(A1762="""","""",INDEX(SPLIT(A1762,"" ""),COUNTA(SPLIT(A1762,"" ""))))"),"Vernate")</f>
        <v>Vernate</v>
      </c>
      <c r="C1762" s="6" t="s">
        <v>1654</v>
      </c>
      <c r="D1762" s="6"/>
      <c r="E1762" s="7" t="s">
        <v>1655</v>
      </c>
    </row>
    <row r="1763">
      <c r="A1763" s="4" t="s">
        <v>1779</v>
      </c>
      <c r="B1763" s="5" t="str">
        <f>IFERROR(__xludf.DUMMYFUNCTION("IF(A1763="""","""",INDEX(SPLIT(A1763,"" ""),COUNTA(SPLIT(A1763,"" ""))))"),"Vignate")</f>
        <v>Vignate</v>
      </c>
      <c r="C1763" s="6" t="s">
        <v>1654</v>
      </c>
      <c r="D1763" s="6"/>
      <c r="E1763" s="7" t="s">
        <v>1655</v>
      </c>
    </row>
    <row r="1764">
      <c r="A1764" s="4" t="s">
        <v>1780</v>
      </c>
      <c r="B1764" s="5" t="str">
        <f>IFERROR(__xludf.DUMMYFUNCTION("IF(A1764="""","""",INDEX(SPLIT(A1764,"" ""),COUNTA(SPLIT(A1764,"" ""))))"),"Vimodrone")</f>
        <v>Vimodrone</v>
      </c>
      <c r="C1764" s="6" t="s">
        <v>1654</v>
      </c>
      <c r="D1764" s="6"/>
      <c r="E1764" s="7" t="s">
        <v>1655</v>
      </c>
    </row>
    <row r="1765">
      <c r="A1765" s="4" t="s">
        <v>1781</v>
      </c>
      <c r="B1765" s="5" t="str">
        <f>IFERROR(__xludf.DUMMYFUNCTION("IF(A1765="""","""",INDEX(SPLIT(A1765,"" ""),COUNTA(SPLIT(A1765,"" ""))))"),"Vittuone")</f>
        <v>Vittuone</v>
      </c>
      <c r="C1765" s="6" t="s">
        <v>1654</v>
      </c>
      <c r="D1765" s="6"/>
      <c r="E1765" s="7" t="s">
        <v>1655</v>
      </c>
    </row>
    <row r="1766">
      <c r="A1766" s="4" t="s">
        <v>1782</v>
      </c>
      <c r="B1766" s="5" t="str">
        <f>IFERROR(__xludf.DUMMYFUNCTION("IF(A1766="""","""",INDEX(SPLIT(A1766,"" ""),COUNTA(SPLIT(A1766,"" ""))))"),"Predabissi")</f>
        <v>Predabissi</v>
      </c>
      <c r="C1766" s="6" t="s">
        <v>1654</v>
      </c>
      <c r="D1766" s="6"/>
      <c r="E1766" s="7" t="s">
        <v>1655</v>
      </c>
    </row>
    <row r="1767">
      <c r="A1767" s="4" t="s">
        <v>1783</v>
      </c>
      <c r="B1767" s="5" t="str">
        <f>IFERROR(__xludf.DUMMYFUNCTION("IF(A1767="""","""",INDEX(SPLIT(A1767,"" ""),COUNTA(SPLIT(A1767,"" ""))))"),"Surrigone")</f>
        <v>Surrigone</v>
      </c>
      <c r="C1767" s="6" t="s">
        <v>1654</v>
      </c>
      <c r="D1767" s="6"/>
      <c r="E1767" s="7" t="s">
        <v>1655</v>
      </c>
    </row>
    <row r="1768">
      <c r="A1768" s="4" t="s">
        <v>1784</v>
      </c>
      <c r="B1768" s="5" t="str">
        <f>IFERROR(__xludf.DUMMYFUNCTION("IF(A1768="""","""",INDEX(SPLIT(A1768,"" ""),COUNTA(SPLIT(A1768,"" ""))))"),"Giacomo")</f>
        <v>Giacomo</v>
      </c>
      <c r="C1768" s="6" t="s">
        <v>1654</v>
      </c>
      <c r="D1768" s="6"/>
      <c r="E1768" s="7" t="s">
        <v>1655</v>
      </c>
    </row>
    <row r="1769">
      <c r="A1769" s="4" t="s">
        <v>1785</v>
      </c>
      <c r="B1769" s="5" t="str">
        <f>IFERROR(__xludf.DUMMYFUNCTION("IF(A1769="""","""",INDEX(SPLIT(A1769,"" ""),COUNTA(SPLIT(A1769,"" ""))))"),"Cortese")</f>
        <v>Cortese</v>
      </c>
      <c r="C1769" s="6" t="s">
        <v>1654</v>
      </c>
      <c r="D1769" s="6"/>
      <c r="E1769" s="7" t="s">
        <v>1655</v>
      </c>
    </row>
    <row r="1770">
      <c r="A1770" s="4" t="s">
        <v>1786</v>
      </c>
      <c r="B1770" s="5" t="str">
        <f>IFERROR(__xludf.DUMMYFUNCTION("IF(A1770="""","""",INDEX(SPLIT(A1770,"" ""),COUNTA(SPLIT(A1770,"" ""))))"),"Vanzaghello")</f>
        <v>Vanzaghello</v>
      </c>
      <c r="C1770" s="6" t="s">
        <v>1654</v>
      </c>
      <c r="D1770" s="6"/>
      <c r="E1770" s="7" t="s">
        <v>1655</v>
      </c>
    </row>
    <row r="1771">
      <c r="A1771" s="4" t="s">
        <v>1787</v>
      </c>
      <c r="B1771" s="5" t="str">
        <f>IFERROR(__xludf.DUMMYFUNCTION("IF(A1771="""","""",INDEX(SPLIT(A1771,"" ""),COUNTA(SPLIT(A1771,"" ""))))"),"Baranzate")</f>
        <v>Baranzate</v>
      </c>
      <c r="C1771" s="6" t="s">
        <v>1654</v>
      </c>
      <c r="D1771" s="6"/>
      <c r="E1771" s="7" t="s">
        <v>1655</v>
      </c>
    </row>
    <row r="1772">
      <c r="A1772" s="4" t="s">
        <v>1788</v>
      </c>
      <c r="B1772" s="5" t="str">
        <f>IFERROR(__xludf.DUMMYFUNCTION("IF(A1772="""","""",INDEX(SPLIT(A1772,"" ""),COUNTA(SPLIT(A1772,"" ""))))"),"Martino")</f>
        <v>Martino</v>
      </c>
      <c r="C1772" s="6"/>
      <c r="D1772" s="6" t="s">
        <v>1789</v>
      </c>
      <c r="E1772" s="9" t="s">
        <v>1790</v>
      </c>
    </row>
    <row r="1773">
      <c r="A1773" s="4" t="s">
        <v>1791</v>
      </c>
      <c r="B1773" s="5" t="str">
        <f>IFERROR(__xludf.DUMMYFUNCTION("IF(A1773="""","""",INDEX(SPLIT(A1773,"" ""),COUNTA(SPLIT(A1773,"" ""))))"),"Rocco")</f>
        <v>Rocco</v>
      </c>
      <c r="C1773" s="6"/>
      <c r="D1773" s="6" t="s">
        <v>1789</v>
      </c>
      <c r="E1773" s="9" t="s">
        <v>1790</v>
      </c>
    </row>
    <row r="1774">
      <c r="A1774" s="4" t="s">
        <v>1792</v>
      </c>
      <c r="B1774" s="5" t="str">
        <f>IFERROR(__xludf.DUMMYFUNCTION("IF(A1774="""","""",INDEX(SPLIT(A1774,"" ""),COUNTA(SPLIT(A1774,"" ""))))"),"Sant'Alessandro")</f>
        <v>Sant'Alessandro</v>
      </c>
      <c r="C1774" s="6"/>
      <c r="D1774" s="6" t="s">
        <v>1789</v>
      </c>
      <c r="E1774" s="9" t="s">
        <v>1790</v>
      </c>
    </row>
    <row r="1775">
      <c r="A1775" s="4" t="s">
        <v>1793</v>
      </c>
      <c r="B1775" s="5" t="str">
        <f>IFERROR(__xludf.DUMMYFUNCTION("IF(A1775="""","""",INDEX(SPLIT(A1775,"" ""),COUNTA(SPLIT(A1775,"" ""))))"),"Albino")</f>
        <v>Albino</v>
      </c>
      <c r="C1775" s="6"/>
      <c r="D1775" s="6" t="s">
        <v>1789</v>
      </c>
      <c r="E1775" s="9" t="s">
        <v>1790</v>
      </c>
    </row>
    <row r="1776">
      <c r="A1776" s="4" t="s">
        <v>1794</v>
      </c>
      <c r="B1776" s="5" t="str">
        <f>IFERROR(__xludf.DUMMYFUNCTION("IF(A1776="""","""",INDEX(SPLIT(A1776,"" ""),COUNTA(SPLIT(A1776,"" ""))))"),"Almè")</f>
        <v>Almè</v>
      </c>
      <c r="C1776" s="6"/>
      <c r="D1776" s="6" t="s">
        <v>1789</v>
      </c>
      <c r="E1776" s="9" t="s">
        <v>1790</v>
      </c>
    </row>
    <row r="1777">
      <c r="A1777" s="4" t="s">
        <v>1795</v>
      </c>
      <c r="B1777" s="5" t="str">
        <f>IFERROR(__xludf.DUMMYFUNCTION("IF(A1777="""","""",INDEX(SPLIT(A1777,"" ""),COUNTA(SPLIT(A1777,"" ""))))"),"Bartolomeo")</f>
        <v>Bartolomeo</v>
      </c>
      <c r="C1777" s="6"/>
      <c r="D1777" s="6" t="s">
        <v>1789</v>
      </c>
      <c r="E1777" s="9" t="s">
        <v>1790</v>
      </c>
    </row>
    <row r="1778">
      <c r="A1778" s="4" t="s">
        <v>1796</v>
      </c>
      <c r="B1778" s="5" t="str">
        <f>IFERROR(__xludf.DUMMYFUNCTION("IF(A1778="""","""",INDEX(SPLIT(A1778,"" ""),COUNTA(SPLIT(A1778,"" ""))))"),"Salvatore")</f>
        <v>Salvatore</v>
      </c>
      <c r="C1778" s="6"/>
      <c r="D1778" s="6" t="s">
        <v>1789</v>
      </c>
      <c r="E1778" s="9" t="s">
        <v>1790</v>
      </c>
    </row>
    <row r="1779">
      <c r="A1779" s="4" t="s">
        <v>1797</v>
      </c>
      <c r="B1779" s="5" t="str">
        <f>IFERROR(__xludf.DUMMYFUNCTION("IF(A1779="""","""",INDEX(SPLIT(A1779,"" ""),COUNTA(SPLIT(A1779,"" ""))))"),"Lombardo")</f>
        <v>Lombardo</v>
      </c>
      <c r="C1779" s="6"/>
      <c r="D1779" s="6" t="s">
        <v>1789</v>
      </c>
      <c r="E1779" s="9" t="s">
        <v>1790</v>
      </c>
    </row>
    <row r="1780">
      <c r="A1780" s="4" t="s">
        <v>1798</v>
      </c>
      <c r="B1780" s="5" t="str">
        <f>IFERROR(__xludf.DUMMYFUNCTION("IF(A1780="""","""",INDEX(SPLIT(A1780,"" ""),COUNTA(SPLIT(A1780,"" ""))))"),"Ambivere")</f>
        <v>Ambivere</v>
      </c>
      <c r="C1780" s="6"/>
      <c r="D1780" s="6" t="s">
        <v>1789</v>
      </c>
      <c r="E1780" s="9" t="s">
        <v>1790</v>
      </c>
    </row>
    <row r="1781">
      <c r="A1781" s="4" t="s">
        <v>1799</v>
      </c>
      <c r="B1781" s="5" t="str">
        <f>IFERROR(__xludf.DUMMYFUNCTION("IF(A1781="""","""",INDEX(SPLIT(A1781,"" ""),COUNTA(SPLIT(A1781,"" ""))))"),"Antegnate")</f>
        <v>Antegnate</v>
      </c>
      <c r="C1781" s="6"/>
      <c r="D1781" s="6" t="s">
        <v>1789</v>
      </c>
      <c r="E1781" s="9" t="s">
        <v>1790</v>
      </c>
    </row>
    <row r="1782">
      <c r="A1782" s="4" t="s">
        <v>1800</v>
      </c>
      <c r="B1782" s="5" t="str">
        <f>IFERROR(__xludf.DUMMYFUNCTION("IF(A1782="""","""",INDEX(SPLIT(A1782,"" ""),COUNTA(SPLIT(A1782,"" ""))))"),"Arcene")</f>
        <v>Arcene</v>
      </c>
      <c r="C1782" s="6"/>
      <c r="D1782" s="6" t="s">
        <v>1789</v>
      </c>
      <c r="E1782" s="9" t="s">
        <v>1790</v>
      </c>
    </row>
    <row r="1783">
      <c r="A1783" s="4" t="s">
        <v>1801</v>
      </c>
      <c r="B1783" s="5" t="str">
        <f>IFERROR(__xludf.DUMMYFUNCTION("IF(A1783="""","""",INDEX(SPLIT(A1783,"" ""),COUNTA(SPLIT(A1783,"" ""))))"),"Ardesio")</f>
        <v>Ardesio</v>
      </c>
      <c r="C1783" s="6"/>
      <c r="D1783" s="6" t="s">
        <v>1789</v>
      </c>
      <c r="E1783" s="9" t="s">
        <v>1790</v>
      </c>
    </row>
    <row r="1784">
      <c r="A1784" s="4" t="s">
        <v>1802</v>
      </c>
      <c r="B1784" s="5" t="str">
        <f>IFERROR(__xludf.DUMMYFUNCTION("IF(A1784="""","""",INDEX(SPLIT(A1784,"" ""),COUNTA(SPLIT(A1784,"" ""))))"),"d'Adda")</f>
        <v>d'Adda</v>
      </c>
      <c r="C1784" s="6"/>
      <c r="D1784" s="6" t="s">
        <v>1789</v>
      </c>
      <c r="E1784" s="9" t="s">
        <v>1790</v>
      </c>
    </row>
    <row r="1785">
      <c r="A1785" s="4" t="s">
        <v>1803</v>
      </c>
      <c r="B1785" s="5" t="str">
        <f>IFERROR(__xludf.DUMMYFUNCTION("IF(A1785="""","""",INDEX(SPLIT(A1785,"" ""),COUNTA(SPLIT(A1785,"" ""))))"),"Averara")</f>
        <v>Averara</v>
      </c>
      <c r="C1785" s="6"/>
      <c r="D1785" s="6" t="s">
        <v>1789</v>
      </c>
      <c r="E1785" s="9" t="s">
        <v>1790</v>
      </c>
    </row>
    <row r="1786">
      <c r="A1786" s="4" t="s">
        <v>1804</v>
      </c>
      <c r="B1786" s="5" t="str">
        <f>IFERROR(__xludf.DUMMYFUNCTION("IF(A1786="""","""",INDEX(SPLIT(A1786,"" ""),COUNTA(SPLIT(A1786,"" ""))))"),"Aviatico")</f>
        <v>Aviatico</v>
      </c>
      <c r="C1786" s="6"/>
      <c r="D1786" s="6" t="s">
        <v>1789</v>
      </c>
      <c r="E1786" s="9" t="s">
        <v>1790</v>
      </c>
    </row>
    <row r="1787">
      <c r="A1787" s="4" t="s">
        <v>1805</v>
      </c>
      <c r="B1787" s="5" t="str">
        <f>IFERROR(__xludf.DUMMYFUNCTION("IF(A1787="""","""",INDEX(SPLIT(A1787,"" ""),COUNTA(SPLIT(A1787,"" ""))))"),"Paolo")</f>
        <v>Paolo</v>
      </c>
      <c r="C1787" s="6"/>
      <c r="D1787" s="6" t="s">
        <v>1789</v>
      </c>
      <c r="E1787" s="9" t="s">
        <v>1790</v>
      </c>
    </row>
    <row r="1788">
      <c r="A1788" s="4" t="s">
        <v>1806</v>
      </c>
      <c r="B1788" s="5" t="str">
        <f>IFERROR(__xludf.DUMMYFUNCTION("IF(A1788="""","""",INDEX(SPLIT(A1788,"" ""),COUNTA(SPLIT(A1788,"" ""))))"),"Azzone")</f>
        <v>Azzone</v>
      </c>
      <c r="C1788" s="6"/>
      <c r="D1788" s="6" t="s">
        <v>1789</v>
      </c>
      <c r="E1788" s="9" t="s">
        <v>1790</v>
      </c>
    </row>
    <row r="1789">
      <c r="A1789" s="4" t="s">
        <v>1807</v>
      </c>
      <c r="B1789" s="5" t="str">
        <f>IFERROR(__xludf.DUMMYFUNCTION("IF(A1789="""","""",INDEX(SPLIT(A1789,"" ""),COUNTA(SPLIT(A1789,"" ""))))"),"Bagnatica")</f>
        <v>Bagnatica</v>
      </c>
      <c r="C1789" s="6"/>
      <c r="D1789" s="6" t="s">
        <v>1789</v>
      </c>
      <c r="E1789" s="9" t="s">
        <v>1790</v>
      </c>
    </row>
    <row r="1790">
      <c r="A1790" s="4" t="s">
        <v>1808</v>
      </c>
      <c r="B1790" s="5" t="str">
        <f>IFERROR(__xludf.DUMMYFUNCTION("IF(A1790="""","""",INDEX(SPLIT(A1790,"" ""),COUNTA(SPLIT(A1790,"" ""))))"),"Barbata")</f>
        <v>Barbata</v>
      </c>
      <c r="C1790" s="6"/>
      <c r="D1790" s="6" t="s">
        <v>1789</v>
      </c>
      <c r="E1790" s="9" t="s">
        <v>1790</v>
      </c>
    </row>
    <row r="1791">
      <c r="A1791" s="4" t="s">
        <v>1809</v>
      </c>
      <c r="B1791" s="5" t="str">
        <f>IFERROR(__xludf.DUMMYFUNCTION("IF(A1791="""","""",INDEX(SPLIT(A1791,"" ""),COUNTA(SPLIT(A1791,"" ""))))"),"Bariano")</f>
        <v>Bariano</v>
      </c>
      <c r="C1791" s="6"/>
      <c r="D1791" s="6" t="s">
        <v>1789</v>
      </c>
      <c r="E1791" s="9" t="s">
        <v>1790</v>
      </c>
    </row>
    <row r="1792">
      <c r="A1792" s="4" t="s">
        <v>1810</v>
      </c>
      <c r="B1792" s="5" t="str">
        <f>IFERROR(__xludf.DUMMYFUNCTION("IF(A1792="""","""",INDEX(SPLIT(A1792,"" ""),COUNTA(SPLIT(A1792,"" ""))))"),"Barzana")</f>
        <v>Barzana</v>
      </c>
      <c r="C1792" s="6"/>
      <c r="D1792" s="6" t="s">
        <v>1789</v>
      </c>
      <c r="E1792" s="9" t="s">
        <v>1790</v>
      </c>
    </row>
    <row r="1793">
      <c r="A1793" s="4" t="s">
        <v>1811</v>
      </c>
      <c r="B1793" s="5" t="str">
        <f>IFERROR(__xludf.DUMMYFUNCTION("IF(A1793="""","""",INDEX(SPLIT(A1793,"" ""),COUNTA(SPLIT(A1793,"" ""))))"),"Bedulita")</f>
        <v>Bedulita</v>
      </c>
      <c r="C1793" s="6"/>
      <c r="D1793" s="6" t="s">
        <v>1789</v>
      </c>
      <c r="E1793" s="9" t="s">
        <v>1790</v>
      </c>
    </row>
    <row r="1794">
      <c r="A1794" s="4" t="s">
        <v>1812</v>
      </c>
      <c r="B1794" s="5" t="str">
        <f>IFERROR(__xludf.DUMMYFUNCTION("IF(A1794="""","""",INDEX(SPLIT(A1794,"" ""),COUNTA(SPLIT(A1794,"" ""))))"),"Berbenno")</f>
        <v>Berbenno</v>
      </c>
      <c r="C1794" s="6"/>
      <c r="D1794" s="6" t="s">
        <v>1789</v>
      </c>
      <c r="E1794" s="9" t="s">
        <v>1790</v>
      </c>
    </row>
    <row r="1795">
      <c r="A1795" s="4" t="s">
        <v>1789</v>
      </c>
      <c r="B1795" s="5" t="str">
        <f>IFERROR(__xludf.DUMMYFUNCTION("IF(A1795="""","""",INDEX(SPLIT(A1795,"" ""),COUNTA(SPLIT(A1795,"" ""))))"),"Bergamo")</f>
        <v>Bergamo</v>
      </c>
      <c r="C1795" s="6"/>
      <c r="D1795" s="6" t="s">
        <v>1789</v>
      </c>
      <c r="E1795" s="9" t="s">
        <v>1790</v>
      </c>
    </row>
    <row r="1796">
      <c r="A1796" s="4" t="s">
        <v>1813</v>
      </c>
      <c r="B1796" s="5" t="str">
        <f>IFERROR(__xludf.DUMMYFUNCTION("IF(A1796="""","""",INDEX(SPLIT(A1796,"" ""),COUNTA(SPLIT(A1796,"" ""))))"),"Fermo")</f>
        <v>Fermo</v>
      </c>
      <c r="C1796" s="6"/>
      <c r="D1796" s="6" t="s">
        <v>1789</v>
      </c>
      <c r="E1796" s="9" t="s">
        <v>1790</v>
      </c>
    </row>
    <row r="1797">
      <c r="A1797" s="4" t="s">
        <v>1814</v>
      </c>
      <c r="B1797" s="5" t="str">
        <f>IFERROR(__xludf.DUMMYFUNCTION("IF(A1797="""","""",INDEX(SPLIT(A1797,"" ""),COUNTA(SPLIT(A1797,"" ""))))"),"Bianzano")</f>
        <v>Bianzano</v>
      </c>
      <c r="C1797" s="6"/>
      <c r="D1797" s="6" t="s">
        <v>1789</v>
      </c>
      <c r="E1797" s="9" t="s">
        <v>1790</v>
      </c>
    </row>
    <row r="1798">
      <c r="A1798" s="4" t="s">
        <v>1815</v>
      </c>
      <c r="B1798" s="5" t="str">
        <f>IFERROR(__xludf.DUMMYFUNCTION("IF(A1798="""","""",INDEX(SPLIT(A1798,"" ""),COUNTA(SPLIT(A1798,"" ""))))"),"Blello")</f>
        <v>Blello</v>
      </c>
      <c r="C1798" s="6"/>
      <c r="D1798" s="6" t="s">
        <v>1789</v>
      </c>
      <c r="E1798" s="9" t="s">
        <v>1790</v>
      </c>
    </row>
    <row r="1799">
      <c r="A1799" s="4" t="s">
        <v>1816</v>
      </c>
      <c r="B1799" s="5" t="str">
        <f>IFERROR(__xludf.DUMMYFUNCTION("IF(A1799="""","""",INDEX(SPLIT(A1799,"" ""),COUNTA(SPLIT(A1799,"" ""))))"),"Bolgare")</f>
        <v>Bolgare</v>
      </c>
      <c r="C1799" s="6"/>
      <c r="D1799" s="6" t="s">
        <v>1789</v>
      </c>
      <c r="E1799" s="9" t="s">
        <v>1790</v>
      </c>
    </row>
    <row r="1800">
      <c r="A1800" s="4" t="s">
        <v>1817</v>
      </c>
      <c r="B1800" s="5" t="str">
        <f>IFERROR(__xludf.DUMMYFUNCTION("IF(A1800="""","""",INDEX(SPLIT(A1800,"" ""),COUNTA(SPLIT(A1800,"" ""))))"),"Boltiere")</f>
        <v>Boltiere</v>
      </c>
      <c r="C1800" s="6"/>
      <c r="D1800" s="6" t="s">
        <v>1789</v>
      </c>
      <c r="E1800" s="9" t="s">
        <v>1790</v>
      </c>
    </row>
    <row r="1801">
      <c r="A1801" s="4" t="s">
        <v>1818</v>
      </c>
      <c r="B1801" s="5" t="str">
        <f>IFERROR(__xludf.DUMMYFUNCTION("IF(A1801="""","""",INDEX(SPLIT(A1801,"" ""),COUNTA(SPLIT(A1801,"" ""))))"),"Sopra")</f>
        <v>Sopra</v>
      </c>
      <c r="C1801" s="6"/>
      <c r="D1801" s="6" t="s">
        <v>1789</v>
      </c>
      <c r="E1801" s="9" t="s">
        <v>1790</v>
      </c>
    </row>
    <row r="1802">
      <c r="A1802" s="4" t="s">
        <v>1819</v>
      </c>
      <c r="B1802" s="5" t="str">
        <f>IFERROR(__xludf.DUMMYFUNCTION("IF(A1802="""","""",INDEX(SPLIT(A1802,"" ""),COUNTA(SPLIT(A1802,"" ""))))"),"Sotto")</f>
        <v>Sotto</v>
      </c>
      <c r="C1802" s="6"/>
      <c r="D1802" s="6" t="s">
        <v>1789</v>
      </c>
      <c r="E1802" s="9" t="s">
        <v>1790</v>
      </c>
    </row>
    <row r="1803">
      <c r="A1803" s="4" t="s">
        <v>1820</v>
      </c>
      <c r="B1803" s="5" t="str">
        <f>IFERROR(__xludf.DUMMYFUNCTION("IF(A1803="""","""",INDEX(SPLIT(A1803,"" ""),COUNTA(SPLIT(A1803,"" ""))))"),"Terzo")</f>
        <v>Terzo</v>
      </c>
      <c r="C1803" s="6"/>
      <c r="D1803" s="6" t="s">
        <v>1789</v>
      </c>
      <c r="E1803" s="9" t="s">
        <v>1790</v>
      </c>
    </row>
    <row r="1804">
      <c r="A1804" s="4" t="s">
        <v>1821</v>
      </c>
      <c r="B1804" s="5" t="str">
        <f>IFERROR(__xludf.DUMMYFUNCTION("IF(A1804="""","""",INDEX(SPLIT(A1804,"" ""),COUNTA(SPLIT(A1804,"" ""))))"),"Bossico")</f>
        <v>Bossico</v>
      </c>
      <c r="C1804" s="6"/>
      <c r="D1804" s="6" t="s">
        <v>1789</v>
      </c>
      <c r="E1804" s="9" t="s">
        <v>1790</v>
      </c>
    </row>
    <row r="1805">
      <c r="A1805" s="4" t="s">
        <v>1822</v>
      </c>
      <c r="B1805" s="5" t="str">
        <f>IFERROR(__xludf.DUMMYFUNCTION("IF(A1805="""","""",INDEX(SPLIT(A1805,"" ""),COUNTA(SPLIT(A1805,"" ""))))"),"Bottanuco")</f>
        <v>Bottanuco</v>
      </c>
      <c r="C1805" s="6"/>
      <c r="D1805" s="6" t="s">
        <v>1789</v>
      </c>
      <c r="E1805" s="9" t="s">
        <v>1790</v>
      </c>
    </row>
    <row r="1806">
      <c r="A1806" s="4" t="s">
        <v>1823</v>
      </c>
      <c r="B1806" s="5" t="str">
        <f>IFERROR(__xludf.DUMMYFUNCTION("IF(A1806="""","""",INDEX(SPLIT(A1806,"" ""),COUNTA(SPLIT(A1806,"" ""))))"),"Bracca")</f>
        <v>Bracca</v>
      </c>
      <c r="C1806" s="6"/>
      <c r="D1806" s="6" t="s">
        <v>1789</v>
      </c>
      <c r="E1806" s="9" t="s">
        <v>1790</v>
      </c>
    </row>
    <row r="1807">
      <c r="A1807" s="4" t="s">
        <v>1824</v>
      </c>
      <c r="B1807" s="5" t="str">
        <f>IFERROR(__xludf.DUMMYFUNCTION("IF(A1807="""","""",INDEX(SPLIT(A1807,"" ""),COUNTA(SPLIT(A1807,"" ""))))"),"Branzi")</f>
        <v>Branzi</v>
      </c>
      <c r="C1807" s="6"/>
      <c r="D1807" s="6" t="s">
        <v>1789</v>
      </c>
      <c r="E1807" s="9" t="s">
        <v>1790</v>
      </c>
    </row>
    <row r="1808">
      <c r="A1808" s="4" t="s">
        <v>1825</v>
      </c>
      <c r="B1808" s="5" t="str">
        <f>IFERROR(__xludf.DUMMYFUNCTION("IF(A1808="""","""",INDEX(SPLIT(A1808,"" ""),COUNTA(SPLIT(A1808,"" ""))))"),"Brembate")</f>
        <v>Brembate</v>
      </c>
      <c r="C1808" s="6"/>
      <c r="D1808" s="6" t="s">
        <v>1789</v>
      </c>
      <c r="E1808" s="9" t="s">
        <v>1790</v>
      </c>
    </row>
    <row r="1809">
      <c r="A1809" s="4" t="s">
        <v>1826</v>
      </c>
      <c r="B1809" s="5" t="str">
        <f>IFERROR(__xludf.DUMMYFUNCTION("IF(A1809="""","""",INDEX(SPLIT(A1809,"" ""),COUNTA(SPLIT(A1809,"" ""))))"),"Sopra")</f>
        <v>Sopra</v>
      </c>
      <c r="C1809" s="6"/>
      <c r="D1809" s="6" t="s">
        <v>1789</v>
      </c>
      <c r="E1809" s="9" t="s">
        <v>1790</v>
      </c>
    </row>
    <row r="1810">
      <c r="A1810" s="4" t="s">
        <v>1827</v>
      </c>
      <c r="B1810" s="5" t="str">
        <f>IFERROR(__xludf.DUMMYFUNCTION("IF(A1810="""","""",INDEX(SPLIT(A1810,"" ""),COUNTA(SPLIT(A1810,"" ""))))"),"d'Adda")</f>
        <v>d'Adda</v>
      </c>
      <c r="C1810" s="6"/>
      <c r="D1810" s="6" t="s">
        <v>1789</v>
      </c>
      <c r="E1810" s="9" t="s">
        <v>1790</v>
      </c>
    </row>
    <row r="1811">
      <c r="A1811" s="4" t="s">
        <v>1828</v>
      </c>
      <c r="B1811" s="5" t="str">
        <f>IFERROR(__xludf.DUMMYFUNCTION("IF(A1811="""","""",INDEX(SPLIT(A1811,"" ""),COUNTA(SPLIT(A1811,"" ""))))"),"Brumano")</f>
        <v>Brumano</v>
      </c>
      <c r="C1811" s="6"/>
      <c r="D1811" s="6" t="s">
        <v>1789</v>
      </c>
      <c r="E1811" s="9" t="s">
        <v>1790</v>
      </c>
    </row>
    <row r="1812">
      <c r="A1812" s="4" t="s">
        <v>1829</v>
      </c>
      <c r="B1812" s="5" t="str">
        <f>IFERROR(__xludf.DUMMYFUNCTION("IF(A1812="""","""",INDEX(SPLIT(A1812,"" ""),COUNTA(SPLIT(A1812,"" ""))))"),"Brusaporto")</f>
        <v>Brusaporto</v>
      </c>
      <c r="C1812" s="6"/>
      <c r="D1812" s="6" t="s">
        <v>1789</v>
      </c>
      <c r="E1812" s="9" t="s">
        <v>1790</v>
      </c>
    </row>
    <row r="1813">
      <c r="A1813" s="4" t="s">
        <v>1830</v>
      </c>
      <c r="B1813" s="5" t="str">
        <f>IFERROR(__xludf.DUMMYFUNCTION("IF(A1813="""","""",INDEX(SPLIT(A1813,"" ""),COUNTA(SPLIT(A1813,"" ""))))"),"Calcinate")</f>
        <v>Calcinate</v>
      </c>
      <c r="C1813" s="6"/>
      <c r="D1813" s="6" t="s">
        <v>1789</v>
      </c>
      <c r="E1813" s="9" t="s">
        <v>1790</v>
      </c>
    </row>
    <row r="1814">
      <c r="A1814" s="4" t="s">
        <v>1831</v>
      </c>
      <c r="B1814" s="5" t="str">
        <f>IFERROR(__xludf.DUMMYFUNCTION("IF(A1814="""","""",INDEX(SPLIT(A1814,"" ""),COUNTA(SPLIT(A1814,"" ""))))"),"Calcio")</f>
        <v>Calcio</v>
      </c>
      <c r="C1814" s="6"/>
      <c r="D1814" s="6" t="s">
        <v>1789</v>
      </c>
      <c r="E1814" s="9" t="s">
        <v>1790</v>
      </c>
    </row>
    <row r="1815">
      <c r="A1815" s="4" t="s">
        <v>1832</v>
      </c>
      <c r="B1815" s="5" t="str">
        <f>IFERROR(__xludf.DUMMYFUNCTION("IF(A1815="""","""",INDEX(SPLIT(A1815,"" ""),COUNTA(SPLIT(A1815,"" ""))))"),"d'Adda")</f>
        <v>d'Adda</v>
      </c>
      <c r="C1815" s="6"/>
      <c r="D1815" s="6" t="s">
        <v>1789</v>
      </c>
      <c r="E1815" s="9" t="s">
        <v>1790</v>
      </c>
    </row>
    <row r="1816">
      <c r="A1816" s="4" t="s">
        <v>1833</v>
      </c>
      <c r="B1816" s="5" t="str">
        <f>IFERROR(__xludf.DUMMYFUNCTION("IF(A1816="""","""",INDEX(SPLIT(A1816,"" ""),COUNTA(SPLIT(A1816,"" ""))))"),"Calvenzano")</f>
        <v>Calvenzano</v>
      </c>
      <c r="C1816" s="6"/>
      <c r="D1816" s="6" t="s">
        <v>1789</v>
      </c>
      <c r="E1816" s="9" t="s">
        <v>1790</v>
      </c>
    </row>
    <row r="1817">
      <c r="A1817" s="4" t="s">
        <v>1834</v>
      </c>
      <c r="B1817" s="5" t="str">
        <f>IFERROR(__xludf.DUMMYFUNCTION("IF(A1817="""","""",INDEX(SPLIT(A1817,"" ""),COUNTA(SPLIT(A1817,"" ""))))"),"Cornello")</f>
        <v>Cornello</v>
      </c>
      <c r="C1817" s="6"/>
      <c r="D1817" s="6" t="s">
        <v>1789</v>
      </c>
      <c r="E1817" s="9" t="s">
        <v>1790</v>
      </c>
    </row>
    <row r="1818">
      <c r="A1818" s="4" t="s">
        <v>1835</v>
      </c>
      <c r="B1818" s="5" t="str">
        <f>IFERROR(__xludf.DUMMYFUNCTION("IF(A1818="""","""",INDEX(SPLIT(A1818,"" ""),COUNTA(SPLIT(A1818,"" ""))))"),"d'Adda")</f>
        <v>d'Adda</v>
      </c>
      <c r="C1818" s="6"/>
      <c r="D1818" s="6" t="s">
        <v>1789</v>
      </c>
      <c r="E1818" s="9" t="s">
        <v>1790</v>
      </c>
    </row>
    <row r="1819">
      <c r="A1819" s="4" t="s">
        <v>1836</v>
      </c>
      <c r="B1819" s="5" t="str">
        <f>IFERROR(__xludf.DUMMYFUNCTION("IF(A1819="""","""",INDEX(SPLIT(A1819,"" ""),COUNTA(SPLIT(A1819,"" ""))))"),"Capizzone")</f>
        <v>Capizzone</v>
      </c>
      <c r="C1819" s="6"/>
      <c r="D1819" s="6" t="s">
        <v>1789</v>
      </c>
      <c r="E1819" s="9" t="s">
        <v>1790</v>
      </c>
    </row>
    <row r="1820">
      <c r="A1820" s="4" t="s">
        <v>1837</v>
      </c>
      <c r="B1820" s="5" t="str">
        <f>IFERROR(__xludf.DUMMYFUNCTION("IF(A1820="""","""",INDEX(SPLIT(A1820,"" ""),COUNTA(SPLIT(A1820,"" ""))))"),"Gervasio")</f>
        <v>Gervasio</v>
      </c>
      <c r="C1820" s="6"/>
      <c r="D1820" s="6" t="s">
        <v>1789</v>
      </c>
      <c r="E1820" s="9" t="s">
        <v>1790</v>
      </c>
    </row>
    <row r="1821">
      <c r="A1821" s="4" t="s">
        <v>1838</v>
      </c>
      <c r="B1821" s="5" t="str">
        <f>IFERROR(__xludf.DUMMYFUNCTION("IF(A1821="""","""",INDEX(SPLIT(A1821,"" ""),COUNTA(SPLIT(A1821,"" ""))))"),"Bergamasco")</f>
        <v>Bergamasco</v>
      </c>
      <c r="C1821" s="6"/>
      <c r="D1821" s="6" t="s">
        <v>1789</v>
      </c>
      <c r="E1821" s="9" t="s">
        <v>1790</v>
      </c>
    </row>
    <row r="1822">
      <c r="A1822" s="4" t="s">
        <v>1839</v>
      </c>
      <c r="B1822" s="5" t="str">
        <f>IFERROR(__xludf.DUMMYFUNCTION("IF(A1822="""","""",INDEX(SPLIT(A1822,"" ""),COUNTA(SPLIT(A1822,"" ""))))"),"Caravaggio")</f>
        <v>Caravaggio</v>
      </c>
      <c r="C1822" s="6"/>
      <c r="D1822" s="6" t="s">
        <v>1789</v>
      </c>
      <c r="E1822" s="9" t="s">
        <v>1790</v>
      </c>
    </row>
    <row r="1823">
      <c r="A1823" s="4" t="s">
        <v>1840</v>
      </c>
      <c r="B1823" s="5" t="str">
        <f>IFERROR(__xludf.DUMMYFUNCTION("IF(A1823="""","""",INDEX(SPLIT(A1823,"" ""),COUNTA(SPLIT(A1823,"" ""))))"),"Angeli")</f>
        <v>Angeli</v>
      </c>
      <c r="C1823" s="6"/>
      <c r="D1823" s="6" t="s">
        <v>1789</v>
      </c>
      <c r="E1823" s="9" t="s">
        <v>1790</v>
      </c>
    </row>
    <row r="1824">
      <c r="A1824" s="4" t="s">
        <v>1841</v>
      </c>
      <c r="B1824" s="5" t="str">
        <f>IFERROR(__xludf.DUMMYFUNCTION("IF(A1824="""","""",INDEX(SPLIT(A1824,"" ""),COUNTA(SPLIT(A1824,"" ""))))"),"Carona")</f>
        <v>Carona</v>
      </c>
      <c r="C1824" s="6"/>
      <c r="D1824" s="6" t="s">
        <v>1789</v>
      </c>
      <c r="E1824" s="9" t="s">
        <v>1790</v>
      </c>
    </row>
    <row r="1825">
      <c r="A1825" s="4" t="s">
        <v>1842</v>
      </c>
      <c r="B1825" s="5" t="str">
        <f>IFERROR(__xludf.DUMMYFUNCTION("IF(A1825="""","""",INDEX(SPLIT(A1825,"" ""),COUNTA(SPLIT(A1825,"" ""))))"),"Carvico")</f>
        <v>Carvico</v>
      </c>
      <c r="C1825" s="6"/>
      <c r="D1825" s="6" t="s">
        <v>1789</v>
      </c>
      <c r="E1825" s="9" t="s">
        <v>1790</v>
      </c>
    </row>
    <row r="1826">
      <c r="A1826" s="4" t="s">
        <v>1843</v>
      </c>
      <c r="B1826" s="5" t="str">
        <f>IFERROR(__xludf.DUMMYFUNCTION("IF(A1826="""","""",INDEX(SPLIT(A1826,"" ""),COUNTA(SPLIT(A1826,"" ""))))"),"Casazza")</f>
        <v>Casazza</v>
      </c>
      <c r="C1826" s="6"/>
      <c r="D1826" s="6" t="s">
        <v>1789</v>
      </c>
      <c r="E1826" s="9" t="s">
        <v>1790</v>
      </c>
    </row>
    <row r="1827">
      <c r="A1827" s="4" t="s">
        <v>1844</v>
      </c>
      <c r="B1827" s="5" t="str">
        <f>IFERROR(__xludf.DUMMYFUNCTION("IF(A1827="""","""",INDEX(SPLIT(A1827,"" ""),COUNTA(SPLIT(A1827,"" ""))))"),"d'Adda")</f>
        <v>d'Adda</v>
      </c>
      <c r="C1827" s="6"/>
      <c r="D1827" s="6" t="s">
        <v>1789</v>
      </c>
      <c r="E1827" s="9" t="s">
        <v>1790</v>
      </c>
    </row>
    <row r="1828">
      <c r="A1828" s="4" t="s">
        <v>1845</v>
      </c>
      <c r="B1828" s="5" t="str">
        <f>IFERROR(__xludf.DUMMYFUNCTION("IF(A1828="""","""",INDEX(SPLIT(A1828,"" ""),COUNTA(SPLIT(A1828,"" ""))))"),"Casnigo")</f>
        <v>Casnigo</v>
      </c>
      <c r="C1828" s="6"/>
      <c r="D1828" s="6" t="s">
        <v>1789</v>
      </c>
      <c r="E1828" s="9" t="s">
        <v>1790</v>
      </c>
    </row>
    <row r="1829">
      <c r="A1829" s="4" t="s">
        <v>1846</v>
      </c>
      <c r="B1829" s="5" t="str">
        <f>IFERROR(__xludf.DUMMYFUNCTION("IF(A1829="""","""",INDEX(SPLIT(A1829,"" ""),COUNTA(SPLIT(A1829,"" ""))))"),"Cassiglio")</f>
        <v>Cassiglio</v>
      </c>
      <c r="C1829" s="6"/>
      <c r="D1829" s="6" t="s">
        <v>1789</v>
      </c>
      <c r="E1829" s="9" t="s">
        <v>1790</v>
      </c>
    </row>
    <row r="1830">
      <c r="A1830" s="4" t="s">
        <v>1847</v>
      </c>
      <c r="B1830" s="5" t="str">
        <f>IFERROR(__xludf.DUMMYFUNCTION("IF(A1830="""","""",INDEX(SPLIT(A1830,"" ""),COUNTA(SPLIT(A1830,"" ""))))"),"Calepio")</f>
        <v>Calepio</v>
      </c>
      <c r="C1830" s="6"/>
      <c r="D1830" s="6" t="s">
        <v>1789</v>
      </c>
      <c r="E1830" s="9" t="s">
        <v>1790</v>
      </c>
    </row>
    <row r="1831">
      <c r="A1831" s="4" t="s">
        <v>1848</v>
      </c>
      <c r="B1831" s="5" t="str">
        <f>IFERROR(__xludf.DUMMYFUNCTION("IF(A1831="""","""",INDEX(SPLIT(A1831,"" ""),COUNTA(SPLIT(A1831,"" ""))))"),"Rozzone")</f>
        <v>Rozzone</v>
      </c>
      <c r="C1831" s="6"/>
      <c r="D1831" s="6" t="s">
        <v>1789</v>
      </c>
      <c r="E1831" s="9" t="s">
        <v>1790</v>
      </c>
    </row>
    <row r="1832">
      <c r="A1832" s="4" t="s">
        <v>1849</v>
      </c>
      <c r="B1832" s="5" t="str">
        <f>IFERROR(__xludf.DUMMYFUNCTION("IF(A1832="""","""",INDEX(SPLIT(A1832,"" ""),COUNTA(SPLIT(A1832,"" ""))))"),"Presolana")</f>
        <v>Presolana</v>
      </c>
      <c r="C1832" s="6"/>
      <c r="D1832" s="6" t="s">
        <v>1789</v>
      </c>
      <c r="E1832" s="9" t="s">
        <v>1790</v>
      </c>
    </row>
    <row r="1833">
      <c r="A1833" s="4" t="s">
        <v>1850</v>
      </c>
      <c r="B1833" s="5" t="str">
        <f>IFERROR(__xludf.DUMMYFUNCTION("IF(A1833="""","""",INDEX(SPLIT(A1833,"" ""),COUNTA(SPLIT(A1833,"" ""))))"),"Castro")</f>
        <v>Castro</v>
      </c>
      <c r="C1833" s="6"/>
      <c r="D1833" s="6" t="s">
        <v>1789</v>
      </c>
      <c r="E1833" s="9" t="s">
        <v>1790</v>
      </c>
    </row>
    <row r="1834">
      <c r="A1834" s="4" t="s">
        <v>1851</v>
      </c>
      <c r="B1834" s="5" t="str">
        <f>IFERROR(__xludf.DUMMYFUNCTION("IF(A1834="""","""",INDEX(SPLIT(A1834,"" ""),COUNTA(SPLIT(A1834,"" ""))))"),"Cavernago")</f>
        <v>Cavernago</v>
      </c>
      <c r="C1834" s="6"/>
      <c r="D1834" s="6" t="s">
        <v>1789</v>
      </c>
      <c r="E1834" s="9" t="s">
        <v>1790</v>
      </c>
    </row>
    <row r="1835">
      <c r="A1835" s="4" t="s">
        <v>1852</v>
      </c>
      <c r="B1835" s="5" t="str">
        <f>IFERROR(__xludf.DUMMYFUNCTION("IF(A1835="""","""",INDEX(SPLIT(A1835,"" ""),COUNTA(SPLIT(A1835,"" ""))))"),"Sant'Andrea")</f>
        <v>Sant'Andrea</v>
      </c>
      <c r="C1835" s="6"/>
      <c r="D1835" s="6" t="s">
        <v>1789</v>
      </c>
      <c r="E1835" s="9" t="s">
        <v>1790</v>
      </c>
    </row>
    <row r="1836">
      <c r="A1836" s="4" t="s">
        <v>1853</v>
      </c>
      <c r="B1836" s="5" t="str">
        <f>IFERROR(__xludf.DUMMYFUNCTION("IF(A1836="""","""",INDEX(SPLIT(A1836,"" ""),COUNTA(SPLIT(A1836,"" ""))))"),"Sopra")</f>
        <v>Sopra</v>
      </c>
      <c r="C1836" s="6"/>
      <c r="D1836" s="6" t="s">
        <v>1789</v>
      </c>
      <c r="E1836" s="9" t="s">
        <v>1790</v>
      </c>
    </row>
    <row r="1837">
      <c r="A1837" s="4" t="s">
        <v>1854</v>
      </c>
      <c r="B1837" s="5" t="str">
        <f>IFERROR(__xludf.DUMMYFUNCTION("IF(A1837="""","""",INDEX(SPLIT(A1837,"" ""),COUNTA(SPLIT(A1837,"" ""))))"),"Sotto")</f>
        <v>Sotto</v>
      </c>
      <c r="C1837" s="6"/>
      <c r="D1837" s="6" t="s">
        <v>1789</v>
      </c>
      <c r="E1837" s="9" t="s">
        <v>1790</v>
      </c>
    </row>
    <row r="1838">
      <c r="A1838" s="4" t="s">
        <v>1855</v>
      </c>
      <c r="B1838" s="5" t="str">
        <f>IFERROR(__xludf.DUMMYFUNCTION("IF(A1838="""","""",INDEX(SPLIT(A1838,"" ""),COUNTA(SPLIT(A1838,"" ""))))"),"Cene")</f>
        <v>Cene</v>
      </c>
      <c r="C1838" s="6"/>
      <c r="D1838" s="6" t="s">
        <v>1789</v>
      </c>
      <c r="E1838" s="9" t="s">
        <v>1790</v>
      </c>
    </row>
    <row r="1839">
      <c r="A1839" s="4" t="s">
        <v>1856</v>
      </c>
      <c r="B1839" s="5" t="str">
        <f>IFERROR(__xludf.DUMMYFUNCTION("IF(A1839="""","""",INDEX(SPLIT(A1839,"" ""),COUNTA(SPLIT(A1839,"" ""))))"),"Cerete")</f>
        <v>Cerete</v>
      </c>
      <c r="C1839" s="6"/>
      <c r="D1839" s="6" t="s">
        <v>1789</v>
      </c>
      <c r="E1839" s="9" t="s">
        <v>1790</v>
      </c>
    </row>
    <row r="1840">
      <c r="A1840" s="4" t="s">
        <v>1857</v>
      </c>
      <c r="B1840" s="5" t="str">
        <f>IFERROR(__xludf.DUMMYFUNCTION("IF(A1840="""","""",INDEX(SPLIT(A1840,"" ""),COUNTA(SPLIT(A1840,"" ""))))"),"d'Isola")</f>
        <v>d'Isola</v>
      </c>
      <c r="C1840" s="6"/>
      <c r="D1840" s="6" t="s">
        <v>1789</v>
      </c>
      <c r="E1840" s="9" t="s">
        <v>1790</v>
      </c>
    </row>
    <row r="1841">
      <c r="A1841" s="4" t="s">
        <v>1858</v>
      </c>
      <c r="B1841" s="5" t="str">
        <f>IFERROR(__xludf.DUMMYFUNCTION("IF(A1841="""","""",INDEX(SPLIT(A1841,"" ""),COUNTA(SPLIT(A1841,"" ""))))"),"Chiuduno")</f>
        <v>Chiuduno</v>
      </c>
      <c r="C1841" s="6"/>
      <c r="D1841" s="6" t="s">
        <v>1789</v>
      </c>
      <c r="E1841" s="9" t="s">
        <v>1790</v>
      </c>
    </row>
    <row r="1842">
      <c r="A1842" s="4" t="s">
        <v>1859</v>
      </c>
      <c r="B1842" s="5" t="str">
        <f>IFERROR(__xludf.DUMMYFUNCTION("IF(A1842="""","""",INDEX(SPLIT(A1842,"" ""),COUNTA(SPLIT(A1842,"" ""))))"),"Bergamasco")</f>
        <v>Bergamasco</v>
      </c>
      <c r="C1842" s="6"/>
      <c r="D1842" s="6" t="s">
        <v>1789</v>
      </c>
      <c r="E1842" s="9" t="s">
        <v>1790</v>
      </c>
    </row>
    <row r="1843">
      <c r="A1843" s="4" t="s">
        <v>1860</v>
      </c>
      <c r="B1843" s="5" t="str">
        <f>IFERROR(__xludf.DUMMYFUNCTION("IF(A1843="""","""",INDEX(SPLIT(A1843,"" ""),COUNTA(SPLIT(A1843,"" ""))))"),"Ciserano")</f>
        <v>Ciserano</v>
      </c>
      <c r="C1843" s="6"/>
      <c r="D1843" s="6" t="s">
        <v>1789</v>
      </c>
      <c r="E1843" s="9" t="s">
        <v>1790</v>
      </c>
    </row>
    <row r="1844">
      <c r="A1844" s="4" t="s">
        <v>1861</v>
      </c>
      <c r="B1844" s="5" t="str">
        <f>IFERROR(__xludf.DUMMYFUNCTION("IF(A1844="""","""",INDEX(SPLIT(A1844,"" ""),COUNTA(SPLIT(A1844,"" ""))))"),"Piano")</f>
        <v>Piano</v>
      </c>
      <c r="C1844" s="6"/>
      <c r="D1844" s="6" t="s">
        <v>1789</v>
      </c>
      <c r="E1844" s="9" t="s">
        <v>1790</v>
      </c>
    </row>
    <row r="1845">
      <c r="A1845" s="4" t="s">
        <v>1862</v>
      </c>
      <c r="B1845" s="5" t="str">
        <f>IFERROR(__xludf.DUMMYFUNCTION("IF(A1845="""","""",INDEX(SPLIT(A1845,"" ""),COUNTA(SPLIT(A1845,"" ""))))"),"Clusone")</f>
        <v>Clusone</v>
      </c>
      <c r="C1845" s="6"/>
      <c r="D1845" s="6" t="s">
        <v>1789</v>
      </c>
      <c r="E1845" s="9" t="s">
        <v>1790</v>
      </c>
    </row>
    <row r="1846">
      <c r="A1846" s="4" t="s">
        <v>1863</v>
      </c>
      <c r="B1846" s="5" t="str">
        <f>IFERROR(__xludf.DUMMYFUNCTION("IF(A1846="""","""",INDEX(SPLIT(A1846,"" ""),COUNTA(SPLIT(A1846,"" ""))))"),"Colere")</f>
        <v>Colere</v>
      </c>
      <c r="C1846" s="6"/>
      <c r="D1846" s="6" t="s">
        <v>1789</v>
      </c>
      <c r="E1846" s="9" t="s">
        <v>1790</v>
      </c>
    </row>
    <row r="1847">
      <c r="A1847" s="4" t="s">
        <v>1864</v>
      </c>
      <c r="B1847" s="5" t="str">
        <f>IFERROR(__xludf.DUMMYFUNCTION("IF(A1847="""","""",INDEX(SPLIT(A1847,"" ""),COUNTA(SPLIT(A1847,"" ""))))"),"Serio")</f>
        <v>Serio</v>
      </c>
      <c r="C1847" s="6"/>
      <c r="D1847" s="6" t="s">
        <v>1789</v>
      </c>
      <c r="E1847" s="9" t="s">
        <v>1790</v>
      </c>
    </row>
    <row r="1848">
      <c r="A1848" s="4" t="s">
        <v>1865</v>
      </c>
      <c r="B1848" s="5" t="str">
        <f>IFERROR(__xludf.DUMMYFUNCTION("IF(A1848="""","""",INDEX(SPLIT(A1848,"" ""),COUNTA(SPLIT(A1848,"" ""))))"),"Colzate")</f>
        <v>Colzate</v>
      </c>
      <c r="C1848" s="6"/>
      <c r="D1848" s="6" t="s">
        <v>1789</v>
      </c>
      <c r="E1848" s="9" t="s">
        <v>1790</v>
      </c>
    </row>
    <row r="1849">
      <c r="A1849" s="4" t="s">
        <v>1866</v>
      </c>
      <c r="B1849" s="5" t="str">
        <f>IFERROR(__xludf.DUMMYFUNCTION("IF(A1849="""","""",INDEX(SPLIT(A1849,"" ""),COUNTA(SPLIT(A1849,"" ""))))"),"Nuovo")</f>
        <v>Nuovo</v>
      </c>
      <c r="C1849" s="6"/>
      <c r="D1849" s="6" t="s">
        <v>1789</v>
      </c>
      <c r="E1849" s="9" t="s">
        <v>1790</v>
      </c>
    </row>
    <row r="1850">
      <c r="A1850" s="4" t="s">
        <v>1867</v>
      </c>
      <c r="B1850" s="5" t="str">
        <f>IFERROR(__xludf.DUMMYFUNCTION("IF(A1850="""","""",INDEX(SPLIT(A1850,"" ""),COUNTA(SPLIT(A1850,"" ""))))"),"Imagna")</f>
        <v>Imagna</v>
      </c>
      <c r="C1850" s="6"/>
      <c r="D1850" s="6" t="s">
        <v>1789</v>
      </c>
      <c r="E1850" s="9" t="s">
        <v>1790</v>
      </c>
    </row>
    <row r="1851">
      <c r="A1851" s="4" t="s">
        <v>1868</v>
      </c>
      <c r="B1851" s="5" t="str">
        <f>IFERROR(__xludf.DUMMYFUNCTION("IF(A1851="""","""",INDEX(SPLIT(A1851,"" ""),COUNTA(SPLIT(A1851,"" ""))))"),"Cortenuova")</f>
        <v>Cortenuova</v>
      </c>
      <c r="C1851" s="6"/>
      <c r="D1851" s="6" t="s">
        <v>1789</v>
      </c>
      <c r="E1851" s="9" t="s">
        <v>1790</v>
      </c>
    </row>
    <row r="1852">
      <c r="A1852" s="4" t="s">
        <v>1869</v>
      </c>
      <c r="B1852" s="5" t="str">
        <f>IFERROR(__xludf.DUMMYFUNCTION("IF(A1852="""","""",INDEX(SPLIT(A1852,"" ""),COUNTA(SPLIT(A1852,"" ""))))"),"Mezzate")</f>
        <v>Mezzate</v>
      </c>
      <c r="C1852" s="6"/>
      <c r="D1852" s="6" t="s">
        <v>1789</v>
      </c>
      <c r="E1852" s="9" t="s">
        <v>1790</v>
      </c>
    </row>
    <row r="1853">
      <c r="A1853" s="4" t="s">
        <v>1870</v>
      </c>
      <c r="B1853" s="5" t="str">
        <f>IFERROR(__xludf.DUMMYFUNCTION("IF(A1853="""","""",INDEX(SPLIT(A1853,"" ""),COUNTA(SPLIT(A1853,"" ""))))"),"Imagna")</f>
        <v>Imagna</v>
      </c>
      <c r="C1853" s="6"/>
      <c r="D1853" s="6" t="s">
        <v>1789</v>
      </c>
      <c r="E1853" s="9" t="s">
        <v>1790</v>
      </c>
    </row>
    <row r="1854">
      <c r="A1854" s="4" t="s">
        <v>1871</v>
      </c>
      <c r="B1854" s="5" t="str">
        <f>IFERROR(__xludf.DUMMYFUNCTION("IF(A1854="""","""",INDEX(SPLIT(A1854,"" ""),COUNTA(SPLIT(A1854,"" ""))))"),"Volpino")</f>
        <v>Volpino</v>
      </c>
      <c r="C1854" s="6"/>
      <c r="D1854" s="6" t="s">
        <v>1789</v>
      </c>
      <c r="E1854" s="9" t="s">
        <v>1790</v>
      </c>
    </row>
    <row r="1855">
      <c r="A1855" s="4" t="s">
        <v>1872</v>
      </c>
      <c r="B1855" s="5" t="str">
        <f>IFERROR(__xludf.DUMMYFUNCTION("IF(A1855="""","""",INDEX(SPLIT(A1855,"" ""),COUNTA(SPLIT(A1855,"" ""))))"),"Covo")</f>
        <v>Covo</v>
      </c>
      <c r="C1855" s="6"/>
      <c r="D1855" s="6" t="s">
        <v>1789</v>
      </c>
      <c r="E1855" s="9" t="s">
        <v>1790</v>
      </c>
    </row>
    <row r="1856">
      <c r="A1856" s="4" t="s">
        <v>1873</v>
      </c>
      <c r="B1856" s="5" t="str">
        <f>IFERROR(__xludf.DUMMYFUNCTION("IF(A1856="""","""",INDEX(SPLIT(A1856,"" ""),COUNTA(SPLIT(A1856,"" ""))))"),"Credaro")</f>
        <v>Credaro</v>
      </c>
      <c r="C1856" s="6"/>
      <c r="D1856" s="6" t="s">
        <v>1789</v>
      </c>
      <c r="E1856" s="9" t="s">
        <v>1790</v>
      </c>
    </row>
    <row r="1857">
      <c r="A1857" s="4" t="s">
        <v>1874</v>
      </c>
      <c r="B1857" s="5" t="str">
        <f>IFERROR(__xludf.DUMMYFUNCTION("IF(A1857="""","""",INDEX(SPLIT(A1857,"" ""),COUNTA(SPLIT(A1857,"" ""))))"),"Curno")</f>
        <v>Curno</v>
      </c>
      <c r="C1857" s="6"/>
      <c r="D1857" s="6" t="s">
        <v>1789</v>
      </c>
      <c r="E1857" s="9" t="s">
        <v>1790</v>
      </c>
    </row>
    <row r="1858">
      <c r="A1858" s="4" t="s">
        <v>1875</v>
      </c>
      <c r="B1858" s="5" t="str">
        <f>IFERROR(__xludf.DUMMYFUNCTION("IF(A1858="""","""",INDEX(SPLIT(A1858,"" ""),COUNTA(SPLIT(A1858,"" ""))))"),"Cusio")</f>
        <v>Cusio</v>
      </c>
      <c r="C1858" s="6"/>
      <c r="D1858" s="6" t="s">
        <v>1789</v>
      </c>
      <c r="E1858" s="9" t="s">
        <v>1790</v>
      </c>
    </row>
    <row r="1859">
      <c r="A1859" s="4" t="s">
        <v>1876</v>
      </c>
      <c r="B1859" s="5" t="str">
        <f>IFERROR(__xludf.DUMMYFUNCTION("IF(A1859="""","""",INDEX(SPLIT(A1859,"" ""),COUNTA(SPLIT(A1859,"" ""))))"),"Dalmine")</f>
        <v>Dalmine</v>
      </c>
      <c r="C1859" s="6"/>
      <c r="D1859" s="6" t="s">
        <v>1789</v>
      </c>
      <c r="E1859" s="9" t="s">
        <v>1790</v>
      </c>
    </row>
    <row r="1860">
      <c r="A1860" s="4" t="s">
        <v>1877</v>
      </c>
      <c r="B1860" s="5" t="str">
        <f>IFERROR(__xludf.DUMMYFUNCTION("IF(A1860="""","""",INDEX(SPLIT(A1860,"" ""),COUNTA(SPLIT(A1860,"" ""))))"),"Dossena")</f>
        <v>Dossena</v>
      </c>
      <c r="C1860" s="6"/>
      <c r="D1860" s="6" t="s">
        <v>1789</v>
      </c>
      <c r="E1860" s="9" t="s">
        <v>1790</v>
      </c>
    </row>
    <row r="1861">
      <c r="A1861" s="4" t="s">
        <v>1878</v>
      </c>
      <c r="B1861" s="5" t="str">
        <f>IFERROR(__xludf.DUMMYFUNCTION("IF(A1861="""","""",INDEX(SPLIT(A1861,"" ""),COUNTA(SPLIT(A1861,"" ""))))"),"Gaiano")</f>
        <v>Gaiano</v>
      </c>
      <c r="C1861" s="6"/>
      <c r="D1861" s="6" t="s">
        <v>1789</v>
      </c>
      <c r="E1861" s="9" t="s">
        <v>1790</v>
      </c>
    </row>
    <row r="1862">
      <c r="A1862" s="4" t="s">
        <v>1879</v>
      </c>
      <c r="B1862" s="5" t="str">
        <f>IFERROR(__xludf.DUMMYFUNCTION("IF(A1862="""","""",INDEX(SPLIT(A1862,"" ""),COUNTA(SPLIT(A1862,"" ""))))"),"Entratico")</f>
        <v>Entratico</v>
      </c>
      <c r="C1862" s="6"/>
      <c r="D1862" s="6" t="s">
        <v>1789</v>
      </c>
      <c r="E1862" s="9" t="s">
        <v>1790</v>
      </c>
    </row>
    <row r="1863">
      <c r="A1863" s="4" t="s">
        <v>1880</v>
      </c>
      <c r="B1863" s="5" t="str">
        <f>IFERROR(__xludf.DUMMYFUNCTION("IF(A1863="""","""",INDEX(SPLIT(A1863,"" ""),COUNTA(SPLIT(A1863,"" ""))))"),"d'Adda")</f>
        <v>d'Adda</v>
      </c>
      <c r="C1863" s="6"/>
      <c r="D1863" s="6" t="s">
        <v>1789</v>
      </c>
      <c r="E1863" s="9" t="s">
        <v>1790</v>
      </c>
    </row>
    <row r="1864">
      <c r="A1864" s="4" t="s">
        <v>1881</v>
      </c>
      <c r="B1864" s="5" t="str">
        <f>IFERROR(__xludf.DUMMYFUNCTION("IF(A1864="""","""",INDEX(SPLIT(A1864,"" ""),COUNTA(SPLIT(A1864,"" ""))))"),"Sola")</f>
        <v>Sola</v>
      </c>
      <c r="C1864" s="6"/>
      <c r="D1864" s="6" t="s">
        <v>1789</v>
      </c>
      <c r="E1864" s="9" t="s">
        <v>1790</v>
      </c>
    </row>
    <row r="1865">
      <c r="A1865" s="4" t="s">
        <v>1882</v>
      </c>
      <c r="B1865" s="5" t="str">
        <f>IFERROR(__xludf.DUMMYFUNCTION("IF(A1865="""","""",INDEX(SPLIT(A1865,"" ""),COUNTA(SPLIT(A1865,"" ""))))"),"Filago")</f>
        <v>Filago</v>
      </c>
      <c r="C1865" s="6"/>
      <c r="D1865" s="6" t="s">
        <v>1789</v>
      </c>
      <c r="E1865" s="9" t="s">
        <v>1790</v>
      </c>
    </row>
    <row r="1866">
      <c r="A1866" s="4" t="s">
        <v>1883</v>
      </c>
      <c r="B1866" s="5" t="str">
        <f>IFERROR(__xludf.DUMMYFUNCTION("IF(A1866="""","""",INDEX(SPLIT(A1866,"" ""),COUNTA(SPLIT(A1866,"" ""))))"),"Monte")</f>
        <v>Monte</v>
      </c>
      <c r="C1866" s="6"/>
      <c r="D1866" s="6" t="s">
        <v>1789</v>
      </c>
      <c r="E1866" s="9" t="s">
        <v>1790</v>
      </c>
    </row>
    <row r="1867">
      <c r="A1867" s="4" t="s">
        <v>1884</v>
      </c>
      <c r="B1867" s="5" t="str">
        <f>IFERROR(__xludf.DUMMYFUNCTION("IF(A1867="""","""",INDEX(SPLIT(A1867,"" ""),COUNTA(SPLIT(A1867,"" ""))))"),"Serio")</f>
        <v>Serio</v>
      </c>
      <c r="C1867" s="6"/>
      <c r="D1867" s="6" t="s">
        <v>1789</v>
      </c>
      <c r="E1867" s="9" t="s">
        <v>1790</v>
      </c>
    </row>
    <row r="1868">
      <c r="A1868" s="4" t="s">
        <v>1885</v>
      </c>
      <c r="B1868" s="5" t="str">
        <f>IFERROR(__xludf.DUMMYFUNCTION("IF(A1868="""","""",INDEX(SPLIT(A1868,"" ""),COUNTA(SPLIT(A1868,"" ""))))"),"Fontanella")</f>
        <v>Fontanella</v>
      </c>
      <c r="C1868" s="6"/>
      <c r="D1868" s="6" t="s">
        <v>1789</v>
      </c>
      <c r="E1868" s="9" t="s">
        <v>1790</v>
      </c>
    </row>
    <row r="1869">
      <c r="A1869" s="4" t="s">
        <v>1886</v>
      </c>
      <c r="B1869" s="5" t="str">
        <f>IFERROR(__xludf.DUMMYFUNCTION("IF(A1869="""","""",INDEX(SPLIT(A1869,"" ""),COUNTA(SPLIT(A1869,"" ""))))"),"Fonteno")</f>
        <v>Fonteno</v>
      </c>
      <c r="C1869" s="6"/>
      <c r="D1869" s="6" t="s">
        <v>1789</v>
      </c>
      <c r="E1869" s="9" t="s">
        <v>1790</v>
      </c>
    </row>
    <row r="1870">
      <c r="A1870" s="4" t="s">
        <v>1887</v>
      </c>
      <c r="B1870" s="5" t="str">
        <f>IFERROR(__xludf.DUMMYFUNCTION("IF(A1870="""","""",INDEX(SPLIT(A1870,"" ""),COUNTA(SPLIT(A1870,"" ""))))"),"Foppolo")</f>
        <v>Foppolo</v>
      </c>
      <c r="C1870" s="6"/>
      <c r="D1870" s="6" t="s">
        <v>1789</v>
      </c>
      <c r="E1870" s="9" t="s">
        <v>1790</v>
      </c>
    </row>
    <row r="1871">
      <c r="A1871" s="4" t="s">
        <v>1888</v>
      </c>
      <c r="B1871" s="5" t="str">
        <f>IFERROR(__xludf.DUMMYFUNCTION("IF(A1871="""","""",INDEX(SPLIT(A1871,"" ""),COUNTA(SPLIT(A1871,"" ""))))"),"Sparso")</f>
        <v>Sparso</v>
      </c>
      <c r="C1871" s="6"/>
      <c r="D1871" s="6" t="s">
        <v>1789</v>
      </c>
      <c r="E1871" s="9" t="s">
        <v>1790</v>
      </c>
    </row>
    <row r="1872">
      <c r="A1872" s="4" t="s">
        <v>1889</v>
      </c>
      <c r="B1872" s="5" t="str">
        <f>IFERROR(__xludf.DUMMYFUNCTION("IF(A1872="""","""",INDEX(SPLIT(A1872,"" ""),COUNTA(SPLIT(A1872,"" ""))))"),"Giovanni")</f>
        <v>Giovanni</v>
      </c>
      <c r="C1872" s="6"/>
      <c r="D1872" s="6" t="s">
        <v>1789</v>
      </c>
      <c r="E1872" s="9" t="s">
        <v>1790</v>
      </c>
    </row>
    <row r="1873">
      <c r="A1873" s="4" t="s">
        <v>1890</v>
      </c>
      <c r="B1873" s="5" t="str">
        <f>IFERROR(__xludf.DUMMYFUNCTION("IF(A1873="""","""",INDEX(SPLIT(A1873,"" ""),COUNTA(SPLIT(A1873,"" ""))))"),"Imagna")</f>
        <v>Imagna</v>
      </c>
      <c r="C1873" s="6"/>
      <c r="D1873" s="6" t="s">
        <v>1789</v>
      </c>
      <c r="E1873" s="9" t="s">
        <v>1790</v>
      </c>
    </row>
    <row r="1874">
      <c r="A1874" s="4" t="s">
        <v>1891</v>
      </c>
      <c r="B1874" s="5" t="str">
        <f>IFERROR(__xludf.DUMMYFUNCTION("IF(A1874="""","""",INDEX(SPLIT(A1874,"" ""),COUNTA(SPLIT(A1874,"" ""))))"),"Gandellino")</f>
        <v>Gandellino</v>
      </c>
      <c r="C1874" s="6"/>
      <c r="D1874" s="6" t="s">
        <v>1789</v>
      </c>
      <c r="E1874" s="9" t="s">
        <v>1790</v>
      </c>
    </row>
    <row r="1875">
      <c r="A1875" s="4" t="s">
        <v>1892</v>
      </c>
      <c r="B1875" s="5" t="str">
        <f>IFERROR(__xludf.DUMMYFUNCTION("IF(A1875="""","""",INDEX(SPLIT(A1875,"" ""),COUNTA(SPLIT(A1875,"" ""))))"),"Gandino")</f>
        <v>Gandino</v>
      </c>
      <c r="C1875" s="6"/>
      <c r="D1875" s="6" t="s">
        <v>1789</v>
      </c>
      <c r="E1875" s="9" t="s">
        <v>1790</v>
      </c>
    </row>
    <row r="1876">
      <c r="A1876" s="4" t="s">
        <v>1893</v>
      </c>
      <c r="B1876" s="5" t="str">
        <f>IFERROR(__xludf.DUMMYFUNCTION("IF(A1876="""","""",INDEX(SPLIT(A1876,"" ""),COUNTA(SPLIT(A1876,"" ""))))"),"Gandosso")</f>
        <v>Gandosso</v>
      </c>
      <c r="C1876" s="6"/>
      <c r="D1876" s="6" t="s">
        <v>1789</v>
      </c>
      <c r="E1876" s="9" t="s">
        <v>1790</v>
      </c>
    </row>
    <row r="1877">
      <c r="A1877" s="4" t="s">
        <v>1894</v>
      </c>
      <c r="B1877" s="5" t="str">
        <f>IFERROR(__xludf.DUMMYFUNCTION("IF(A1877="""","""",INDEX(SPLIT(A1877,"" ""),COUNTA(SPLIT(A1877,"" ""))))"),"Terme")</f>
        <v>Terme</v>
      </c>
      <c r="C1877" s="6"/>
      <c r="D1877" s="6" t="s">
        <v>1789</v>
      </c>
      <c r="E1877" s="9" t="s">
        <v>1790</v>
      </c>
    </row>
    <row r="1878">
      <c r="A1878" s="4" t="s">
        <v>1895</v>
      </c>
      <c r="B1878" s="5" t="str">
        <f>IFERROR(__xludf.DUMMYFUNCTION("IF(A1878="""","""",INDEX(SPLIT(A1878,"" ""),COUNTA(SPLIT(A1878,"" ""))))"),"Gazzaniga")</f>
        <v>Gazzaniga</v>
      </c>
      <c r="C1878" s="6"/>
      <c r="D1878" s="6" t="s">
        <v>1789</v>
      </c>
      <c r="E1878" s="9" t="s">
        <v>1790</v>
      </c>
    </row>
    <row r="1879">
      <c r="A1879" s="4" t="s">
        <v>1896</v>
      </c>
      <c r="B1879" s="5" t="str">
        <f>IFERROR(__xludf.DUMMYFUNCTION("IF(A1879="""","""",INDEX(SPLIT(A1879,"" ""),COUNTA(SPLIT(A1879,"" ""))))"),"Ghisalba")</f>
        <v>Ghisalba</v>
      </c>
      <c r="C1879" s="6"/>
      <c r="D1879" s="6" t="s">
        <v>1789</v>
      </c>
      <c r="E1879" s="9" t="s">
        <v>1790</v>
      </c>
    </row>
    <row r="1880">
      <c r="A1880" s="4" t="s">
        <v>1897</v>
      </c>
      <c r="B1880" s="5" t="str">
        <f>IFERROR(__xludf.DUMMYFUNCTION("IF(A1880="""","""",INDEX(SPLIT(A1880,"" ""),COUNTA(SPLIT(A1880,"" ""))))"),"Gorlago")</f>
        <v>Gorlago</v>
      </c>
      <c r="C1880" s="6"/>
      <c r="D1880" s="6" t="s">
        <v>1789</v>
      </c>
      <c r="E1880" s="9" t="s">
        <v>1790</v>
      </c>
    </row>
    <row r="1881">
      <c r="A1881" s="4" t="s">
        <v>1898</v>
      </c>
      <c r="B1881" s="5" t="str">
        <f>IFERROR(__xludf.DUMMYFUNCTION("IF(A1881="""","""",INDEX(SPLIT(A1881,"" ""),COUNTA(SPLIT(A1881,"" ""))))"),"Gorle")</f>
        <v>Gorle</v>
      </c>
      <c r="C1881" s="6"/>
      <c r="D1881" s="6" t="s">
        <v>1789</v>
      </c>
      <c r="E1881" s="9" t="s">
        <v>1790</v>
      </c>
    </row>
    <row r="1882">
      <c r="A1882" s="4" t="s">
        <v>1899</v>
      </c>
      <c r="B1882" s="5" t="str">
        <f>IFERROR(__xludf.DUMMYFUNCTION("IF(A1882="""","""",INDEX(SPLIT(A1882,"" ""),COUNTA(SPLIT(A1882,"" ""))))"),"Gorno")</f>
        <v>Gorno</v>
      </c>
      <c r="C1882" s="6"/>
      <c r="D1882" s="6" t="s">
        <v>1789</v>
      </c>
      <c r="E1882" s="9" t="s">
        <v>1790</v>
      </c>
    </row>
    <row r="1883">
      <c r="A1883" s="4" t="s">
        <v>1900</v>
      </c>
      <c r="B1883" s="5" t="str">
        <f>IFERROR(__xludf.DUMMYFUNCTION("IF(A1883="""","""",INDEX(SPLIT(A1883,"" ""),COUNTA(SPLIT(A1883,"" ""))))"),"Grassobbio")</f>
        <v>Grassobbio</v>
      </c>
      <c r="C1883" s="6"/>
      <c r="D1883" s="6" t="s">
        <v>1789</v>
      </c>
      <c r="E1883" s="9" t="s">
        <v>1790</v>
      </c>
    </row>
    <row r="1884">
      <c r="A1884" s="4" t="s">
        <v>1901</v>
      </c>
      <c r="B1884" s="5" t="str">
        <f>IFERROR(__xludf.DUMMYFUNCTION("IF(A1884="""","""",INDEX(SPLIT(A1884,"" ""),COUNTA(SPLIT(A1884,"" ""))))"),"Gromo")</f>
        <v>Gromo</v>
      </c>
      <c r="C1884" s="6"/>
      <c r="D1884" s="6" t="s">
        <v>1789</v>
      </c>
      <c r="E1884" s="9" t="s">
        <v>1790</v>
      </c>
    </row>
    <row r="1885">
      <c r="A1885" s="4" t="s">
        <v>1902</v>
      </c>
      <c r="B1885" s="5" t="str">
        <f>IFERROR(__xludf.DUMMYFUNCTION("IF(A1885="""","""",INDEX(SPLIT(A1885,"" ""),COUNTA(SPLIT(A1885,"" ""))))"),"Grone")</f>
        <v>Grone</v>
      </c>
      <c r="C1885" s="6"/>
      <c r="D1885" s="6" t="s">
        <v>1789</v>
      </c>
      <c r="E1885" s="9" t="s">
        <v>1790</v>
      </c>
    </row>
    <row r="1886">
      <c r="A1886" s="4" t="s">
        <v>1903</v>
      </c>
      <c r="B1886" s="5" t="str">
        <f>IFERROR(__xludf.DUMMYFUNCTION("IF(A1886="""","""",INDEX(SPLIT(A1886,"" ""),COUNTA(SPLIT(A1886,"" ""))))"),"Monte")</f>
        <v>Monte</v>
      </c>
      <c r="C1886" s="6"/>
      <c r="D1886" s="6" t="s">
        <v>1789</v>
      </c>
      <c r="E1886" s="9" t="s">
        <v>1790</v>
      </c>
    </row>
    <row r="1887">
      <c r="A1887" s="4" t="s">
        <v>1904</v>
      </c>
      <c r="B1887" s="5" t="str">
        <f>IFERROR(__xludf.DUMMYFUNCTION("IF(A1887="""","""",INDEX(SPLIT(A1887,"" ""),COUNTA(SPLIT(A1887,"" ""))))"),"Fondra")</f>
        <v>Fondra</v>
      </c>
      <c r="C1887" s="6"/>
      <c r="D1887" s="6" t="s">
        <v>1789</v>
      </c>
      <c r="E1887" s="9" t="s">
        <v>1790</v>
      </c>
    </row>
    <row r="1888">
      <c r="A1888" s="4" t="s">
        <v>1905</v>
      </c>
      <c r="B1888" s="5" t="str">
        <f>IFERROR(__xludf.DUMMYFUNCTION("IF(A1888="""","""",INDEX(SPLIT(A1888,"" ""),COUNTA(SPLIT(A1888,"" ""))))"),"Isso")</f>
        <v>Isso</v>
      </c>
      <c r="C1888" s="6"/>
      <c r="D1888" s="6" t="s">
        <v>1789</v>
      </c>
      <c r="E1888" s="9" t="s">
        <v>1790</v>
      </c>
    </row>
    <row r="1889">
      <c r="A1889" s="4" t="s">
        <v>1906</v>
      </c>
      <c r="B1889" s="5" t="str">
        <f>IFERROR(__xludf.DUMMYFUNCTION("IF(A1889="""","""",INDEX(SPLIT(A1889,"" ""),COUNTA(SPLIT(A1889,"" ""))))"),"Lallio")</f>
        <v>Lallio</v>
      </c>
      <c r="C1889" s="6"/>
      <c r="D1889" s="6" t="s">
        <v>1789</v>
      </c>
      <c r="E1889" s="9" t="s">
        <v>1790</v>
      </c>
    </row>
    <row r="1890">
      <c r="A1890" s="4" t="s">
        <v>1907</v>
      </c>
      <c r="B1890" s="5" t="str">
        <f>IFERROR(__xludf.DUMMYFUNCTION("IF(A1890="""","""",INDEX(SPLIT(A1890,"" ""),COUNTA(SPLIT(A1890,"" ""))))"),"Leffe")</f>
        <v>Leffe</v>
      </c>
      <c r="C1890" s="6"/>
      <c r="D1890" s="6" t="s">
        <v>1789</v>
      </c>
      <c r="E1890" s="9" t="s">
        <v>1790</v>
      </c>
    </row>
    <row r="1891">
      <c r="A1891" s="4" t="s">
        <v>1908</v>
      </c>
      <c r="B1891" s="5" t="str">
        <f>IFERROR(__xludf.DUMMYFUNCTION("IF(A1891="""","""",INDEX(SPLIT(A1891,"" ""),COUNTA(SPLIT(A1891,"" ""))))"),"Lenna")</f>
        <v>Lenna</v>
      </c>
      <c r="C1891" s="6"/>
      <c r="D1891" s="6" t="s">
        <v>1789</v>
      </c>
      <c r="E1891" s="9" t="s">
        <v>1790</v>
      </c>
    </row>
    <row r="1892">
      <c r="A1892" s="4" t="s">
        <v>1909</v>
      </c>
      <c r="B1892" s="5" t="str">
        <f>IFERROR(__xludf.DUMMYFUNCTION("IF(A1892="""","""",INDEX(SPLIT(A1892,"" ""),COUNTA(SPLIT(A1892,"" ""))))"),"Levate")</f>
        <v>Levate</v>
      </c>
      <c r="C1892" s="6"/>
      <c r="D1892" s="6" t="s">
        <v>1789</v>
      </c>
      <c r="E1892" s="9" t="s">
        <v>1790</v>
      </c>
    </row>
    <row r="1893">
      <c r="A1893" s="4" t="s">
        <v>1910</v>
      </c>
      <c r="B1893" s="5" t="str">
        <f>IFERROR(__xludf.DUMMYFUNCTION("IF(A1893="""","""",INDEX(SPLIT(A1893,"" ""),COUNTA(SPLIT(A1893,"" ""))))"),"Locatello")</f>
        <v>Locatello</v>
      </c>
      <c r="C1893" s="6"/>
      <c r="D1893" s="6" t="s">
        <v>1789</v>
      </c>
      <c r="E1893" s="9" t="s">
        <v>1790</v>
      </c>
    </row>
    <row r="1894">
      <c r="A1894" s="4" t="s">
        <v>1911</v>
      </c>
      <c r="B1894" s="5" t="str">
        <f>IFERROR(__xludf.DUMMYFUNCTION("IF(A1894="""","""",INDEX(SPLIT(A1894,"" ""),COUNTA(SPLIT(A1894,"" ""))))"),"Lovere")</f>
        <v>Lovere</v>
      </c>
      <c r="C1894" s="6"/>
      <c r="D1894" s="6" t="s">
        <v>1789</v>
      </c>
      <c r="E1894" s="9" t="s">
        <v>1790</v>
      </c>
    </row>
    <row r="1895">
      <c r="A1895" s="4" t="s">
        <v>1912</v>
      </c>
      <c r="B1895" s="5" t="str">
        <f>IFERROR(__xludf.DUMMYFUNCTION("IF(A1895="""","""",INDEX(SPLIT(A1895,"" ""),COUNTA(SPLIT(A1895,"" ""))))"),"Lurano")</f>
        <v>Lurano</v>
      </c>
      <c r="C1895" s="6"/>
      <c r="D1895" s="6" t="s">
        <v>1789</v>
      </c>
      <c r="E1895" s="9" t="s">
        <v>1790</v>
      </c>
    </row>
    <row r="1896">
      <c r="A1896" s="4" t="s">
        <v>1913</v>
      </c>
      <c r="B1896" s="5" t="str">
        <f>IFERROR(__xludf.DUMMYFUNCTION("IF(A1896="""","""",INDEX(SPLIT(A1896,"" ""),COUNTA(SPLIT(A1896,"" ""))))"),"Luzzana")</f>
        <v>Luzzana</v>
      </c>
      <c r="C1896" s="6"/>
      <c r="D1896" s="6" t="s">
        <v>1789</v>
      </c>
      <c r="E1896" s="9" t="s">
        <v>1790</v>
      </c>
    </row>
    <row r="1897">
      <c r="A1897" s="4" t="s">
        <v>1914</v>
      </c>
      <c r="B1897" s="5" t="str">
        <f>IFERROR(__xludf.DUMMYFUNCTION("IF(A1897="""","""",INDEX(SPLIT(A1897,"" ""),COUNTA(SPLIT(A1897,"" ""))))"),"Madone")</f>
        <v>Madone</v>
      </c>
      <c r="C1897" s="6"/>
      <c r="D1897" s="6" t="s">
        <v>1789</v>
      </c>
      <c r="E1897" s="9" t="s">
        <v>1790</v>
      </c>
    </row>
    <row r="1898">
      <c r="A1898" s="4" t="s">
        <v>1915</v>
      </c>
      <c r="B1898" s="5" t="str">
        <f>IFERROR(__xludf.DUMMYFUNCTION("IF(A1898="""","""",INDEX(SPLIT(A1898,"" ""),COUNTA(SPLIT(A1898,"" ""))))"),"Mapello")</f>
        <v>Mapello</v>
      </c>
      <c r="C1898" s="6"/>
      <c r="D1898" s="6" t="s">
        <v>1789</v>
      </c>
      <c r="E1898" s="9" t="s">
        <v>1790</v>
      </c>
    </row>
    <row r="1899">
      <c r="A1899" s="4" t="s">
        <v>1916</v>
      </c>
      <c r="B1899" s="5" t="str">
        <f>IFERROR(__xludf.DUMMYFUNCTION("IF(A1899="""","""",INDEX(SPLIT(A1899,"" ""),COUNTA(SPLIT(A1899,"" ""))))"),"Martinengo")</f>
        <v>Martinengo</v>
      </c>
      <c r="C1899" s="6"/>
      <c r="D1899" s="6" t="s">
        <v>1789</v>
      </c>
      <c r="E1899" s="9" t="s">
        <v>1790</v>
      </c>
    </row>
    <row r="1900">
      <c r="A1900" s="4" t="s">
        <v>1917</v>
      </c>
      <c r="B1900" s="5" t="str">
        <f>IFERROR(__xludf.DUMMYFUNCTION("IF(A1900="""","""",INDEX(SPLIT(A1900,"" ""),COUNTA(SPLIT(A1900,"" ""))))"),"Mezzoldo")</f>
        <v>Mezzoldo</v>
      </c>
      <c r="C1900" s="6"/>
      <c r="D1900" s="6" t="s">
        <v>1789</v>
      </c>
      <c r="E1900" s="9" t="s">
        <v>1790</v>
      </c>
    </row>
    <row r="1901">
      <c r="A1901" s="4" t="s">
        <v>1918</v>
      </c>
      <c r="B1901" s="5" t="str">
        <f>IFERROR(__xludf.DUMMYFUNCTION("IF(A1901="""","""",INDEX(SPLIT(A1901,"" ""),COUNTA(SPLIT(A1901,"" ""))))"),"d'Adda")</f>
        <v>d'Adda</v>
      </c>
      <c r="C1901" s="6"/>
      <c r="D1901" s="6" t="s">
        <v>1789</v>
      </c>
      <c r="E1901" s="9" t="s">
        <v>1790</v>
      </c>
    </row>
    <row r="1902">
      <c r="A1902" s="4" t="s">
        <v>1919</v>
      </c>
      <c r="B1902" s="5" t="str">
        <f>IFERROR(__xludf.DUMMYFUNCTION("IF(A1902="""","""",INDEX(SPLIT(A1902,"" ""),COUNTA(SPLIT(A1902,"" ""))))"),"Calvi")</f>
        <v>Calvi</v>
      </c>
      <c r="C1902" s="6"/>
      <c r="D1902" s="6" t="s">
        <v>1789</v>
      </c>
      <c r="E1902" s="9" t="s">
        <v>1790</v>
      </c>
    </row>
    <row r="1903">
      <c r="A1903" s="4" t="s">
        <v>1920</v>
      </c>
      <c r="B1903" s="5" t="str">
        <f>IFERROR(__xludf.DUMMYFUNCTION("IF(A1903="""","""",INDEX(SPLIT(A1903,"" ""),COUNTA(SPLIT(A1903,"" ""))))"),"Castello")</f>
        <v>Castello</v>
      </c>
      <c r="C1903" s="6"/>
      <c r="D1903" s="6" t="s">
        <v>1789</v>
      </c>
      <c r="E1903" s="9" t="s">
        <v>1790</v>
      </c>
    </row>
    <row r="1904">
      <c r="A1904" s="4" t="s">
        <v>1921</v>
      </c>
      <c r="B1904" s="5" t="str">
        <f>IFERROR(__xludf.DUMMYFUNCTION("IF(A1904="""","""",INDEX(SPLIT(A1904,"" ""),COUNTA(SPLIT(A1904,"" ""))))"),"Montello")</f>
        <v>Montello</v>
      </c>
      <c r="C1904" s="6"/>
      <c r="D1904" s="6" t="s">
        <v>1789</v>
      </c>
      <c r="E1904" s="9" t="s">
        <v>1790</v>
      </c>
    </row>
    <row r="1905">
      <c r="A1905" s="4" t="s">
        <v>1922</v>
      </c>
      <c r="B1905" s="5" t="str">
        <f>IFERROR(__xludf.DUMMYFUNCTION("IF(A1905="""","""",INDEX(SPLIT(A1905,"" ""),COUNTA(SPLIT(A1905,"" ""))))"),"Morengo")</f>
        <v>Morengo</v>
      </c>
      <c r="C1905" s="6"/>
      <c r="D1905" s="6" t="s">
        <v>1789</v>
      </c>
      <c r="E1905" s="9" t="s">
        <v>1790</v>
      </c>
    </row>
    <row r="1906">
      <c r="A1906" s="4" t="s">
        <v>1923</v>
      </c>
      <c r="B1906" s="5" t="str">
        <f>IFERROR(__xludf.DUMMYFUNCTION("IF(A1906="""","""",INDEX(SPLIT(A1906,"" ""),COUNTA(SPLIT(A1906,"" ""))))"),"Serio")</f>
        <v>Serio</v>
      </c>
      <c r="C1906" s="6"/>
      <c r="D1906" s="6" t="s">
        <v>1789</v>
      </c>
      <c r="E1906" s="9" t="s">
        <v>1790</v>
      </c>
    </row>
    <row r="1907">
      <c r="A1907" s="4" t="s">
        <v>1924</v>
      </c>
      <c r="B1907" s="5" t="str">
        <f>IFERROR(__xludf.DUMMYFUNCTION("IF(A1907="""","""",INDEX(SPLIT(A1907,"" ""),COUNTA(SPLIT(A1907,"" ""))))"),"Mozzanica")</f>
        <v>Mozzanica</v>
      </c>
      <c r="C1907" s="6"/>
      <c r="D1907" s="6" t="s">
        <v>1789</v>
      </c>
      <c r="E1907" s="9" t="s">
        <v>1790</v>
      </c>
    </row>
    <row r="1908">
      <c r="A1908" s="4" t="s">
        <v>1925</v>
      </c>
      <c r="B1908" s="5" t="str">
        <f>IFERROR(__xludf.DUMMYFUNCTION("IF(A1908="""","""",INDEX(SPLIT(A1908,"" ""),COUNTA(SPLIT(A1908,"" ""))))"),"Mozzo")</f>
        <v>Mozzo</v>
      </c>
      <c r="C1908" s="6"/>
      <c r="D1908" s="6" t="s">
        <v>1789</v>
      </c>
      <c r="E1908" s="9" t="s">
        <v>1790</v>
      </c>
    </row>
    <row r="1909">
      <c r="A1909" s="4" t="s">
        <v>1926</v>
      </c>
      <c r="B1909" s="5" t="str">
        <f>IFERROR(__xludf.DUMMYFUNCTION("IF(A1909="""","""",INDEX(SPLIT(A1909,"" ""),COUNTA(SPLIT(A1909,"" ""))))"),"Nembro")</f>
        <v>Nembro</v>
      </c>
      <c r="C1909" s="6"/>
      <c r="D1909" s="6" t="s">
        <v>1789</v>
      </c>
      <c r="E1909" s="9" t="s">
        <v>1790</v>
      </c>
    </row>
    <row r="1910">
      <c r="A1910" s="4" t="s">
        <v>1927</v>
      </c>
      <c r="B1910" s="5" t="str">
        <f>IFERROR(__xludf.DUMMYFUNCTION("IF(A1910="""","""",INDEX(SPLIT(A1910,"" ""),COUNTA(SPLIT(A1910,"" ""))))"),"Brembo")</f>
        <v>Brembo</v>
      </c>
      <c r="C1910" s="6"/>
      <c r="D1910" s="6" t="s">
        <v>1789</v>
      </c>
      <c r="E1910" s="9" t="s">
        <v>1790</v>
      </c>
    </row>
    <row r="1911">
      <c r="A1911" s="4" t="s">
        <v>1928</v>
      </c>
      <c r="B1911" s="5" t="str">
        <f>IFERROR(__xludf.DUMMYFUNCTION("IF(A1911="""","""",INDEX(SPLIT(A1911,"" ""),COUNTA(SPLIT(A1911,"" ""))))"),"Colle")</f>
        <v>Colle</v>
      </c>
      <c r="C1911" s="6"/>
      <c r="D1911" s="6" t="s">
        <v>1789</v>
      </c>
      <c r="E1911" s="9" t="s">
        <v>1790</v>
      </c>
    </row>
    <row r="1912">
      <c r="A1912" s="4" t="s">
        <v>1929</v>
      </c>
      <c r="B1912" s="5" t="str">
        <f>IFERROR(__xludf.DUMMYFUNCTION("IF(A1912="""","""",INDEX(SPLIT(A1912,"" ""),COUNTA(SPLIT(A1912,"" ""))))"),"Alta")</f>
        <v>Alta</v>
      </c>
      <c r="C1912" s="6"/>
      <c r="D1912" s="6" t="s">
        <v>1789</v>
      </c>
      <c r="E1912" s="9" t="s">
        <v>1790</v>
      </c>
    </row>
    <row r="1913">
      <c r="A1913" s="4" t="s">
        <v>1930</v>
      </c>
      <c r="B1913" s="5" t="str">
        <f>IFERROR(__xludf.DUMMYFUNCTION("IF(A1913="""","""",INDEX(SPLIT(A1913,"" ""),COUNTA(SPLIT(A1913,"" ""))))"),"Oneta")</f>
        <v>Oneta</v>
      </c>
      <c r="C1913" s="6"/>
      <c r="D1913" s="6" t="s">
        <v>1789</v>
      </c>
      <c r="E1913" s="9" t="s">
        <v>1790</v>
      </c>
    </row>
    <row r="1914">
      <c r="A1914" s="4" t="s">
        <v>1931</v>
      </c>
      <c r="B1914" s="5" t="str">
        <f>IFERROR(__xludf.DUMMYFUNCTION("IF(A1914="""","""",INDEX(SPLIT(A1914,"" ""),COUNTA(SPLIT(A1914,"" ""))))"),"Onore")</f>
        <v>Onore</v>
      </c>
      <c r="C1914" s="6"/>
      <c r="D1914" s="6" t="s">
        <v>1789</v>
      </c>
      <c r="E1914" s="9" t="s">
        <v>1790</v>
      </c>
    </row>
    <row r="1915">
      <c r="A1915" s="4" t="s">
        <v>1932</v>
      </c>
      <c r="B1915" s="5" t="str">
        <f>IFERROR(__xludf.DUMMYFUNCTION("IF(A1915="""","""",INDEX(SPLIT(A1915,"" ""),COUNTA(SPLIT(A1915,"" ""))))"),"Serio")</f>
        <v>Serio</v>
      </c>
      <c r="C1915" s="6"/>
      <c r="D1915" s="6" t="s">
        <v>1789</v>
      </c>
      <c r="E1915" s="9" t="s">
        <v>1790</v>
      </c>
    </row>
    <row r="1916">
      <c r="A1916" s="4" t="s">
        <v>1933</v>
      </c>
      <c r="B1916" s="5" t="str">
        <f>IFERROR(__xludf.DUMMYFUNCTION("IF(A1916="""","""",INDEX(SPLIT(A1916,"" ""),COUNTA(SPLIT(A1916,"" ""))))"),"Ornica")</f>
        <v>Ornica</v>
      </c>
      <c r="C1916" s="6"/>
      <c r="D1916" s="6" t="s">
        <v>1789</v>
      </c>
      <c r="E1916" s="9" t="s">
        <v>1790</v>
      </c>
    </row>
    <row r="1917">
      <c r="A1917" s="4" t="s">
        <v>1934</v>
      </c>
      <c r="B1917" s="5" t="str">
        <f>IFERROR(__xludf.DUMMYFUNCTION("IF(A1917="""","""",INDEX(SPLIT(A1917,"" ""),COUNTA(SPLIT(A1917,"" ""))))"),"Sopra")</f>
        <v>Sopra</v>
      </c>
      <c r="C1917" s="6"/>
      <c r="D1917" s="6" t="s">
        <v>1789</v>
      </c>
      <c r="E1917" s="9" t="s">
        <v>1790</v>
      </c>
    </row>
    <row r="1918">
      <c r="A1918" s="4" t="s">
        <v>1935</v>
      </c>
      <c r="B1918" s="5" t="str">
        <f>IFERROR(__xludf.DUMMYFUNCTION("IF(A1918="""","""",INDEX(SPLIT(A1918,"" ""),COUNTA(SPLIT(A1918,"" ""))))"),"Sotto")</f>
        <v>Sotto</v>
      </c>
      <c r="C1918" s="6"/>
      <c r="D1918" s="6" t="s">
        <v>1789</v>
      </c>
      <c r="E1918" s="9" t="s">
        <v>1790</v>
      </c>
    </row>
    <row r="1919">
      <c r="A1919" s="4" t="s">
        <v>1936</v>
      </c>
      <c r="B1919" s="5" t="str">
        <f>IFERROR(__xludf.DUMMYFUNCTION("IF(A1919="""","""",INDEX(SPLIT(A1919,"" ""),COUNTA(SPLIT(A1919,"" ""))))"),"Pagazzano")</f>
        <v>Pagazzano</v>
      </c>
      <c r="C1919" s="6"/>
      <c r="D1919" s="6" t="s">
        <v>1789</v>
      </c>
      <c r="E1919" s="9" t="s">
        <v>1790</v>
      </c>
    </row>
    <row r="1920">
      <c r="A1920" s="4" t="s">
        <v>1937</v>
      </c>
      <c r="B1920" s="5" t="str">
        <f>IFERROR(__xludf.DUMMYFUNCTION("IF(A1920="""","""",INDEX(SPLIT(A1920,"" ""),COUNTA(SPLIT(A1920,"" ""))))"),"Paladina")</f>
        <v>Paladina</v>
      </c>
      <c r="C1920" s="6"/>
      <c r="D1920" s="6" t="s">
        <v>1789</v>
      </c>
      <c r="E1920" s="9" t="s">
        <v>1790</v>
      </c>
    </row>
    <row r="1921">
      <c r="A1921" s="4" t="s">
        <v>1938</v>
      </c>
      <c r="B1921" s="5" t="str">
        <f>IFERROR(__xludf.DUMMYFUNCTION("IF(A1921="""","""",INDEX(SPLIT(A1921,"" ""),COUNTA(SPLIT(A1921,"" ""))))"),"Palazzago")</f>
        <v>Palazzago</v>
      </c>
      <c r="C1921" s="6"/>
      <c r="D1921" s="6" t="s">
        <v>1789</v>
      </c>
      <c r="E1921" s="9" t="s">
        <v>1790</v>
      </c>
    </row>
    <row r="1922">
      <c r="A1922" s="4" t="s">
        <v>1939</v>
      </c>
      <c r="B1922" s="5" t="str">
        <f>IFERROR(__xludf.DUMMYFUNCTION("IF(A1922="""","""",INDEX(SPLIT(A1922,"" ""),COUNTA(SPLIT(A1922,"" ""))))"),"Palosco")</f>
        <v>Palosco</v>
      </c>
      <c r="C1922" s="6"/>
      <c r="D1922" s="6" t="s">
        <v>1789</v>
      </c>
      <c r="E1922" s="9" t="s">
        <v>1790</v>
      </c>
    </row>
    <row r="1923">
      <c r="A1923" s="4" t="s">
        <v>1940</v>
      </c>
      <c r="B1923" s="5" t="str">
        <f>IFERROR(__xludf.DUMMYFUNCTION("IF(A1923="""","""",INDEX(SPLIT(A1923,"" ""),COUNTA(SPLIT(A1923,"" ""))))"),"Parre")</f>
        <v>Parre</v>
      </c>
      <c r="C1923" s="6"/>
      <c r="D1923" s="6" t="s">
        <v>1789</v>
      </c>
      <c r="E1923" s="9" t="s">
        <v>1790</v>
      </c>
    </row>
    <row r="1924">
      <c r="A1924" s="4" t="s">
        <v>1941</v>
      </c>
      <c r="B1924" s="5" t="str">
        <f>IFERROR(__xludf.DUMMYFUNCTION("IF(A1924="""","""",INDEX(SPLIT(A1924,"" ""),COUNTA(SPLIT(A1924,"" ""))))"),"Parzanica")</f>
        <v>Parzanica</v>
      </c>
      <c r="C1924" s="6"/>
      <c r="D1924" s="6" t="s">
        <v>1789</v>
      </c>
      <c r="E1924" s="9" t="s">
        <v>1790</v>
      </c>
    </row>
    <row r="1925">
      <c r="A1925" s="4" t="s">
        <v>1942</v>
      </c>
      <c r="B1925" s="5" t="str">
        <f>IFERROR(__xludf.DUMMYFUNCTION("IF(A1925="""","""",INDEX(SPLIT(A1925,"" ""),COUNTA(SPLIT(A1925,"" ""))))"),"Pedrengo")</f>
        <v>Pedrengo</v>
      </c>
      <c r="C1925" s="6"/>
      <c r="D1925" s="6" t="s">
        <v>1789</v>
      </c>
      <c r="E1925" s="9" t="s">
        <v>1790</v>
      </c>
    </row>
    <row r="1926">
      <c r="A1926" s="4" t="s">
        <v>1943</v>
      </c>
      <c r="B1926" s="5" t="str">
        <f>IFERROR(__xludf.DUMMYFUNCTION("IF(A1926="""","""",INDEX(SPLIT(A1926,"" ""),COUNTA(SPLIT(A1926,"" ""))))"),"Peia")</f>
        <v>Peia</v>
      </c>
      <c r="C1926" s="6"/>
      <c r="D1926" s="6" t="s">
        <v>1789</v>
      </c>
      <c r="E1926" s="9" t="s">
        <v>1790</v>
      </c>
    </row>
    <row r="1927">
      <c r="A1927" s="4" t="s">
        <v>1944</v>
      </c>
      <c r="B1927" s="5" t="str">
        <f>IFERROR(__xludf.DUMMYFUNCTION("IF(A1927="""","""",INDEX(SPLIT(A1927,"" ""),COUNTA(SPLIT(A1927,"" ""))))"),"Pianico")</f>
        <v>Pianico</v>
      </c>
      <c r="C1927" s="6"/>
      <c r="D1927" s="6" t="s">
        <v>1789</v>
      </c>
      <c r="E1927" s="9" t="s">
        <v>1790</v>
      </c>
    </row>
    <row r="1928">
      <c r="A1928" s="4" t="s">
        <v>1945</v>
      </c>
      <c r="B1928" s="5" t="str">
        <f>IFERROR(__xludf.DUMMYFUNCTION("IF(A1928="""","""",INDEX(SPLIT(A1928,"" ""),COUNTA(SPLIT(A1928,"" ""))))"),"Piario")</f>
        <v>Piario</v>
      </c>
      <c r="C1928" s="6"/>
      <c r="D1928" s="6" t="s">
        <v>1789</v>
      </c>
      <c r="E1928" s="9" t="s">
        <v>1790</v>
      </c>
    </row>
    <row r="1929">
      <c r="A1929" s="4" t="s">
        <v>1946</v>
      </c>
      <c r="B1929" s="5" t="str">
        <f>IFERROR(__xludf.DUMMYFUNCTION("IF(A1929="""","""",INDEX(SPLIT(A1929,"" ""),COUNTA(SPLIT(A1929,"" ""))))"),"Brembana")</f>
        <v>Brembana</v>
      </c>
      <c r="C1929" s="6"/>
      <c r="D1929" s="6" t="s">
        <v>1789</v>
      </c>
      <c r="E1929" s="9" t="s">
        <v>1790</v>
      </c>
    </row>
    <row r="1930">
      <c r="A1930" s="4" t="s">
        <v>1947</v>
      </c>
      <c r="B1930" s="5" t="str">
        <f>IFERROR(__xludf.DUMMYFUNCTION("IF(A1930="""","""",INDEX(SPLIT(A1930,"" ""),COUNTA(SPLIT(A1930,"" ""))))"),"Piazzatorre")</f>
        <v>Piazzatorre</v>
      </c>
      <c r="C1930" s="6"/>
      <c r="D1930" s="6" t="s">
        <v>1789</v>
      </c>
      <c r="E1930" s="9" t="s">
        <v>1790</v>
      </c>
    </row>
    <row r="1931">
      <c r="A1931" s="4" t="s">
        <v>1948</v>
      </c>
      <c r="B1931" s="5" t="str">
        <f>IFERROR(__xludf.DUMMYFUNCTION("IF(A1931="""","""",INDEX(SPLIT(A1931,"" ""),COUNTA(SPLIT(A1931,"" ""))))"),"Piazzolo")</f>
        <v>Piazzolo</v>
      </c>
      <c r="C1931" s="6"/>
      <c r="D1931" s="6" t="s">
        <v>1789</v>
      </c>
      <c r="E1931" s="9" t="s">
        <v>1790</v>
      </c>
    </row>
    <row r="1932">
      <c r="A1932" s="4" t="s">
        <v>1949</v>
      </c>
      <c r="B1932" s="5" t="str">
        <f>IFERROR(__xludf.DUMMYFUNCTION("IF(A1932="""","""",INDEX(SPLIT(A1932,"" ""),COUNTA(SPLIT(A1932,"" ""))))"),"Pognano")</f>
        <v>Pognano</v>
      </c>
      <c r="C1932" s="6"/>
      <c r="D1932" s="6" t="s">
        <v>1789</v>
      </c>
      <c r="E1932" s="9" t="s">
        <v>1790</v>
      </c>
    </row>
    <row r="1933">
      <c r="A1933" s="4" t="s">
        <v>1950</v>
      </c>
      <c r="B1933" s="5" t="str">
        <f>IFERROR(__xludf.DUMMYFUNCTION("IF(A1933="""","""",INDEX(SPLIT(A1933,"" ""),COUNTA(SPLIT(A1933,"" ""))))"),"Nossa")</f>
        <v>Nossa</v>
      </c>
      <c r="C1933" s="6"/>
      <c r="D1933" s="6" t="s">
        <v>1789</v>
      </c>
      <c r="E1933" s="9" t="s">
        <v>1790</v>
      </c>
    </row>
    <row r="1934">
      <c r="A1934" s="4" t="s">
        <v>1951</v>
      </c>
      <c r="B1934" s="5" t="str">
        <f>IFERROR(__xludf.DUMMYFUNCTION("IF(A1934="""","""",INDEX(SPLIT(A1934,"" ""),COUNTA(SPLIT(A1934,"" ""))))"),"Ponteranica")</f>
        <v>Ponteranica</v>
      </c>
      <c r="C1934" s="6"/>
      <c r="D1934" s="6" t="s">
        <v>1789</v>
      </c>
      <c r="E1934" s="9" t="s">
        <v>1790</v>
      </c>
    </row>
    <row r="1935">
      <c r="A1935" s="4" t="s">
        <v>1952</v>
      </c>
      <c r="B1935" s="5" t="str">
        <f>IFERROR(__xludf.DUMMYFUNCTION("IF(A1935="""","""",INDEX(SPLIT(A1935,"" ""),COUNTA(SPLIT(A1935,"" ""))))"),"Pietro")</f>
        <v>Pietro</v>
      </c>
      <c r="C1935" s="6"/>
      <c r="D1935" s="6" t="s">
        <v>1789</v>
      </c>
      <c r="E1935" s="9" t="s">
        <v>1790</v>
      </c>
    </row>
    <row r="1936">
      <c r="A1936" s="4" t="s">
        <v>1953</v>
      </c>
      <c r="B1936" s="5" t="str">
        <f>IFERROR(__xludf.DUMMYFUNCTION("IF(A1936="""","""",INDEX(SPLIT(A1936,"" ""),COUNTA(SPLIT(A1936,"" ""))))"),"Pontida")</f>
        <v>Pontida</v>
      </c>
      <c r="C1936" s="6"/>
      <c r="D1936" s="6" t="s">
        <v>1789</v>
      </c>
      <c r="E1936" s="9" t="s">
        <v>1790</v>
      </c>
    </row>
    <row r="1937">
      <c r="A1937" s="4" t="s">
        <v>1954</v>
      </c>
      <c r="B1937" s="5" t="str">
        <f>IFERROR(__xludf.DUMMYFUNCTION("IF(A1937="""","""",INDEX(SPLIT(A1937,"" ""),COUNTA(SPLIT(A1937,"" ""))))"),"Nuovo")</f>
        <v>Nuovo</v>
      </c>
      <c r="C1937" s="6"/>
      <c r="D1937" s="6" t="s">
        <v>1789</v>
      </c>
      <c r="E1937" s="9" t="s">
        <v>1790</v>
      </c>
    </row>
    <row r="1938">
      <c r="A1938" s="4" t="s">
        <v>1955</v>
      </c>
      <c r="B1938" s="5" t="str">
        <f>IFERROR(__xludf.DUMMYFUNCTION("IF(A1938="""","""",INDEX(SPLIT(A1938,"" ""),COUNTA(SPLIT(A1938,"" ""))))"),"Pradalunga")</f>
        <v>Pradalunga</v>
      </c>
      <c r="C1938" s="6"/>
      <c r="D1938" s="6" t="s">
        <v>1789</v>
      </c>
      <c r="E1938" s="9" t="s">
        <v>1790</v>
      </c>
    </row>
    <row r="1939">
      <c r="A1939" s="4" t="s">
        <v>1956</v>
      </c>
      <c r="B1939" s="5" t="str">
        <f>IFERROR(__xludf.DUMMYFUNCTION("IF(A1939="""","""",INDEX(SPLIT(A1939,"" ""),COUNTA(SPLIT(A1939,"" ""))))"),"Predore")</f>
        <v>Predore</v>
      </c>
      <c r="C1939" s="6"/>
      <c r="D1939" s="6" t="s">
        <v>1789</v>
      </c>
      <c r="E1939" s="9" t="s">
        <v>1790</v>
      </c>
    </row>
    <row r="1940">
      <c r="A1940" s="4" t="s">
        <v>1957</v>
      </c>
      <c r="B1940" s="5" t="str">
        <f>IFERROR(__xludf.DUMMYFUNCTION("IF(A1940="""","""",INDEX(SPLIT(A1940,"" ""),COUNTA(SPLIT(A1940,"" ""))))"),"Premolo")</f>
        <v>Premolo</v>
      </c>
      <c r="C1940" s="6"/>
      <c r="D1940" s="6" t="s">
        <v>1789</v>
      </c>
      <c r="E1940" s="9" t="s">
        <v>1790</v>
      </c>
    </row>
    <row r="1941">
      <c r="A1941" s="4" t="s">
        <v>1958</v>
      </c>
      <c r="B1941" s="5" t="str">
        <f>IFERROR(__xludf.DUMMYFUNCTION("IF(A1941="""","""",INDEX(SPLIT(A1941,"" ""),COUNTA(SPLIT(A1941,"" ""))))"),"Presezzo")</f>
        <v>Presezzo</v>
      </c>
      <c r="C1941" s="6"/>
      <c r="D1941" s="6" t="s">
        <v>1789</v>
      </c>
      <c r="E1941" s="9" t="s">
        <v>1790</v>
      </c>
    </row>
    <row r="1942">
      <c r="A1942" s="4" t="s">
        <v>1959</v>
      </c>
      <c r="B1942" s="5" t="str">
        <f>IFERROR(__xludf.DUMMYFUNCTION("IF(A1942="""","""",INDEX(SPLIT(A1942,"" ""),COUNTA(SPLIT(A1942,"" ""))))"),"Pumenengo")</f>
        <v>Pumenengo</v>
      </c>
      <c r="C1942" s="6"/>
      <c r="D1942" s="6" t="s">
        <v>1789</v>
      </c>
      <c r="E1942" s="9" t="s">
        <v>1790</v>
      </c>
    </row>
    <row r="1943">
      <c r="A1943" s="4" t="s">
        <v>1960</v>
      </c>
      <c r="B1943" s="5" t="str">
        <f>IFERROR(__xludf.DUMMYFUNCTION("IF(A1943="""","""",INDEX(SPLIT(A1943,"" ""),COUNTA(SPLIT(A1943,"" ""))))"),"Ranica")</f>
        <v>Ranica</v>
      </c>
      <c r="C1943" s="6"/>
      <c r="D1943" s="6" t="s">
        <v>1789</v>
      </c>
      <c r="E1943" s="9" t="s">
        <v>1790</v>
      </c>
    </row>
    <row r="1944">
      <c r="A1944" s="4" t="s">
        <v>1961</v>
      </c>
      <c r="B1944" s="5" t="str">
        <f>IFERROR(__xludf.DUMMYFUNCTION("IF(A1944="""","""",INDEX(SPLIT(A1944,"" ""),COUNTA(SPLIT(A1944,"" ""))))"),"Ranzanico")</f>
        <v>Ranzanico</v>
      </c>
      <c r="C1944" s="6"/>
      <c r="D1944" s="6" t="s">
        <v>1789</v>
      </c>
      <c r="E1944" s="9" t="s">
        <v>1790</v>
      </c>
    </row>
    <row r="1945">
      <c r="A1945" s="4" t="s">
        <v>1962</v>
      </c>
      <c r="B1945" s="5" t="str">
        <f>IFERROR(__xludf.DUMMYFUNCTION("IF(A1945="""","""",INDEX(SPLIT(A1945,"" ""),COUNTA(SPLIT(A1945,"" ""))))"),"Solto")</f>
        <v>Solto</v>
      </c>
      <c r="C1945" s="6"/>
      <c r="D1945" s="6" t="s">
        <v>1789</v>
      </c>
      <c r="E1945" s="9" t="s">
        <v>1790</v>
      </c>
    </row>
    <row r="1946">
      <c r="A1946" s="4" t="s">
        <v>1963</v>
      </c>
      <c r="B1946" s="5" t="str">
        <f>IFERROR(__xludf.DUMMYFUNCTION("IF(A1946="""","""",INDEX(SPLIT(A1946,"" ""),COUNTA(SPLIT(A1946,"" ""))))"),"Rogno")</f>
        <v>Rogno</v>
      </c>
      <c r="C1946" s="6"/>
      <c r="D1946" s="6" t="s">
        <v>1789</v>
      </c>
      <c r="E1946" s="9" t="s">
        <v>1790</v>
      </c>
    </row>
    <row r="1947">
      <c r="A1947" s="4" t="s">
        <v>1964</v>
      </c>
      <c r="B1947" s="5" t="str">
        <f>IFERROR(__xludf.DUMMYFUNCTION("IF(A1947="""","""",INDEX(SPLIT(A1947,"" ""),COUNTA(SPLIT(A1947,"" ""))))"),"Lombardia")</f>
        <v>Lombardia</v>
      </c>
      <c r="C1947" s="6"/>
      <c r="D1947" s="6" t="s">
        <v>1789</v>
      </c>
      <c r="E1947" s="9" t="s">
        <v>1790</v>
      </c>
    </row>
    <row r="1948">
      <c r="A1948" s="4" t="s">
        <v>1965</v>
      </c>
      <c r="B1948" s="5" t="str">
        <f>IFERROR(__xludf.DUMMYFUNCTION("IF(A1948="""","""",INDEX(SPLIT(A1948,"" ""),COUNTA(SPLIT(A1948,"" ""))))"),"Roncobello")</f>
        <v>Roncobello</v>
      </c>
      <c r="C1948" s="6"/>
      <c r="D1948" s="6" t="s">
        <v>1789</v>
      </c>
      <c r="E1948" s="9" t="s">
        <v>1790</v>
      </c>
    </row>
    <row r="1949">
      <c r="A1949" s="4" t="s">
        <v>1966</v>
      </c>
      <c r="B1949" s="5" t="str">
        <f>IFERROR(__xludf.DUMMYFUNCTION("IF(A1949="""","""",INDEX(SPLIT(A1949,"" ""),COUNTA(SPLIT(A1949,"" ""))))"),"Roncola")</f>
        <v>Roncola</v>
      </c>
      <c r="C1949" s="6"/>
      <c r="D1949" s="6" t="s">
        <v>1789</v>
      </c>
      <c r="E1949" s="9" t="s">
        <v>1790</v>
      </c>
    </row>
    <row r="1950">
      <c r="A1950" s="4" t="s">
        <v>1967</v>
      </c>
      <c r="B1950" s="5" t="str">
        <f>IFERROR(__xludf.DUMMYFUNCTION("IF(A1950="""","""",INDEX(SPLIT(A1950,"" ""),COUNTA(SPLIT(A1950,"" ""))))"),"d'Imagna")</f>
        <v>d'Imagna</v>
      </c>
      <c r="C1950" s="6"/>
      <c r="D1950" s="6" t="s">
        <v>1789</v>
      </c>
      <c r="E1950" s="9" t="s">
        <v>1790</v>
      </c>
    </row>
    <row r="1951">
      <c r="A1951" s="4" t="s">
        <v>1968</v>
      </c>
      <c r="B1951" s="5" t="str">
        <f>IFERROR(__xludf.DUMMYFUNCTION("IF(A1951="""","""",INDEX(SPLIT(A1951,"" ""),COUNTA(SPLIT(A1951,"" ""))))"),"Rovetta")</f>
        <v>Rovetta</v>
      </c>
      <c r="C1951" s="6"/>
      <c r="D1951" s="6" t="s">
        <v>1789</v>
      </c>
      <c r="E1951" s="9" t="s">
        <v>1790</v>
      </c>
    </row>
    <row r="1952">
      <c r="A1952" s="4" t="s">
        <v>1969</v>
      </c>
      <c r="B1952" s="5" t="str">
        <f>IFERROR(__xludf.DUMMYFUNCTION("IF(A1952="""","""",INDEX(SPLIT(A1952,"" ""),COUNTA(SPLIT(A1952,"" ""))))"),"Bianco")</f>
        <v>Bianco</v>
      </c>
      <c r="C1952" s="6"/>
      <c r="D1952" s="6" t="s">
        <v>1789</v>
      </c>
      <c r="E1952" s="9" t="s">
        <v>1790</v>
      </c>
    </row>
    <row r="1953">
      <c r="A1953" s="4" t="s">
        <v>1970</v>
      </c>
      <c r="B1953" s="5" t="str">
        <f>IFERROR(__xludf.DUMMYFUNCTION("IF(A1953="""","""",INDEX(SPLIT(A1953,"" ""),COUNTA(SPLIT(A1953,"" ""))))"),"d'Argon")</f>
        <v>d'Argon</v>
      </c>
      <c r="C1953" s="6"/>
      <c r="D1953" s="6" t="s">
        <v>1789</v>
      </c>
      <c r="E1953" s="9" t="s">
        <v>1790</v>
      </c>
    </row>
    <row r="1954">
      <c r="A1954" s="4" t="s">
        <v>1971</v>
      </c>
      <c r="B1954" s="5" t="str">
        <f>IFERROR(__xludf.DUMMYFUNCTION("IF(A1954="""","""",INDEX(SPLIT(A1954,"" ""),COUNTA(SPLIT(A1954,"" ""))))"),"Terme")</f>
        <v>Terme</v>
      </c>
      <c r="C1954" s="6"/>
      <c r="D1954" s="6" t="s">
        <v>1789</v>
      </c>
      <c r="E1954" s="9" t="s">
        <v>1790</v>
      </c>
    </row>
    <row r="1955">
      <c r="A1955" s="4" t="s">
        <v>1972</v>
      </c>
      <c r="B1955" s="5" t="str">
        <f>IFERROR(__xludf.DUMMYFUNCTION("IF(A1955="""","""",INDEX(SPLIT(A1955,"" ""),COUNTA(SPLIT(A1955,"" ""))))"),"Brigida")</f>
        <v>Brigida</v>
      </c>
      <c r="C1955" s="6"/>
      <c r="D1955" s="6" t="s">
        <v>1789</v>
      </c>
      <c r="E1955" s="9" t="s">
        <v>1790</v>
      </c>
    </row>
    <row r="1956">
      <c r="A1956" s="4" t="s">
        <v>1973</v>
      </c>
      <c r="B1956" s="5" t="str">
        <f>IFERROR(__xludf.DUMMYFUNCTION("IF(A1956="""","""",INDEX(SPLIT(A1956,"" ""),COUNTA(SPLIT(A1956,"" ""))))"),"Sarnico")</f>
        <v>Sarnico</v>
      </c>
      <c r="C1956" s="6"/>
      <c r="D1956" s="6" t="s">
        <v>1789</v>
      </c>
      <c r="E1956" s="9" t="s">
        <v>1790</v>
      </c>
    </row>
    <row r="1957">
      <c r="A1957" s="4" t="s">
        <v>1974</v>
      </c>
      <c r="B1957" s="5" t="str">
        <f>IFERROR(__xludf.DUMMYFUNCTION("IF(A1957="""","""",INDEX(SPLIT(A1957,"" ""),COUNTA(SPLIT(A1957,"" ""))))"),"Scanzorosciate")</f>
        <v>Scanzorosciate</v>
      </c>
      <c r="C1957" s="6"/>
      <c r="D1957" s="6" t="s">
        <v>1789</v>
      </c>
      <c r="E1957" s="9" t="s">
        <v>1790</v>
      </c>
    </row>
    <row r="1958">
      <c r="A1958" s="4" t="s">
        <v>1975</v>
      </c>
      <c r="B1958" s="5" t="str">
        <f>IFERROR(__xludf.DUMMYFUNCTION("IF(A1958="""","""",INDEX(SPLIT(A1958,"" ""),COUNTA(SPLIT(A1958,"" ""))))"),"Schilpario")</f>
        <v>Schilpario</v>
      </c>
      <c r="C1958" s="6"/>
      <c r="D1958" s="6" t="s">
        <v>1789</v>
      </c>
      <c r="E1958" s="9" t="s">
        <v>1790</v>
      </c>
    </row>
    <row r="1959">
      <c r="A1959" s="4" t="s">
        <v>1976</v>
      </c>
      <c r="B1959" s="5" t="str">
        <f>IFERROR(__xludf.DUMMYFUNCTION("IF(A1959="""","""",INDEX(SPLIT(A1959,"" ""),COUNTA(SPLIT(A1959,"" ""))))"),"Sedrina")</f>
        <v>Sedrina</v>
      </c>
      <c r="C1959" s="6"/>
      <c r="D1959" s="6" t="s">
        <v>1789</v>
      </c>
      <c r="E1959" s="9" t="s">
        <v>1790</v>
      </c>
    </row>
    <row r="1960">
      <c r="A1960" s="4" t="s">
        <v>1977</v>
      </c>
      <c r="B1960" s="5" t="str">
        <f>IFERROR(__xludf.DUMMYFUNCTION("IF(A1960="""","""",INDEX(SPLIT(A1960,"" ""),COUNTA(SPLIT(A1960,"" ""))))"),"Selvino")</f>
        <v>Selvino</v>
      </c>
      <c r="C1960" s="6"/>
      <c r="D1960" s="6" t="s">
        <v>1789</v>
      </c>
      <c r="E1960" s="9" t="s">
        <v>1790</v>
      </c>
    </row>
    <row r="1961">
      <c r="A1961" s="4" t="s">
        <v>1978</v>
      </c>
      <c r="B1961" s="5" t="str">
        <f>IFERROR(__xludf.DUMMYFUNCTION("IF(A1961="""","""",INDEX(SPLIT(A1961,"" ""),COUNTA(SPLIT(A1961,"" ""))))"),"Seriate")</f>
        <v>Seriate</v>
      </c>
      <c r="C1961" s="6"/>
      <c r="D1961" s="6" t="s">
        <v>1789</v>
      </c>
      <c r="E1961" s="9" t="s">
        <v>1790</v>
      </c>
    </row>
    <row r="1962">
      <c r="A1962" s="4" t="s">
        <v>1979</v>
      </c>
      <c r="B1962" s="5" t="str">
        <f>IFERROR(__xludf.DUMMYFUNCTION("IF(A1962="""","""",INDEX(SPLIT(A1962,"" ""),COUNTA(SPLIT(A1962,"" ""))))"),"Serina")</f>
        <v>Serina</v>
      </c>
      <c r="C1962" s="6"/>
      <c r="D1962" s="6" t="s">
        <v>1789</v>
      </c>
      <c r="E1962" s="9" t="s">
        <v>1790</v>
      </c>
    </row>
    <row r="1963">
      <c r="A1963" s="4" t="s">
        <v>1980</v>
      </c>
      <c r="B1963" s="5" t="str">
        <f>IFERROR(__xludf.DUMMYFUNCTION("IF(A1963="""","""",INDEX(SPLIT(A1963,"" ""),COUNTA(SPLIT(A1963,"" ""))))"),"Collina")</f>
        <v>Collina</v>
      </c>
      <c r="C1963" s="6"/>
      <c r="D1963" s="6" t="s">
        <v>1789</v>
      </c>
      <c r="E1963" s="9" t="s">
        <v>1790</v>
      </c>
    </row>
    <row r="1964">
      <c r="A1964" s="4" t="s">
        <v>1981</v>
      </c>
      <c r="B1964" s="5" t="str">
        <f>IFERROR(__xludf.DUMMYFUNCTION("IF(A1964="""","""",INDEX(SPLIT(A1964,"" ""),COUNTA(SPLIT(A1964,"" ""))))"),"Songavazzo")</f>
        <v>Songavazzo</v>
      </c>
      <c r="C1964" s="6"/>
      <c r="D1964" s="6" t="s">
        <v>1789</v>
      </c>
      <c r="E1964" s="9" t="s">
        <v>1790</v>
      </c>
    </row>
    <row r="1965">
      <c r="A1965" s="4" t="s">
        <v>1982</v>
      </c>
      <c r="B1965" s="5" t="str">
        <f>IFERROR(__xludf.DUMMYFUNCTION("IF(A1965="""","""",INDEX(SPLIT(A1965,"" ""),COUNTA(SPLIT(A1965,"" ""))))"),"Sorisole")</f>
        <v>Sorisole</v>
      </c>
      <c r="C1965" s="6"/>
      <c r="D1965" s="6" t="s">
        <v>1789</v>
      </c>
      <c r="E1965" s="9" t="s">
        <v>1790</v>
      </c>
    </row>
    <row r="1966">
      <c r="A1966" s="4" t="s">
        <v>1983</v>
      </c>
      <c r="B1966" s="5" t="str">
        <f>IFERROR(__xludf.DUMMYFUNCTION("IF(A1966="""","""",INDEX(SPLIT(A1966,"" ""),COUNTA(SPLIT(A1966,"" ""))))"),"XXIII")</f>
        <v>XXIII</v>
      </c>
      <c r="C1966" s="6"/>
      <c r="D1966" s="6" t="s">
        <v>1789</v>
      </c>
      <c r="E1966" s="9" t="s">
        <v>1790</v>
      </c>
    </row>
    <row r="1967">
      <c r="A1967" s="4" t="s">
        <v>1984</v>
      </c>
      <c r="B1967" s="5" t="str">
        <f>IFERROR(__xludf.DUMMYFUNCTION("IF(A1967="""","""",INDEX(SPLIT(A1967,"" ""),COUNTA(SPLIT(A1967,"" ""))))"),"Sovere")</f>
        <v>Sovere</v>
      </c>
      <c r="C1967" s="6"/>
      <c r="D1967" s="6" t="s">
        <v>1789</v>
      </c>
      <c r="E1967" s="9" t="s">
        <v>1790</v>
      </c>
    </row>
    <row r="1968">
      <c r="A1968" s="4" t="s">
        <v>1985</v>
      </c>
      <c r="B1968" s="5" t="str">
        <f>IFERROR(__xludf.DUMMYFUNCTION("IF(A1968="""","""",INDEX(SPLIT(A1968,"" ""),COUNTA(SPLIT(A1968,"" ""))))"),"Lago")</f>
        <v>Lago</v>
      </c>
      <c r="C1968" s="6"/>
      <c r="D1968" s="6" t="s">
        <v>1789</v>
      </c>
      <c r="E1968" s="9" t="s">
        <v>1790</v>
      </c>
    </row>
    <row r="1969">
      <c r="A1969" s="4" t="s">
        <v>1986</v>
      </c>
      <c r="B1969" s="5" t="str">
        <f>IFERROR(__xludf.DUMMYFUNCTION("IF(A1969="""","""",INDEX(SPLIT(A1969,"" ""),COUNTA(SPLIT(A1969,"" ""))))"),"Spirano")</f>
        <v>Spirano</v>
      </c>
      <c r="C1969" s="6"/>
      <c r="D1969" s="6" t="s">
        <v>1789</v>
      </c>
      <c r="E1969" s="9" t="s">
        <v>1790</v>
      </c>
    </row>
    <row r="1970">
      <c r="A1970" s="4" t="s">
        <v>1987</v>
      </c>
      <c r="B1970" s="5" t="str">
        <f>IFERROR(__xludf.DUMMYFUNCTION("IF(A1970="""","""",INDEX(SPLIT(A1970,"" ""),COUNTA(SPLIT(A1970,"" ""))))"),"Stezzano")</f>
        <v>Stezzano</v>
      </c>
      <c r="C1970" s="6"/>
      <c r="D1970" s="6" t="s">
        <v>1789</v>
      </c>
      <c r="E1970" s="9" t="s">
        <v>1790</v>
      </c>
    </row>
    <row r="1971">
      <c r="A1971" s="4" t="s">
        <v>1988</v>
      </c>
      <c r="B1971" s="5" t="str">
        <f>IFERROR(__xludf.DUMMYFUNCTION("IF(A1971="""","""",INDEX(SPLIT(A1971,"" ""),COUNTA(SPLIT(A1971,"" ""))))"),"Strozza")</f>
        <v>Strozza</v>
      </c>
      <c r="C1971" s="6"/>
      <c r="D1971" s="6" t="s">
        <v>1789</v>
      </c>
      <c r="E1971" s="9" t="s">
        <v>1790</v>
      </c>
    </row>
    <row r="1972">
      <c r="A1972" s="4" t="s">
        <v>1989</v>
      </c>
      <c r="B1972" s="5" t="str">
        <f>IFERROR(__xludf.DUMMYFUNCTION("IF(A1972="""","""",INDEX(SPLIT(A1972,"" ""),COUNTA(SPLIT(A1972,"" ""))))"),"Suisio")</f>
        <v>Suisio</v>
      </c>
      <c r="C1972" s="6"/>
      <c r="D1972" s="6" t="s">
        <v>1789</v>
      </c>
      <c r="E1972" s="9" t="s">
        <v>1790</v>
      </c>
    </row>
    <row r="1973">
      <c r="A1973" s="4" t="s">
        <v>1990</v>
      </c>
      <c r="B1973" s="5" t="str">
        <f>IFERROR(__xludf.DUMMYFUNCTION("IF(A1973="""","""",INDEX(SPLIT(A1973,"" ""),COUNTA(SPLIT(A1973,"" ""))))"),"Taleggio")</f>
        <v>Taleggio</v>
      </c>
      <c r="C1973" s="6"/>
      <c r="D1973" s="6" t="s">
        <v>1789</v>
      </c>
      <c r="E1973" s="9" t="s">
        <v>1790</v>
      </c>
    </row>
    <row r="1974">
      <c r="A1974" s="4" t="s">
        <v>1991</v>
      </c>
      <c r="B1974" s="5" t="str">
        <f>IFERROR(__xludf.DUMMYFUNCTION("IF(A1974="""","""",INDEX(SPLIT(A1974,"" ""),COUNTA(SPLIT(A1974,"" ""))))"),"Bergamasca")</f>
        <v>Bergamasca</v>
      </c>
      <c r="C1974" s="6"/>
      <c r="D1974" s="6" t="s">
        <v>1789</v>
      </c>
      <c r="E1974" s="9" t="s">
        <v>1790</v>
      </c>
    </row>
    <row r="1975">
      <c r="A1975" s="4" t="s">
        <v>1992</v>
      </c>
      <c r="B1975" s="5" t="str">
        <f>IFERROR(__xludf.DUMMYFUNCTION("IF(A1975="""","""",INDEX(SPLIT(A1975,"" ""),COUNTA(SPLIT(A1975,"" ""))))"),"Telgate")</f>
        <v>Telgate</v>
      </c>
      <c r="C1975" s="6"/>
      <c r="D1975" s="6" t="s">
        <v>1789</v>
      </c>
      <c r="E1975" s="9" t="s">
        <v>1790</v>
      </c>
    </row>
    <row r="1976">
      <c r="A1976" s="4" t="s">
        <v>1993</v>
      </c>
      <c r="B1976" s="5" t="str">
        <f>IFERROR(__xludf.DUMMYFUNCTION("IF(A1976="""","""",INDEX(SPLIT(A1976,"" ""),COUNTA(SPLIT(A1976,"" ""))))"),"d'Isola")</f>
        <v>d'Isola</v>
      </c>
      <c r="C1976" s="6"/>
      <c r="D1976" s="6" t="s">
        <v>1789</v>
      </c>
      <c r="E1976" s="9" t="s">
        <v>1790</v>
      </c>
    </row>
    <row r="1977">
      <c r="A1977" s="4" t="s">
        <v>1994</v>
      </c>
      <c r="B1977" s="5" t="str">
        <f>IFERROR(__xludf.DUMMYFUNCTION("IF(A1977="""","""",INDEX(SPLIT(A1977,"" ""),COUNTA(SPLIT(A1977,"" ""))))"),"Boldone")</f>
        <v>Boldone</v>
      </c>
      <c r="C1977" s="6"/>
      <c r="D1977" s="6" t="s">
        <v>1789</v>
      </c>
      <c r="E1977" s="9" t="s">
        <v>1790</v>
      </c>
    </row>
    <row r="1978">
      <c r="A1978" s="10" t="s">
        <v>1995</v>
      </c>
      <c r="B1978" s="5" t="str">
        <f>IFERROR(__xludf.DUMMYFUNCTION("IF(A1978="""","""",INDEX(SPLIT(A1978,"" ""),COUNTA(SPLIT(A1978,"" ""))))"),"Busi")</f>
        <v>Busi</v>
      </c>
      <c r="C1978" s="11"/>
      <c r="D1978" s="6" t="s">
        <v>1789</v>
      </c>
      <c r="E1978" s="9" t="s">
        <v>1790</v>
      </c>
    </row>
    <row r="1979">
      <c r="A1979" s="4" t="s">
        <v>1996</v>
      </c>
      <c r="B1979" s="5" t="str">
        <f>IFERROR(__xludf.DUMMYFUNCTION("IF(A1979="""","""",INDEX(SPLIT(A1979,"" ""),COUNTA(SPLIT(A1979,"" ""))))"),"Roveri")</f>
        <v>Roveri</v>
      </c>
      <c r="C1979" s="6"/>
      <c r="D1979" s="6" t="s">
        <v>1789</v>
      </c>
      <c r="E1979" s="9" t="s">
        <v>1790</v>
      </c>
    </row>
    <row r="1980">
      <c r="A1980" s="4" t="s">
        <v>1997</v>
      </c>
      <c r="B1980" s="5" t="str">
        <f>IFERROR(__xludf.DUMMYFUNCTION("IF(A1980="""","""",INDEX(SPLIT(A1980,"" ""),COUNTA(SPLIT(A1980,"" ""))))"),"Pallavicina")</f>
        <v>Pallavicina</v>
      </c>
      <c r="C1980" s="6"/>
      <c r="D1980" s="6" t="s">
        <v>1789</v>
      </c>
      <c r="E1980" s="9" t="s">
        <v>1790</v>
      </c>
    </row>
    <row r="1981">
      <c r="A1981" s="4" t="s">
        <v>1998</v>
      </c>
      <c r="B1981" s="5" t="str">
        <f>IFERROR(__xludf.DUMMYFUNCTION("IF(A1981="""","""",INDEX(SPLIT(A1981,"" ""),COUNTA(SPLIT(A1981,"" ""))))"),"Balneario")</f>
        <v>Balneario</v>
      </c>
      <c r="C1981" s="6"/>
      <c r="D1981" s="6" t="s">
        <v>1789</v>
      </c>
      <c r="E1981" s="9" t="s">
        <v>1790</v>
      </c>
    </row>
    <row r="1982">
      <c r="A1982" s="4" t="s">
        <v>1999</v>
      </c>
      <c r="B1982" s="5" t="str">
        <f>IFERROR(__xludf.DUMMYFUNCTION("IF(A1982="""","""",INDEX(SPLIT(A1982,"" ""),COUNTA(SPLIT(A1982,"" ""))))"),"Treviglio")</f>
        <v>Treviglio</v>
      </c>
      <c r="C1982" s="6"/>
      <c r="D1982" s="6" t="s">
        <v>1789</v>
      </c>
      <c r="E1982" s="9" t="s">
        <v>1790</v>
      </c>
    </row>
    <row r="1983">
      <c r="A1983" s="4" t="s">
        <v>2000</v>
      </c>
      <c r="B1983" s="5" t="str">
        <f>IFERROR(__xludf.DUMMYFUNCTION("IF(A1983="""","""",INDEX(SPLIT(A1983,"" ""),COUNTA(SPLIT(A1983,"" ""))))"),"Treviolo")</f>
        <v>Treviolo</v>
      </c>
      <c r="C1983" s="6"/>
      <c r="D1983" s="6" t="s">
        <v>1789</v>
      </c>
      <c r="E1983" s="9" t="s">
        <v>1790</v>
      </c>
    </row>
    <row r="1984">
      <c r="A1984" s="4" t="s">
        <v>2001</v>
      </c>
      <c r="B1984" s="5" t="str">
        <f>IFERROR(__xludf.DUMMYFUNCTION("IF(A1984="""","""",INDEX(SPLIT(A1984,"" ""),COUNTA(SPLIT(A1984,"" ""))))"),"Clanezzo")</f>
        <v>Clanezzo</v>
      </c>
      <c r="C1984" s="6"/>
      <c r="D1984" s="6" t="s">
        <v>1789</v>
      </c>
      <c r="E1984" s="9" t="s">
        <v>1790</v>
      </c>
    </row>
    <row r="1985">
      <c r="A1985" s="4" t="s">
        <v>2002</v>
      </c>
      <c r="B1985" s="5" t="str">
        <f>IFERROR(__xludf.DUMMYFUNCTION("IF(A1985="""","""",INDEX(SPLIT(A1985,"" ""),COUNTA(SPLIT(A1985,"" ""))))"),"Urgnano")</f>
        <v>Urgnano</v>
      </c>
      <c r="C1985" s="6"/>
      <c r="D1985" s="6" t="s">
        <v>1789</v>
      </c>
      <c r="E1985" s="9" t="s">
        <v>1790</v>
      </c>
    </row>
    <row r="1986">
      <c r="A1986" s="4" t="s">
        <v>2003</v>
      </c>
      <c r="B1986" s="5" t="str">
        <f>IFERROR(__xludf.DUMMYFUNCTION("IF(A1986="""","""",INDEX(SPLIT(A1986,"" ""),COUNTA(SPLIT(A1986,"" ""))))"),"Valbondione")</f>
        <v>Valbondione</v>
      </c>
      <c r="C1986" s="6"/>
      <c r="D1986" s="6" t="s">
        <v>1789</v>
      </c>
      <c r="E1986" s="9" t="s">
        <v>1790</v>
      </c>
    </row>
    <row r="1987">
      <c r="A1987" s="4" t="s">
        <v>2004</v>
      </c>
      <c r="B1987" s="5" t="str">
        <f>IFERROR(__xludf.DUMMYFUNCTION("IF(A1987="""","""",INDEX(SPLIT(A1987,"" ""),COUNTA(SPLIT(A1987,"" ""))))"),"Valbrembo")</f>
        <v>Valbrembo</v>
      </c>
      <c r="C1987" s="6"/>
      <c r="D1987" s="6" t="s">
        <v>1789</v>
      </c>
      <c r="E1987" s="9" t="s">
        <v>1790</v>
      </c>
    </row>
    <row r="1988">
      <c r="A1988" s="4" t="s">
        <v>2005</v>
      </c>
      <c r="B1988" s="5" t="str">
        <f>IFERROR(__xludf.DUMMYFUNCTION("IF(A1988="""","""",INDEX(SPLIT(A1988,"" ""),COUNTA(SPLIT(A1988,"" ""))))"),"Valgoglio")</f>
        <v>Valgoglio</v>
      </c>
      <c r="C1988" s="6"/>
      <c r="D1988" s="6" t="s">
        <v>1789</v>
      </c>
      <c r="E1988" s="9" t="s">
        <v>1790</v>
      </c>
    </row>
    <row r="1989">
      <c r="A1989" s="4" t="s">
        <v>2006</v>
      </c>
      <c r="B1989" s="5" t="str">
        <f>IFERROR(__xludf.DUMMYFUNCTION("IF(A1989="""","""",INDEX(SPLIT(A1989,"" ""),COUNTA(SPLIT(A1989,"" ""))))"),"Valleve")</f>
        <v>Valleve</v>
      </c>
      <c r="C1989" s="6"/>
      <c r="D1989" s="6" t="s">
        <v>1789</v>
      </c>
      <c r="E1989" s="9" t="s">
        <v>1790</v>
      </c>
    </row>
    <row r="1990">
      <c r="A1990" s="4" t="s">
        <v>2007</v>
      </c>
      <c r="B1990" s="5" t="str">
        <f>IFERROR(__xludf.DUMMYFUNCTION("IF(A1990="""","""",INDEX(SPLIT(A1990,"" ""),COUNTA(SPLIT(A1990,"" ""))))"),"Valnegra")</f>
        <v>Valnegra</v>
      </c>
      <c r="C1990" s="6"/>
      <c r="D1990" s="6" t="s">
        <v>1789</v>
      </c>
      <c r="E1990" s="9" t="s">
        <v>1790</v>
      </c>
    </row>
    <row r="1991">
      <c r="A1991" s="4" t="s">
        <v>2008</v>
      </c>
      <c r="B1991" s="5" t="str">
        <f>IFERROR(__xludf.DUMMYFUNCTION("IF(A1991="""","""",INDEX(SPLIT(A1991,"" ""),COUNTA(SPLIT(A1991,"" ""))))"),"Valtorta")</f>
        <v>Valtorta</v>
      </c>
      <c r="C1991" s="6"/>
      <c r="D1991" s="6" t="s">
        <v>1789</v>
      </c>
      <c r="E1991" s="9" t="s">
        <v>1790</v>
      </c>
    </row>
    <row r="1992">
      <c r="A1992" s="4" t="s">
        <v>2009</v>
      </c>
      <c r="B1992" s="5" t="str">
        <f>IFERROR(__xludf.DUMMYFUNCTION("IF(A1992="""","""",INDEX(SPLIT(A1992,"" ""),COUNTA(SPLIT(A1992,"" ""))))"),"Vedeseta")</f>
        <v>Vedeseta</v>
      </c>
      <c r="C1992" s="6"/>
      <c r="D1992" s="6" t="s">
        <v>1789</v>
      </c>
      <c r="E1992" s="9" t="s">
        <v>1790</v>
      </c>
    </row>
    <row r="1993">
      <c r="A1993" s="4" t="s">
        <v>2010</v>
      </c>
      <c r="B1993" s="5" t="str">
        <f>IFERROR(__xludf.DUMMYFUNCTION("IF(A1993="""","""",INDEX(SPLIT(A1993,"" ""),COUNTA(SPLIT(A1993,"" ""))))"),"Verdellino")</f>
        <v>Verdellino</v>
      </c>
      <c r="C1993" s="6"/>
      <c r="D1993" s="6" t="s">
        <v>1789</v>
      </c>
      <c r="E1993" s="9" t="s">
        <v>1790</v>
      </c>
    </row>
    <row r="1994">
      <c r="A1994" s="4" t="s">
        <v>2011</v>
      </c>
      <c r="B1994" s="5" t="str">
        <f>IFERROR(__xludf.DUMMYFUNCTION("IF(A1994="""","""",INDEX(SPLIT(A1994,"" ""),COUNTA(SPLIT(A1994,"" ""))))"),"Verdello")</f>
        <v>Verdello</v>
      </c>
      <c r="C1994" s="6"/>
      <c r="D1994" s="6" t="s">
        <v>1789</v>
      </c>
      <c r="E1994" s="9" t="s">
        <v>1790</v>
      </c>
    </row>
    <row r="1995">
      <c r="A1995" s="4" t="s">
        <v>2012</v>
      </c>
      <c r="B1995" s="5" t="str">
        <f>IFERROR(__xludf.DUMMYFUNCTION("IF(A1995="""","""",INDEX(SPLIT(A1995,"" ""),COUNTA(SPLIT(A1995,"" ""))))"),"Vertova")</f>
        <v>Vertova</v>
      </c>
      <c r="C1995" s="6"/>
      <c r="D1995" s="6" t="s">
        <v>1789</v>
      </c>
      <c r="E1995" s="9" t="s">
        <v>1790</v>
      </c>
    </row>
    <row r="1996">
      <c r="A1996" s="4" t="s">
        <v>2013</v>
      </c>
      <c r="B1996" s="5" t="str">
        <f>IFERROR(__xludf.DUMMYFUNCTION("IF(A1996="""","""",INDEX(SPLIT(A1996,"" ""),COUNTA(SPLIT(A1996,"" ""))))"),"Viadanica")</f>
        <v>Viadanica</v>
      </c>
      <c r="C1996" s="6"/>
      <c r="D1996" s="6" t="s">
        <v>1789</v>
      </c>
      <c r="E1996" s="9" t="s">
        <v>1790</v>
      </c>
    </row>
    <row r="1997">
      <c r="A1997" s="4" t="s">
        <v>2014</v>
      </c>
      <c r="B1997" s="5" t="str">
        <f>IFERROR(__xludf.DUMMYFUNCTION("IF(A1997="""","""",INDEX(SPLIT(A1997,"" ""),COUNTA(SPLIT(A1997,"" ""))))"),"Martino")</f>
        <v>Martino</v>
      </c>
      <c r="C1997" s="6"/>
      <c r="D1997" s="6" t="s">
        <v>1789</v>
      </c>
      <c r="E1997" s="9" t="s">
        <v>1790</v>
      </c>
    </row>
    <row r="1998">
      <c r="A1998" s="4" t="s">
        <v>2015</v>
      </c>
      <c r="B1998" s="5" t="str">
        <f>IFERROR(__xludf.DUMMYFUNCTION("IF(A1998="""","""",INDEX(SPLIT(A1998,"" ""),COUNTA(SPLIT(A1998,"" ""))))"),"Vigolo")</f>
        <v>Vigolo</v>
      </c>
      <c r="C1998" s="6"/>
      <c r="D1998" s="6" t="s">
        <v>1789</v>
      </c>
      <c r="E1998" s="9" t="s">
        <v>1790</v>
      </c>
    </row>
    <row r="1999">
      <c r="A1999" s="4" t="s">
        <v>2016</v>
      </c>
      <c r="B1999" s="5" t="str">
        <f>IFERROR(__xludf.DUMMYFUNCTION("IF(A1999="""","""",INDEX(SPLIT(A1999,"" ""),COUNTA(SPLIT(A1999,"" ""))))"),"d'Adda")</f>
        <v>d'Adda</v>
      </c>
      <c r="C1999" s="6"/>
      <c r="D1999" s="6" t="s">
        <v>1789</v>
      </c>
      <c r="E1999" s="9" t="s">
        <v>1790</v>
      </c>
    </row>
    <row r="2000">
      <c r="A2000" s="4" t="s">
        <v>2017</v>
      </c>
      <c r="B2000" s="5" t="str">
        <f>IFERROR(__xludf.DUMMYFUNCTION("IF(A2000="""","""",INDEX(SPLIT(A2000,"" ""),COUNTA(SPLIT(A2000,"" ""))))"),"d'Almè")</f>
        <v>d'Almè</v>
      </c>
      <c r="C2000" s="6"/>
      <c r="D2000" s="6" t="s">
        <v>1789</v>
      </c>
      <c r="E2000" s="9" t="s">
        <v>1790</v>
      </c>
    </row>
    <row r="2001">
      <c r="A2001" s="4" t="s">
        <v>2018</v>
      </c>
      <c r="B2001" s="5" t="str">
        <f>IFERROR(__xludf.DUMMYFUNCTION("IF(A2001="""","""",INDEX(SPLIT(A2001,"" ""),COUNTA(SPLIT(A2001,"" ""))))"),"Serio")</f>
        <v>Serio</v>
      </c>
      <c r="C2001" s="6"/>
      <c r="D2001" s="6" t="s">
        <v>1789</v>
      </c>
      <c r="E2001" s="9" t="s">
        <v>1790</v>
      </c>
    </row>
    <row r="2002">
      <c r="A2002" s="4" t="s">
        <v>2019</v>
      </c>
      <c r="B2002" s="5" t="str">
        <f>IFERROR(__xludf.DUMMYFUNCTION("IF(A2002="""","""",INDEX(SPLIT(A2002,"" ""),COUNTA(SPLIT(A2002,"" ""))))"),"d'Ogna")</f>
        <v>d'Ogna</v>
      </c>
      <c r="C2002" s="6"/>
      <c r="D2002" s="6" t="s">
        <v>1789</v>
      </c>
      <c r="E2002" s="9" t="s">
        <v>1790</v>
      </c>
    </row>
    <row r="2003">
      <c r="A2003" s="4" t="s">
        <v>2020</v>
      </c>
      <c r="B2003" s="5" t="str">
        <f>IFERROR(__xludf.DUMMYFUNCTION("IF(A2003="""","""",INDEX(SPLIT(A2003,"" ""),COUNTA(SPLIT(A2003,"" ""))))"),"Villongo")</f>
        <v>Villongo</v>
      </c>
      <c r="C2003" s="6"/>
      <c r="D2003" s="6" t="s">
        <v>1789</v>
      </c>
      <c r="E2003" s="9" t="s">
        <v>1790</v>
      </c>
    </row>
    <row r="2004">
      <c r="A2004" s="4" t="s">
        <v>2021</v>
      </c>
      <c r="B2004" s="5" t="str">
        <f>IFERROR(__xludf.DUMMYFUNCTION("IF(A2004="""","""",INDEX(SPLIT(A2004,"" ""),COUNTA(SPLIT(A2004,"" ""))))"),"Scalve")</f>
        <v>Scalve</v>
      </c>
      <c r="C2004" s="6"/>
      <c r="D2004" s="6" t="s">
        <v>1789</v>
      </c>
      <c r="E2004" s="9" t="s">
        <v>1790</v>
      </c>
    </row>
    <row r="2005">
      <c r="A2005" s="4" t="s">
        <v>2022</v>
      </c>
      <c r="B2005" s="5" t="str">
        <f>IFERROR(__xludf.DUMMYFUNCTION("IF(A2005="""","""",INDEX(SPLIT(A2005,"" ""),COUNTA(SPLIT(A2005,"" ""))))"),"Zandobbio")</f>
        <v>Zandobbio</v>
      </c>
      <c r="C2005" s="6"/>
      <c r="D2005" s="6" t="s">
        <v>1789</v>
      </c>
      <c r="E2005" s="9" t="s">
        <v>1790</v>
      </c>
    </row>
    <row r="2006">
      <c r="A2006" s="4" t="s">
        <v>2023</v>
      </c>
      <c r="B2006" s="5" t="str">
        <f>IFERROR(__xludf.DUMMYFUNCTION("IF(A2006="""","""",INDEX(SPLIT(A2006,"" ""),COUNTA(SPLIT(A2006,"" ""))))"),"Zanica")</f>
        <v>Zanica</v>
      </c>
      <c r="C2006" s="6"/>
      <c r="D2006" s="6" t="s">
        <v>1789</v>
      </c>
      <c r="E2006" s="9" t="s">
        <v>1790</v>
      </c>
    </row>
    <row r="2007">
      <c r="A2007" s="4" t="s">
        <v>2024</v>
      </c>
      <c r="B2007" s="5" t="str">
        <f>IFERROR(__xludf.DUMMYFUNCTION("IF(A2007="""","""",INDEX(SPLIT(A2007,"" ""),COUNTA(SPLIT(A2007,"" ""))))"),"Zogno")</f>
        <v>Zogno</v>
      </c>
      <c r="C2007" s="6"/>
      <c r="D2007" s="6" t="s">
        <v>1789</v>
      </c>
      <c r="E2007" s="9" t="s">
        <v>1790</v>
      </c>
    </row>
    <row r="2008">
      <c r="A2008" s="4" t="s">
        <v>2025</v>
      </c>
      <c r="B2008" s="5" t="str">
        <f>IFERROR(__xludf.DUMMYFUNCTION("IF(A2008="""","""",INDEX(SPLIT(A2008,"" ""),COUNTA(SPLIT(A2008,"" ""))))"),"Serina")</f>
        <v>Serina</v>
      </c>
      <c r="C2008" s="6"/>
      <c r="D2008" s="6" t="s">
        <v>1789</v>
      </c>
      <c r="E2008" s="9" t="s">
        <v>1790</v>
      </c>
    </row>
    <row r="2009">
      <c r="A2009" s="4" t="s">
        <v>2026</v>
      </c>
      <c r="B2009" s="5" t="str">
        <f>IFERROR(__xludf.DUMMYFUNCTION("IF(A2009="""","""",INDEX(SPLIT(A2009,"" ""),COUNTA(SPLIT(A2009,"" ""))))"),"Algua")</f>
        <v>Algua</v>
      </c>
      <c r="C2009" s="6"/>
      <c r="D2009" s="6" t="s">
        <v>1789</v>
      </c>
      <c r="E2009" s="9" t="s">
        <v>1790</v>
      </c>
    </row>
    <row r="2010">
      <c r="A2010" s="4" t="s">
        <v>2027</v>
      </c>
      <c r="B2010" s="5" t="str">
        <f>IFERROR(__xludf.DUMMYFUNCTION("IF(A2010="""","""",INDEX(SPLIT(A2010,"" ""),COUNTA(SPLIT(A2010,"" ""))))"),"Cornalba")</f>
        <v>Cornalba</v>
      </c>
      <c r="C2010" s="6"/>
      <c r="D2010" s="6" t="s">
        <v>1789</v>
      </c>
      <c r="E2010" s="9" t="s">
        <v>1790</v>
      </c>
    </row>
    <row r="2011">
      <c r="A2011" s="4" t="s">
        <v>2028</v>
      </c>
      <c r="B2011" s="5" t="str">
        <f>IFERROR(__xludf.DUMMYFUNCTION("IF(A2011="""","""",INDEX(SPLIT(A2011,"" ""),COUNTA(SPLIT(A2011,"" ""))))"),"Medolago")</f>
        <v>Medolago</v>
      </c>
      <c r="C2011" s="6"/>
      <c r="D2011" s="6" t="s">
        <v>1789</v>
      </c>
      <c r="E2011" s="9" t="s">
        <v>1790</v>
      </c>
    </row>
    <row r="2012">
      <c r="A2012" s="4" t="s">
        <v>2029</v>
      </c>
      <c r="B2012" s="5" t="str">
        <f>IFERROR(__xludf.DUMMYFUNCTION("IF(A2012="""","""",INDEX(SPLIT(A2012,"" ""),COUNTA(SPLIT(A2012,"" ""))))"),"Solza")</f>
        <v>Solza</v>
      </c>
      <c r="C2012" s="6"/>
      <c r="D2012" s="6" t="s">
        <v>1789</v>
      </c>
      <c r="E2012" s="9" t="s">
        <v>1790</v>
      </c>
    </row>
    <row r="2013">
      <c r="A2013" s="4" t="s">
        <v>2030</v>
      </c>
      <c r="B2013" s="5" t="str">
        <f>IFERROR(__xludf.DUMMYFUNCTION("IF(A2013="""","""",INDEX(SPLIT(A2013,"" ""),COUNTA(SPLIT(A2013,"" ""))))"),"Terme")</f>
        <v>Terme</v>
      </c>
      <c r="C2013" s="6"/>
      <c r="D2013" s="6" t="s">
        <v>1789</v>
      </c>
      <c r="E2013" s="9" t="s">
        <v>1790</v>
      </c>
    </row>
    <row r="2014">
      <c r="A2014" s="4" t="s">
        <v>2031</v>
      </c>
      <c r="B2014" s="5" t="str">
        <f>IFERROR(__xludf.DUMMYFUNCTION("IF(A2014="""","""",INDEX(SPLIT(A2014,"" ""),COUNTA(SPLIT(A2014,"" ""))))"),"Brembilla")</f>
        <v>Brembilla</v>
      </c>
      <c r="C2014" s="6"/>
      <c r="D2014" s="6" t="s">
        <v>1789</v>
      </c>
      <c r="E2014" s="9" t="s">
        <v>1790</v>
      </c>
    </row>
    <row r="2015">
      <c r="A2015" s="4" t="s">
        <v>2032</v>
      </c>
      <c r="B2015" s="5" t="str">
        <f>IFERROR(__xludf.DUMMYFUNCTION("IF(A2015="""","""",INDEX(SPLIT(A2015,"" ""),COUNTA(SPLIT(A2015,"" ""))))"),"Acquafredda")</f>
        <v>Acquafredda</v>
      </c>
      <c r="C2015" s="6"/>
      <c r="D2015" s="6" t="s">
        <v>2033</v>
      </c>
      <c r="E2015" s="12" t="s">
        <v>2034</v>
      </c>
    </row>
    <row r="2016">
      <c r="A2016" s="4" t="s">
        <v>2035</v>
      </c>
      <c r="B2016" s="5" t="str">
        <f>IFERROR(__xludf.DUMMYFUNCTION("IF(A2016="""","""",INDEX(SPLIT(A2016,"" ""),COUNTA(SPLIT(A2016,"" ""))))"),"Adro")</f>
        <v>Adro</v>
      </c>
      <c r="C2016" s="6"/>
      <c r="D2016" s="6" t="s">
        <v>2033</v>
      </c>
      <c r="E2016" s="12" t="s">
        <v>2034</v>
      </c>
    </row>
    <row r="2017">
      <c r="A2017" s="4" t="s">
        <v>2036</v>
      </c>
      <c r="B2017" s="5" t="str">
        <f>IFERROR(__xludf.DUMMYFUNCTION("IF(A2017="""","""",INDEX(SPLIT(A2017,"" ""),COUNTA(SPLIT(A2017,"" ""))))"),"Agnosine")</f>
        <v>Agnosine</v>
      </c>
      <c r="C2017" s="6"/>
      <c r="D2017" s="6" t="s">
        <v>2033</v>
      </c>
      <c r="E2017" s="12" t="s">
        <v>2034</v>
      </c>
    </row>
    <row r="2018">
      <c r="A2018" s="4" t="s">
        <v>2037</v>
      </c>
      <c r="B2018" s="5" t="str">
        <f>IFERROR(__xludf.DUMMYFUNCTION("IF(A2018="""","""",INDEX(SPLIT(A2018,"" ""),COUNTA(SPLIT(A2018,"" ""))))"),"Alfianello")</f>
        <v>Alfianello</v>
      </c>
      <c r="C2018" s="6"/>
      <c r="D2018" s="6" t="s">
        <v>2033</v>
      </c>
      <c r="E2018" s="12" t="s">
        <v>2034</v>
      </c>
    </row>
    <row r="2019">
      <c r="A2019" s="4" t="s">
        <v>2038</v>
      </c>
      <c r="B2019" s="5" t="str">
        <f>IFERROR(__xludf.DUMMYFUNCTION("IF(A2019="""","""",INDEX(SPLIT(A2019,"" ""),COUNTA(SPLIT(A2019,"" ""))))"),"Anfo")</f>
        <v>Anfo</v>
      </c>
      <c r="C2019" s="6"/>
      <c r="D2019" s="6" t="s">
        <v>2033</v>
      </c>
      <c r="E2019" s="12" t="s">
        <v>2034</v>
      </c>
    </row>
    <row r="2020">
      <c r="A2020" s="4" t="s">
        <v>2039</v>
      </c>
      <c r="B2020" s="5" t="str">
        <f>IFERROR(__xludf.DUMMYFUNCTION("IF(A2020="""","""",INDEX(SPLIT(A2020,"" ""),COUNTA(SPLIT(A2020,"" ""))))"),"Terme")</f>
        <v>Terme</v>
      </c>
      <c r="C2020" s="6"/>
      <c r="D2020" s="6" t="s">
        <v>2033</v>
      </c>
      <c r="E2020" s="12" t="s">
        <v>2034</v>
      </c>
    </row>
    <row r="2021">
      <c r="A2021" s="4" t="s">
        <v>2040</v>
      </c>
      <c r="B2021" s="5" t="str">
        <f>IFERROR(__xludf.DUMMYFUNCTION("IF(A2021="""","""",INDEX(SPLIT(A2021,"" ""),COUNTA(SPLIT(A2021,"" ""))))"),"Artogne")</f>
        <v>Artogne</v>
      </c>
      <c r="C2021" s="6"/>
      <c r="D2021" s="6" t="s">
        <v>2033</v>
      </c>
      <c r="E2021" s="12" t="s">
        <v>2034</v>
      </c>
    </row>
    <row r="2022">
      <c r="A2022" s="4" t="s">
        <v>2041</v>
      </c>
      <c r="B2022" s="5" t="str">
        <f>IFERROR(__xludf.DUMMYFUNCTION("IF(A2022="""","""",INDEX(SPLIT(A2022,"" ""),COUNTA(SPLIT(A2022,"" ""))))"),"Mella")</f>
        <v>Mella</v>
      </c>
      <c r="C2022" s="6"/>
      <c r="D2022" s="6" t="s">
        <v>2033</v>
      </c>
      <c r="E2022" s="12" t="s">
        <v>2034</v>
      </c>
    </row>
    <row r="2023">
      <c r="A2023" s="4" t="s">
        <v>2042</v>
      </c>
      <c r="B2023" s="5" t="str">
        <f>IFERROR(__xludf.DUMMYFUNCTION("IF(A2023="""","""",INDEX(SPLIT(A2023,"" ""),COUNTA(SPLIT(A2023,"" ""))))"),"Mella")</f>
        <v>Mella</v>
      </c>
      <c r="C2023" s="6"/>
      <c r="D2023" s="6" t="s">
        <v>2033</v>
      </c>
      <c r="E2023" s="12" t="s">
        <v>2034</v>
      </c>
    </row>
    <row r="2024">
      <c r="A2024" s="4" t="s">
        <v>2043</v>
      </c>
      <c r="B2024" s="5" t="str">
        <f>IFERROR(__xludf.DUMMYFUNCTION("IF(A2024="""","""",INDEX(SPLIT(A2024,"" ""),COUNTA(SPLIT(A2024,"" ""))))"),"Bagolino")</f>
        <v>Bagolino</v>
      </c>
      <c r="C2024" s="6"/>
      <c r="D2024" s="6" t="s">
        <v>2033</v>
      </c>
      <c r="E2024" s="12" t="s">
        <v>2034</v>
      </c>
    </row>
    <row r="2025">
      <c r="A2025" s="4" t="s">
        <v>2044</v>
      </c>
      <c r="B2025" s="5" t="str">
        <f>IFERROR(__xludf.DUMMYFUNCTION("IF(A2025="""","""",INDEX(SPLIT(A2025,"" ""),COUNTA(SPLIT(A2025,"" ""))))"),"Barbariga")</f>
        <v>Barbariga</v>
      </c>
      <c r="C2025" s="6"/>
      <c r="D2025" s="6" t="s">
        <v>2033</v>
      </c>
      <c r="E2025" s="12" t="s">
        <v>2034</v>
      </c>
    </row>
    <row r="2026">
      <c r="A2026" s="4" t="s">
        <v>2045</v>
      </c>
      <c r="B2026" s="5" t="str">
        <f>IFERROR(__xludf.DUMMYFUNCTION("IF(A2026="""","""",INDEX(SPLIT(A2026,"" ""),COUNTA(SPLIT(A2026,"" ""))))"),"Barghe")</f>
        <v>Barghe</v>
      </c>
      <c r="C2026" s="6"/>
      <c r="D2026" s="6" t="s">
        <v>2033</v>
      </c>
      <c r="E2026" s="12" t="s">
        <v>2034</v>
      </c>
    </row>
    <row r="2027">
      <c r="A2027" s="4" t="s">
        <v>2046</v>
      </c>
      <c r="B2027" s="5" t="str">
        <f>IFERROR(__xludf.DUMMYFUNCTION("IF(A2027="""","""",INDEX(SPLIT(A2027,"" ""),COUNTA(SPLIT(A2027,"" ""))))"),"Bresciano")</f>
        <v>Bresciano</v>
      </c>
      <c r="C2027" s="6"/>
      <c r="D2027" s="6" t="s">
        <v>2033</v>
      </c>
      <c r="E2027" s="12" t="s">
        <v>2034</v>
      </c>
    </row>
    <row r="2028">
      <c r="A2028" s="4" t="s">
        <v>2047</v>
      </c>
      <c r="B2028" s="5" t="str">
        <f>IFERROR(__xludf.DUMMYFUNCTION("IF(A2028="""","""",INDEX(SPLIT(A2028,"" ""),COUNTA(SPLIT(A2028,"" ""))))"),"Bedizzole")</f>
        <v>Bedizzole</v>
      </c>
      <c r="C2028" s="6"/>
      <c r="D2028" s="6" t="s">
        <v>2033</v>
      </c>
      <c r="E2028" s="12" t="s">
        <v>2034</v>
      </c>
    </row>
    <row r="2029">
      <c r="A2029" s="4" t="s">
        <v>2048</v>
      </c>
      <c r="B2029" s="5" t="str">
        <f>IFERROR(__xludf.DUMMYFUNCTION("IF(A2029="""","""",INDEX(SPLIT(A2029,"" ""),COUNTA(SPLIT(A2029,"" ""))))"),"Berlingo")</f>
        <v>Berlingo</v>
      </c>
      <c r="C2029" s="6"/>
      <c r="D2029" s="6" t="s">
        <v>2033</v>
      </c>
      <c r="E2029" s="12" t="s">
        <v>2034</v>
      </c>
    </row>
    <row r="2030">
      <c r="A2030" s="4" t="s">
        <v>2049</v>
      </c>
      <c r="B2030" s="5" t="str">
        <f>IFERROR(__xludf.DUMMYFUNCTION("IF(A2030="""","""",INDEX(SPLIT(A2030,"" ""),COUNTA(SPLIT(A2030,"" ""))))"),"Demo")</f>
        <v>Demo</v>
      </c>
      <c r="C2030" s="6"/>
      <c r="D2030" s="6" t="s">
        <v>2033</v>
      </c>
      <c r="E2030" s="12" t="s">
        <v>2034</v>
      </c>
    </row>
    <row r="2031">
      <c r="A2031" s="4" t="s">
        <v>2050</v>
      </c>
      <c r="B2031" s="5" t="str">
        <f>IFERROR(__xludf.DUMMYFUNCTION("IF(A2031="""","""",INDEX(SPLIT(A2031,"" ""),COUNTA(SPLIT(A2031,"" ""))))"),"Inferiore")</f>
        <v>Inferiore</v>
      </c>
      <c r="C2031" s="6"/>
      <c r="D2031" s="6" t="s">
        <v>2033</v>
      </c>
      <c r="E2031" s="12" t="s">
        <v>2034</v>
      </c>
    </row>
    <row r="2032">
      <c r="A2032" s="4" t="s">
        <v>2051</v>
      </c>
      <c r="B2032" s="5" t="str">
        <f>IFERROR(__xludf.DUMMYFUNCTION("IF(A2032="""","""",INDEX(SPLIT(A2032,"" ""),COUNTA(SPLIT(A2032,"" ""))))"),"Bienno")</f>
        <v>Bienno</v>
      </c>
      <c r="C2032" s="6"/>
      <c r="D2032" s="6" t="s">
        <v>2033</v>
      </c>
      <c r="E2032" s="12" t="s">
        <v>2034</v>
      </c>
    </row>
    <row r="2033">
      <c r="A2033" s="4" t="s">
        <v>2052</v>
      </c>
      <c r="B2033" s="5" t="str">
        <f>IFERROR(__xludf.DUMMYFUNCTION("IF(A2033="""","""",INDEX(SPLIT(A2033,"" ""),COUNTA(SPLIT(A2033,"" ""))))"),"Bione")</f>
        <v>Bione</v>
      </c>
      <c r="C2033" s="6"/>
      <c r="D2033" s="6" t="s">
        <v>2033</v>
      </c>
      <c r="E2033" s="12" t="s">
        <v>2034</v>
      </c>
    </row>
    <row r="2034">
      <c r="A2034" s="4" t="s">
        <v>2053</v>
      </c>
      <c r="B2034" s="5" t="str">
        <f>IFERROR(__xludf.DUMMYFUNCTION("IF(A2034="""","""",INDEX(SPLIT(A2034,"" ""),COUNTA(SPLIT(A2034,"" ""))))"),"Giacomo")</f>
        <v>Giacomo</v>
      </c>
      <c r="C2034" s="6"/>
      <c r="D2034" s="6" t="s">
        <v>2033</v>
      </c>
      <c r="E2034" s="12" t="s">
        <v>2034</v>
      </c>
    </row>
    <row r="2035">
      <c r="A2035" s="4" t="s">
        <v>2054</v>
      </c>
      <c r="B2035" s="5" t="str">
        <f>IFERROR(__xludf.DUMMYFUNCTION("IF(A2035="""","""",INDEX(SPLIT(A2035,"" ""),COUNTA(SPLIT(A2035,"" ""))))"),"Borgosatollo")</f>
        <v>Borgosatollo</v>
      </c>
      <c r="C2035" s="6"/>
      <c r="D2035" s="6" t="s">
        <v>2033</v>
      </c>
      <c r="E2035" s="12" t="s">
        <v>2034</v>
      </c>
    </row>
    <row r="2036">
      <c r="A2036" s="4" t="s">
        <v>2055</v>
      </c>
      <c r="B2036" s="5" t="str">
        <f>IFERROR(__xludf.DUMMYFUNCTION("IF(A2036="""","""",INDEX(SPLIT(A2036,"" ""),COUNTA(SPLIT(A2036,"" ""))))"),"Borno")</f>
        <v>Borno</v>
      </c>
      <c r="C2036" s="6"/>
      <c r="D2036" s="6" t="s">
        <v>2033</v>
      </c>
      <c r="E2036" s="12" t="s">
        <v>2034</v>
      </c>
    </row>
    <row r="2037">
      <c r="A2037" s="4" t="s">
        <v>2056</v>
      </c>
      <c r="B2037" s="5" t="str">
        <f>IFERROR(__xludf.DUMMYFUNCTION("IF(A2037="""","""",INDEX(SPLIT(A2037,"" ""),COUNTA(SPLIT(A2037,"" ""))))"),"Botticino")</f>
        <v>Botticino</v>
      </c>
      <c r="C2037" s="6"/>
      <c r="D2037" s="6" t="s">
        <v>2033</v>
      </c>
      <c r="E2037" s="12" t="s">
        <v>2034</v>
      </c>
    </row>
    <row r="2038">
      <c r="A2038" s="4" t="s">
        <v>2057</v>
      </c>
      <c r="B2038" s="5" t="str">
        <f>IFERROR(__xludf.DUMMYFUNCTION("IF(A2038="""","""",INDEX(SPLIT(A2038,"" ""),COUNTA(SPLIT(A2038,"" ""))))"),"Bovegno")</f>
        <v>Bovegno</v>
      </c>
      <c r="C2038" s="6"/>
      <c r="D2038" s="6" t="s">
        <v>2033</v>
      </c>
      <c r="E2038" s="12" t="s">
        <v>2034</v>
      </c>
    </row>
    <row r="2039">
      <c r="A2039" s="4" t="s">
        <v>2058</v>
      </c>
      <c r="B2039" s="5" t="str">
        <f>IFERROR(__xludf.DUMMYFUNCTION("IF(A2039="""","""",INDEX(SPLIT(A2039,"" ""),COUNTA(SPLIT(A2039,"" ""))))"),"Bovezzo")</f>
        <v>Bovezzo</v>
      </c>
      <c r="C2039" s="6"/>
      <c r="D2039" s="6" t="s">
        <v>2033</v>
      </c>
      <c r="E2039" s="12" t="s">
        <v>2034</v>
      </c>
    </row>
    <row r="2040">
      <c r="A2040" s="4" t="s">
        <v>2059</v>
      </c>
      <c r="B2040" s="5" t="str">
        <f>IFERROR(__xludf.DUMMYFUNCTION("IF(A2040="""","""",INDEX(SPLIT(A2040,"" ""),COUNTA(SPLIT(A2040,"" ""))))"),"Brandico")</f>
        <v>Brandico</v>
      </c>
      <c r="C2040" s="6"/>
      <c r="D2040" s="6" t="s">
        <v>2033</v>
      </c>
      <c r="E2040" s="12" t="s">
        <v>2034</v>
      </c>
    </row>
    <row r="2041">
      <c r="A2041" s="4" t="s">
        <v>2060</v>
      </c>
      <c r="B2041" s="5" t="str">
        <f>IFERROR(__xludf.DUMMYFUNCTION("IF(A2041="""","""",INDEX(SPLIT(A2041,"" ""),COUNTA(SPLIT(A2041,"" ""))))"),"Braone")</f>
        <v>Braone</v>
      </c>
      <c r="C2041" s="6"/>
      <c r="D2041" s="6" t="s">
        <v>2033</v>
      </c>
      <c r="E2041" s="12" t="s">
        <v>2034</v>
      </c>
    </row>
    <row r="2042">
      <c r="A2042" s="4" t="s">
        <v>2061</v>
      </c>
      <c r="B2042" s="5" t="str">
        <f>IFERROR(__xludf.DUMMYFUNCTION("IF(A2042="""","""",INDEX(SPLIT(A2042,"" ""),COUNTA(SPLIT(A2042,"" ""))))"),"Breno")</f>
        <v>Breno</v>
      </c>
      <c r="C2042" s="6"/>
      <c r="D2042" s="6" t="s">
        <v>2033</v>
      </c>
      <c r="E2042" s="12" t="s">
        <v>2034</v>
      </c>
    </row>
    <row r="2043">
      <c r="A2043" s="4" t="s">
        <v>2033</v>
      </c>
      <c r="B2043" s="5" t="str">
        <f>IFERROR(__xludf.DUMMYFUNCTION("IF(A2043="""","""",INDEX(SPLIT(A2043,"" ""),COUNTA(SPLIT(A2043,"" ""))))"),"Brescia")</f>
        <v>Brescia</v>
      </c>
      <c r="C2043" s="6"/>
      <c r="D2043" s="6" t="s">
        <v>2033</v>
      </c>
      <c r="E2043" s="12" t="s">
        <v>2034</v>
      </c>
    </row>
    <row r="2044">
      <c r="A2044" s="4" t="s">
        <v>2062</v>
      </c>
      <c r="B2044" s="5" t="str">
        <f>IFERROR(__xludf.DUMMYFUNCTION("IF(A2044="""","""",INDEX(SPLIT(A2044,"" ""),COUNTA(SPLIT(A2044,"" ""))))"),"Brione")</f>
        <v>Brione</v>
      </c>
      <c r="C2044" s="6"/>
      <c r="D2044" s="6" t="s">
        <v>2033</v>
      </c>
      <c r="E2044" s="12" t="s">
        <v>2034</v>
      </c>
    </row>
    <row r="2045">
      <c r="A2045" s="4" t="s">
        <v>2063</v>
      </c>
      <c r="B2045" s="5" t="str">
        <f>IFERROR(__xludf.DUMMYFUNCTION("IF(A2045="""","""",INDEX(SPLIT(A2045,"" ""),COUNTA(SPLIT(A2045,"" ""))))"),"Caino")</f>
        <v>Caino</v>
      </c>
      <c r="C2045" s="6"/>
      <c r="D2045" s="6" t="s">
        <v>2033</v>
      </c>
      <c r="E2045" s="12" t="s">
        <v>2034</v>
      </c>
    </row>
    <row r="2046">
      <c r="A2046" s="4" t="s">
        <v>2064</v>
      </c>
      <c r="B2046" s="5" t="str">
        <f>IFERROR(__xludf.DUMMYFUNCTION("IF(A2046="""","""",INDEX(SPLIT(A2046,"" ""),COUNTA(SPLIT(A2046,"" ""))))"),"Calcinato")</f>
        <v>Calcinato</v>
      </c>
      <c r="C2046" s="6"/>
      <c r="D2046" s="6" t="s">
        <v>2033</v>
      </c>
      <c r="E2046" s="12" t="s">
        <v>2034</v>
      </c>
    </row>
    <row r="2047">
      <c r="A2047" s="4" t="s">
        <v>2065</v>
      </c>
      <c r="B2047" s="5" t="str">
        <f>IFERROR(__xludf.DUMMYFUNCTION("IF(A2047="""","""",INDEX(SPLIT(A2047,"" ""),COUNTA(SPLIT(A2047,"" ""))))"),"Riviera")</f>
        <v>Riviera</v>
      </c>
      <c r="C2047" s="6"/>
      <c r="D2047" s="6" t="s">
        <v>2033</v>
      </c>
      <c r="E2047" s="12" t="s">
        <v>2034</v>
      </c>
    </row>
    <row r="2048">
      <c r="A2048" s="4" t="s">
        <v>2066</v>
      </c>
      <c r="B2048" s="5" t="str">
        <f>IFERROR(__xludf.DUMMYFUNCTION("IF(A2048="""","""",INDEX(SPLIT(A2048,"" ""),COUNTA(SPLIT(A2048,"" ""))))"),"Calvisano")</f>
        <v>Calvisano</v>
      </c>
      <c r="C2048" s="6"/>
      <c r="D2048" s="6" t="s">
        <v>2033</v>
      </c>
      <c r="E2048" s="12" t="s">
        <v>2034</v>
      </c>
    </row>
    <row r="2049">
      <c r="A2049" s="4" t="s">
        <v>2067</v>
      </c>
      <c r="B2049" s="5" t="str">
        <f>IFERROR(__xludf.DUMMYFUNCTION("IF(A2049="""","""",INDEX(SPLIT(A2049,"" ""),COUNTA(SPLIT(A2049,"" ""))))"),"Ponte")</f>
        <v>Ponte</v>
      </c>
      <c r="C2049" s="6"/>
      <c r="D2049" s="6" t="s">
        <v>2033</v>
      </c>
      <c r="E2049" s="12" t="s">
        <v>2034</v>
      </c>
    </row>
    <row r="2050">
      <c r="A2050" s="4" t="s">
        <v>2068</v>
      </c>
      <c r="B2050" s="5" t="str">
        <f>IFERROR(__xludf.DUMMYFUNCTION("IF(A2050="""","""",INDEX(SPLIT(A2050,"" ""),COUNTA(SPLIT(A2050,"" ""))))"),"Capovalle")</f>
        <v>Capovalle</v>
      </c>
      <c r="C2050" s="6"/>
      <c r="D2050" s="6" t="s">
        <v>2033</v>
      </c>
      <c r="E2050" s="12" t="s">
        <v>2034</v>
      </c>
    </row>
    <row r="2051">
      <c r="A2051" s="4" t="s">
        <v>2069</v>
      </c>
      <c r="B2051" s="5" t="str">
        <f>IFERROR(__xludf.DUMMYFUNCTION("IF(A2051="""","""",INDEX(SPLIT(A2051,"" ""),COUNTA(SPLIT(A2051,"" ""))))"),"Colle")</f>
        <v>Colle</v>
      </c>
      <c r="C2051" s="6"/>
      <c r="D2051" s="6" t="s">
        <v>2033</v>
      </c>
      <c r="E2051" s="12" t="s">
        <v>2034</v>
      </c>
    </row>
    <row r="2052">
      <c r="A2052" s="4" t="s">
        <v>2070</v>
      </c>
      <c r="B2052" s="5" t="str">
        <f>IFERROR(__xludf.DUMMYFUNCTION("IF(A2052="""","""",INDEX(SPLIT(A2052,"" ""),COUNTA(SPLIT(A2052,"" ""))))"),"Capriolo")</f>
        <v>Capriolo</v>
      </c>
      <c r="C2052" s="6"/>
      <c r="D2052" s="6" t="s">
        <v>2033</v>
      </c>
      <c r="E2052" s="12" t="s">
        <v>2034</v>
      </c>
    </row>
    <row r="2053">
      <c r="A2053" s="4" t="s">
        <v>2071</v>
      </c>
      <c r="B2053" s="5" t="str">
        <f>IFERROR(__xludf.DUMMYFUNCTION("IF(A2053="""","""",INDEX(SPLIT(A2053,"" ""),COUNTA(SPLIT(A2053,"" ""))))"),"Carpenedolo")</f>
        <v>Carpenedolo</v>
      </c>
      <c r="C2053" s="6"/>
      <c r="D2053" s="6" t="s">
        <v>2033</v>
      </c>
      <c r="E2053" s="12" t="s">
        <v>2034</v>
      </c>
    </row>
    <row r="2054">
      <c r="A2054" s="4" t="s">
        <v>2072</v>
      </c>
      <c r="B2054" s="5" t="str">
        <f>IFERROR(__xludf.DUMMYFUNCTION("IF(A2054="""","""",INDEX(SPLIT(A2054,"" ""),COUNTA(SPLIT(A2054,"" ""))))"),"Castegnato")</f>
        <v>Castegnato</v>
      </c>
      <c r="C2054" s="6"/>
      <c r="D2054" s="6" t="s">
        <v>2033</v>
      </c>
      <c r="E2054" s="12" t="s">
        <v>2034</v>
      </c>
    </row>
    <row r="2055">
      <c r="A2055" s="4" t="s">
        <v>2073</v>
      </c>
      <c r="B2055" s="5" t="str">
        <f>IFERROR(__xludf.DUMMYFUNCTION("IF(A2055="""","""",INDEX(SPLIT(A2055,"" ""),COUNTA(SPLIT(A2055,"" ""))))"),"Castelcovati")</f>
        <v>Castelcovati</v>
      </c>
      <c r="C2055" s="6"/>
      <c r="D2055" s="6" t="s">
        <v>2033</v>
      </c>
      <c r="E2055" s="12" t="s">
        <v>2034</v>
      </c>
    </row>
    <row r="2056">
      <c r="A2056" s="4" t="s">
        <v>2074</v>
      </c>
      <c r="B2056" s="5" t="str">
        <f>IFERROR(__xludf.DUMMYFUNCTION("IF(A2056="""","""",INDEX(SPLIT(A2056,"" ""),COUNTA(SPLIT(A2056,"" ""))))"),"Mella")</f>
        <v>Mella</v>
      </c>
      <c r="C2056" s="6"/>
      <c r="D2056" s="6" t="s">
        <v>2033</v>
      </c>
      <c r="E2056" s="12" t="s">
        <v>2034</v>
      </c>
    </row>
    <row r="2057">
      <c r="A2057" s="4" t="s">
        <v>2075</v>
      </c>
      <c r="B2057" s="5" t="str">
        <f>IFERROR(__xludf.DUMMYFUNCTION("IF(A2057="""","""",INDEX(SPLIT(A2057,"" ""),COUNTA(SPLIT(A2057,"" ""))))"),"Castenedolo")</f>
        <v>Castenedolo</v>
      </c>
      <c r="C2057" s="6"/>
      <c r="D2057" s="6" t="s">
        <v>2033</v>
      </c>
      <c r="E2057" s="12" t="s">
        <v>2034</v>
      </c>
    </row>
    <row r="2058">
      <c r="A2058" s="4" t="s">
        <v>2076</v>
      </c>
      <c r="B2058" s="5" t="str">
        <f>IFERROR(__xludf.DUMMYFUNCTION("IF(A2058="""","""",INDEX(SPLIT(A2058,"" ""),COUNTA(SPLIT(A2058,"" ""))))"),"Casto")</f>
        <v>Casto</v>
      </c>
      <c r="C2058" s="6"/>
      <c r="D2058" s="6" t="s">
        <v>2033</v>
      </c>
      <c r="E2058" s="12" t="s">
        <v>2034</v>
      </c>
    </row>
    <row r="2059">
      <c r="A2059" s="4" t="s">
        <v>2077</v>
      </c>
      <c r="B2059" s="5" t="str">
        <f>IFERROR(__xludf.DUMMYFUNCTION("IF(A2059="""","""",INDEX(SPLIT(A2059,"" ""),COUNTA(SPLIT(A2059,"" ""))))"),"Castrezzato")</f>
        <v>Castrezzato</v>
      </c>
      <c r="C2059" s="6"/>
      <c r="D2059" s="6" t="s">
        <v>2033</v>
      </c>
      <c r="E2059" s="12" t="s">
        <v>2034</v>
      </c>
    </row>
    <row r="2060">
      <c r="A2060" s="4" t="s">
        <v>2078</v>
      </c>
      <c r="B2060" s="5" t="str">
        <f>IFERROR(__xludf.DUMMYFUNCTION("IF(A2060="""","""",INDEX(SPLIT(A2060,"" ""),COUNTA(SPLIT(A2060,"" ""))))"),"Martino")</f>
        <v>Martino</v>
      </c>
      <c r="C2060" s="6"/>
      <c r="D2060" s="6" t="s">
        <v>2033</v>
      </c>
      <c r="E2060" s="12" t="s">
        <v>2034</v>
      </c>
    </row>
    <row r="2061">
      <c r="A2061" s="4" t="s">
        <v>2079</v>
      </c>
      <c r="B2061" s="5" t="str">
        <f>IFERROR(__xludf.DUMMYFUNCTION("IF(A2061="""","""",INDEX(SPLIT(A2061,"" ""),COUNTA(SPLIT(A2061,"" ""))))"),"Cedegolo")</f>
        <v>Cedegolo</v>
      </c>
      <c r="C2061" s="6"/>
      <c r="D2061" s="6" t="s">
        <v>2033</v>
      </c>
      <c r="E2061" s="12" t="s">
        <v>2034</v>
      </c>
    </row>
    <row r="2062">
      <c r="A2062" s="4" t="s">
        <v>2080</v>
      </c>
      <c r="B2062" s="5" t="str">
        <f>IFERROR(__xludf.DUMMYFUNCTION("IF(A2062="""","""",INDEX(SPLIT(A2062,"" ""),COUNTA(SPLIT(A2062,"" ""))))"),"Cellatica")</f>
        <v>Cellatica</v>
      </c>
      <c r="C2062" s="6"/>
      <c r="D2062" s="6" t="s">
        <v>2033</v>
      </c>
      <c r="E2062" s="12" t="s">
        <v>2034</v>
      </c>
    </row>
    <row r="2063">
      <c r="A2063" s="4" t="s">
        <v>2081</v>
      </c>
      <c r="B2063" s="5" t="str">
        <f>IFERROR(__xludf.DUMMYFUNCTION("IF(A2063="""","""",INDEX(SPLIT(A2063,"" ""),COUNTA(SPLIT(A2063,"" ""))))"),"Cerveno")</f>
        <v>Cerveno</v>
      </c>
      <c r="C2063" s="6"/>
      <c r="D2063" s="6" t="s">
        <v>2033</v>
      </c>
      <c r="E2063" s="12" t="s">
        <v>2034</v>
      </c>
    </row>
    <row r="2064">
      <c r="A2064" s="4" t="s">
        <v>2082</v>
      </c>
      <c r="B2064" s="5" t="str">
        <f>IFERROR(__xludf.DUMMYFUNCTION("IF(A2064="""","""",INDEX(SPLIT(A2064,"" ""),COUNTA(SPLIT(A2064,"" ""))))"),"Ceto")</f>
        <v>Ceto</v>
      </c>
      <c r="C2064" s="6"/>
      <c r="D2064" s="6" t="s">
        <v>2033</v>
      </c>
      <c r="E2064" s="12" t="s">
        <v>2034</v>
      </c>
    </row>
    <row r="2065">
      <c r="A2065" s="4" t="s">
        <v>2083</v>
      </c>
      <c r="B2065" s="5" t="str">
        <f>IFERROR(__xludf.DUMMYFUNCTION("IF(A2065="""","""",INDEX(SPLIT(A2065,"" ""),COUNTA(SPLIT(A2065,"" ""))))"),"Cevo")</f>
        <v>Cevo</v>
      </c>
      <c r="C2065" s="6"/>
      <c r="D2065" s="6" t="s">
        <v>2033</v>
      </c>
      <c r="E2065" s="12" t="s">
        <v>2034</v>
      </c>
    </row>
    <row r="2066">
      <c r="A2066" s="4" t="s">
        <v>2084</v>
      </c>
      <c r="B2066" s="5" t="str">
        <f>IFERROR(__xludf.DUMMYFUNCTION("IF(A2066="""","""",INDEX(SPLIT(A2066,"" ""),COUNTA(SPLIT(A2066,"" ""))))"),"Chiari")</f>
        <v>Chiari</v>
      </c>
      <c r="C2066" s="6"/>
      <c r="D2066" s="6" t="s">
        <v>2033</v>
      </c>
      <c r="E2066" s="12" t="s">
        <v>2034</v>
      </c>
    </row>
    <row r="2067">
      <c r="A2067" s="4" t="s">
        <v>2085</v>
      </c>
      <c r="B2067" s="5" t="str">
        <f>IFERROR(__xludf.DUMMYFUNCTION("IF(A2067="""","""",INDEX(SPLIT(A2067,"" ""),COUNTA(SPLIT(A2067,"" ""))))"),"Cigole")</f>
        <v>Cigole</v>
      </c>
      <c r="C2067" s="6"/>
      <c r="D2067" s="6" t="s">
        <v>2033</v>
      </c>
      <c r="E2067" s="12" t="s">
        <v>2034</v>
      </c>
    </row>
    <row r="2068">
      <c r="A2068" s="4" t="s">
        <v>2086</v>
      </c>
      <c r="B2068" s="5" t="str">
        <f>IFERROR(__xludf.DUMMYFUNCTION("IF(A2068="""","""",INDEX(SPLIT(A2068,"" ""),COUNTA(SPLIT(A2068,"" ""))))"),"Cimbergo")</f>
        <v>Cimbergo</v>
      </c>
      <c r="C2068" s="6"/>
      <c r="D2068" s="6" t="s">
        <v>2033</v>
      </c>
      <c r="E2068" s="12" t="s">
        <v>2034</v>
      </c>
    </row>
    <row r="2069">
      <c r="A2069" s="4" t="s">
        <v>2087</v>
      </c>
      <c r="B2069" s="5" t="str">
        <f>IFERROR(__xludf.DUMMYFUNCTION("IF(A2069="""","""",INDEX(SPLIT(A2069,"" ""),COUNTA(SPLIT(A2069,"" ""))))"),"Camuno")</f>
        <v>Camuno</v>
      </c>
      <c r="C2069" s="6"/>
      <c r="D2069" s="6" t="s">
        <v>2033</v>
      </c>
      <c r="E2069" s="12" t="s">
        <v>2034</v>
      </c>
    </row>
    <row r="2070">
      <c r="A2070" s="4" t="s">
        <v>2088</v>
      </c>
      <c r="B2070" s="5" t="str">
        <f>IFERROR(__xludf.DUMMYFUNCTION("IF(A2070="""","""",INDEX(SPLIT(A2070,"" ""),COUNTA(SPLIT(A2070,"" ""))))"),"Coccaglio")</f>
        <v>Coccaglio</v>
      </c>
      <c r="C2070" s="6"/>
      <c r="D2070" s="6" t="s">
        <v>2033</v>
      </c>
      <c r="E2070" s="12" t="s">
        <v>2034</v>
      </c>
    </row>
    <row r="2071">
      <c r="A2071" s="4" t="s">
        <v>2089</v>
      </c>
      <c r="B2071" s="5" t="str">
        <f>IFERROR(__xludf.DUMMYFUNCTION("IF(A2071="""","""",INDEX(SPLIT(A2071,"" ""),COUNTA(SPLIT(A2071,"" ""))))"),"Collebeato")</f>
        <v>Collebeato</v>
      </c>
      <c r="C2071" s="6"/>
      <c r="D2071" s="6" t="s">
        <v>2033</v>
      </c>
      <c r="E2071" s="12" t="s">
        <v>2034</v>
      </c>
    </row>
    <row r="2072">
      <c r="A2072" s="4" t="s">
        <v>2090</v>
      </c>
      <c r="B2072" s="5" t="str">
        <f>IFERROR(__xludf.DUMMYFUNCTION("IF(A2072="""","""",INDEX(SPLIT(A2072,"" ""),COUNTA(SPLIT(A2072,"" ""))))"),"Collio")</f>
        <v>Collio</v>
      </c>
      <c r="C2072" s="6"/>
      <c r="D2072" s="6" t="s">
        <v>2033</v>
      </c>
      <c r="E2072" s="12" t="s">
        <v>2034</v>
      </c>
    </row>
    <row r="2073">
      <c r="A2073" s="4" t="s">
        <v>2091</v>
      </c>
      <c r="B2073" s="5" t="str">
        <f>IFERROR(__xludf.DUMMYFUNCTION("IF(A2073="""","""",INDEX(SPLIT(A2073,"" ""),COUNTA(SPLIT(A2073,"" ""))))"),"Cologne")</f>
        <v>Cologne</v>
      </c>
      <c r="C2073" s="6"/>
      <c r="D2073" s="6" t="s">
        <v>2033</v>
      </c>
      <c r="E2073" s="12" t="s">
        <v>2034</v>
      </c>
    </row>
    <row r="2074">
      <c r="A2074" s="4" t="s">
        <v>2092</v>
      </c>
      <c r="B2074" s="5" t="str">
        <f>IFERROR(__xludf.DUMMYFUNCTION("IF(A2074="""","""",INDEX(SPLIT(A2074,"" ""),COUNTA(SPLIT(A2074,"" ""))))"),"ComezzanoCizzago")</f>
        <v>ComezzanoCizzago</v>
      </c>
      <c r="C2074" s="6"/>
      <c r="D2074" s="6" t="s">
        <v>2033</v>
      </c>
      <c r="E2074" s="12" t="s">
        <v>2034</v>
      </c>
    </row>
    <row r="2075">
      <c r="A2075" s="4" t="s">
        <v>2093</v>
      </c>
      <c r="B2075" s="5" t="str">
        <f>IFERROR(__xludf.DUMMYFUNCTION("IF(A2075="""","""",INDEX(SPLIT(A2075,"" ""),COUNTA(SPLIT(A2075,"" ""))))"),"Concesio")</f>
        <v>Concesio</v>
      </c>
      <c r="C2075" s="6"/>
      <c r="D2075" s="6" t="s">
        <v>2033</v>
      </c>
      <c r="E2075" s="12" t="s">
        <v>2034</v>
      </c>
    </row>
    <row r="2076">
      <c r="A2076" s="4" t="s">
        <v>2094</v>
      </c>
      <c r="B2076" s="5" t="str">
        <f>IFERROR(__xludf.DUMMYFUNCTION("IF(A2076="""","""",INDEX(SPLIT(A2076,"" ""),COUNTA(SPLIT(A2076,"" ""))))"),"Franca")</f>
        <v>Franca</v>
      </c>
      <c r="C2076" s="6"/>
      <c r="D2076" s="6" t="s">
        <v>2033</v>
      </c>
      <c r="E2076" s="12" t="s">
        <v>2034</v>
      </c>
    </row>
    <row r="2077">
      <c r="A2077" s="4" t="s">
        <v>2095</v>
      </c>
      <c r="B2077" s="5" t="str">
        <f>IFERROR(__xludf.DUMMYFUNCTION("IF(A2077="""","""",INDEX(SPLIT(A2077,"" ""),COUNTA(SPLIT(A2077,"" ""))))"),"Golgi")</f>
        <v>Golgi</v>
      </c>
      <c r="C2077" s="6"/>
      <c r="D2077" s="6" t="s">
        <v>2033</v>
      </c>
      <c r="E2077" s="12" t="s">
        <v>2034</v>
      </c>
    </row>
    <row r="2078">
      <c r="A2078" s="4" t="s">
        <v>2096</v>
      </c>
      <c r="B2078" s="5" t="str">
        <f>IFERROR(__xludf.DUMMYFUNCTION("IF(A2078="""","""",INDEX(SPLIT(A2078,"" ""),COUNTA(SPLIT(A2078,"" ""))))"),"Corzano")</f>
        <v>Corzano</v>
      </c>
      <c r="C2078" s="6"/>
      <c r="D2078" s="6" t="s">
        <v>2033</v>
      </c>
      <c r="E2078" s="12" t="s">
        <v>2034</v>
      </c>
    </row>
    <row r="2079">
      <c r="A2079" s="4" t="s">
        <v>2097</v>
      </c>
      <c r="B2079" s="5" t="str">
        <f>IFERROR(__xludf.DUMMYFUNCTION("IF(A2079="""","""",INDEX(SPLIT(A2079,"" ""),COUNTA(SPLIT(A2079,"" ""))))"),"Terme")</f>
        <v>Terme</v>
      </c>
      <c r="C2079" s="6"/>
      <c r="D2079" s="6" t="s">
        <v>2033</v>
      </c>
      <c r="E2079" s="12" t="s">
        <v>2034</v>
      </c>
    </row>
    <row r="2080">
      <c r="A2080" s="4" t="s">
        <v>2098</v>
      </c>
      <c r="B2080" s="5" t="str">
        <f>IFERROR(__xludf.DUMMYFUNCTION("IF(A2080="""","""",INDEX(SPLIT(A2080,"" ""),COUNTA(SPLIT(A2080,"" ""))))"),"Dello")</f>
        <v>Dello</v>
      </c>
      <c r="C2080" s="6"/>
      <c r="D2080" s="6" t="s">
        <v>2033</v>
      </c>
      <c r="E2080" s="12" t="s">
        <v>2034</v>
      </c>
    </row>
    <row r="2081">
      <c r="A2081" s="4" t="s">
        <v>2099</v>
      </c>
      <c r="B2081" s="5" t="str">
        <f>IFERROR(__xludf.DUMMYFUNCTION("IF(A2081="""","""",INDEX(SPLIT(A2081,"" ""),COUNTA(SPLIT(A2081,"" ""))))"),"Garda")</f>
        <v>Garda</v>
      </c>
      <c r="C2081" s="6"/>
      <c r="D2081" s="6" t="s">
        <v>2033</v>
      </c>
      <c r="E2081" s="12" t="s">
        <v>2034</v>
      </c>
    </row>
    <row r="2082">
      <c r="A2082" s="4" t="s">
        <v>2100</v>
      </c>
      <c r="B2082" s="5" t="str">
        <f>IFERROR(__xludf.DUMMYFUNCTION("IF(A2082="""","""",INDEX(SPLIT(A2082,"" ""),COUNTA(SPLIT(A2082,"" ""))))"),"Edolo")</f>
        <v>Edolo</v>
      </c>
      <c r="C2082" s="6"/>
      <c r="D2082" s="6" t="s">
        <v>2033</v>
      </c>
      <c r="E2082" s="12" t="s">
        <v>2034</v>
      </c>
    </row>
    <row r="2083">
      <c r="A2083" s="4" t="s">
        <v>2101</v>
      </c>
      <c r="B2083" s="5" t="str">
        <f>IFERROR(__xludf.DUMMYFUNCTION("IF(A2083="""","""",INDEX(SPLIT(A2083,"" ""),COUNTA(SPLIT(A2083,"" ""))))"),"Erbusco")</f>
        <v>Erbusco</v>
      </c>
      <c r="C2083" s="6"/>
      <c r="D2083" s="6" t="s">
        <v>2033</v>
      </c>
      <c r="E2083" s="12" t="s">
        <v>2034</v>
      </c>
    </row>
    <row r="2084">
      <c r="A2084" s="4" t="s">
        <v>2102</v>
      </c>
      <c r="B2084" s="5" t="str">
        <f>IFERROR(__xludf.DUMMYFUNCTION("IF(A2084="""","""",INDEX(SPLIT(A2084,"" ""),COUNTA(SPLIT(A2084,"" ""))))"),"Esine")</f>
        <v>Esine</v>
      </c>
      <c r="C2084" s="6"/>
      <c r="D2084" s="6" t="s">
        <v>2033</v>
      </c>
      <c r="E2084" s="12" t="s">
        <v>2034</v>
      </c>
    </row>
    <row r="2085">
      <c r="A2085" s="4" t="s">
        <v>2103</v>
      </c>
      <c r="B2085" s="5" t="str">
        <f>IFERROR(__xludf.DUMMYFUNCTION("IF(A2085="""","""",INDEX(SPLIT(A2085,"" ""),COUNTA(SPLIT(A2085,"" ""))))"),"Fiesse")</f>
        <v>Fiesse</v>
      </c>
      <c r="C2085" s="6"/>
      <c r="D2085" s="6" t="s">
        <v>2033</v>
      </c>
      <c r="E2085" s="12" t="s">
        <v>2034</v>
      </c>
    </row>
    <row r="2086">
      <c r="A2086" s="4" t="s">
        <v>2104</v>
      </c>
      <c r="B2086" s="5" t="str">
        <f>IFERROR(__xludf.DUMMYFUNCTION("IF(A2086="""","""",INDEX(SPLIT(A2086,"" ""),COUNTA(SPLIT(A2086,"" ""))))"),"Flero")</f>
        <v>Flero</v>
      </c>
      <c r="C2086" s="6"/>
      <c r="D2086" s="6" t="s">
        <v>2033</v>
      </c>
      <c r="E2086" s="12" t="s">
        <v>2034</v>
      </c>
    </row>
    <row r="2087">
      <c r="A2087" s="4" t="s">
        <v>2105</v>
      </c>
      <c r="B2087" s="5" t="str">
        <f>IFERROR(__xludf.DUMMYFUNCTION("IF(A2087="""","""",INDEX(SPLIT(A2087,"" ""),COUNTA(SPLIT(A2087,"" ""))))"),"Gambara")</f>
        <v>Gambara</v>
      </c>
      <c r="C2087" s="6"/>
      <c r="D2087" s="6" t="s">
        <v>2033</v>
      </c>
      <c r="E2087" s="12" t="s">
        <v>2034</v>
      </c>
    </row>
    <row r="2088">
      <c r="A2088" s="4" t="s">
        <v>2106</v>
      </c>
      <c r="B2088" s="5" t="str">
        <f>IFERROR(__xludf.DUMMYFUNCTION("IF(A2088="""","""",INDEX(SPLIT(A2088,"" ""),COUNTA(SPLIT(A2088,"" ""))))"),"Riviera")</f>
        <v>Riviera</v>
      </c>
      <c r="C2088" s="6"/>
      <c r="D2088" s="6" t="s">
        <v>2033</v>
      </c>
      <c r="E2088" s="12" t="s">
        <v>2034</v>
      </c>
    </row>
    <row r="2089">
      <c r="A2089" s="4" t="s">
        <v>2107</v>
      </c>
      <c r="B2089" s="5" t="str">
        <f>IFERROR(__xludf.DUMMYFUNCTION("IF(A2089="""","""",INDEX(SPLIT(A2089,"" ""),COUNTA(SPLIT(A2089,"" ""))))"),"Trompia")</f>
        <v>Trompia</v>
      </c>
      <c r="C2089" s="6"/>
      <c r="D2089" s="6" t="s">
        <v>2033</v>
      </c>
      <c r="E2089" s="12" t="s">
        <v>2034</v>
      </c>
    </row>
    <row r="2090">
      <c r="A2090" s="4" t="s">
        <v>2108</v>
      </c>
      <c r="B2090" s="5" t="str">
        <f>IFERROR(__xludf.DUMMYFUNCTION("IF(A2090="""","""",INDEX(SPLIT(A2090,"" ""),COUNTA(SPLIT(A2090,"" ""))))"),"Gargnano")</f>
        <v>Gargnano</v>
      </c>
      <c r="C2090" s="6"/>
      <c r="D2090" s="6" t="s">
        <v>2033</v>
      </c>
      <c r="E2090" s="12" t="s">
        <v>2034</v>
      </c>
    </row>
    <row r="2091">
      <c r="A2091" s="4" t="s">
        <v>2109</v>
      </c>
      <c r="B2091" s="5" t="str">
        <f>IFERROR(__xludf.DUMMYFUNCTION("IF(A2091="""","""",INDEX(SPLIT(A2091,"" ""),COUNTA(SPLIT(A2091,"" ""))))"),"Gavardo")</f>
        <v>Gavardo</v>
      </c>
      <c r="C2091" s="6"/>
      <c r="D2091" s="6" t="s">
        <v>2033</v>
      </c>
      <c r="E2091" s="12" t="s">
        <v>2034</v>
      </c>
    </row>
    <row r="2092">
      <c r="A2092" s="4" t="s">
        <v>2110</v>
      </c>
      <c r="B2092" s="5" t="str">
        <f>IFERROR(__xludf.DUMMYFUNCTION("IF(A2092="""","""",INDEX(SPLIT(A2092,"" ""),COUNTA(SPLIT(A2092,"" ""))))"),"Ghedi")</f>
        <v>Ghedi</v>
      </c>
      <c r="C2092" s="6"/>
      <c r="D2092" s="6" t="s">
        <v>2033</v>
      </c>
      <c r="E2092" s="12" t="s">
        <v>2034</v>
      </c>
    </row>
    <row r="2093">
      <c r="A2093" s="4" t="s">
        <v>2111</v>
      </c>
      <c r="B2093" s="5" t="str">
        <f>IFERROR(__xludf.DUMMYFUNCTION("IF(A2093="""","""",INDEX(SPLIT(A2093,"" ""),COUNTA(SPLIT(A2093,"" ""))))"),"Gianico")</f>
        <v>Gianico</v>
      </c>
      <c r="C2093" s="6"/>
      <c r="D2093" s="6" t="s">
        <v>2033</v>
      </c>
      <c r="E2093" s="12" t="s">
        <v>2034</v>
      </c>
    </row>
    <row r="2094">
      <c r="A2094" s="4" t="s">
        <v>2112</v>
      </c>
      <c r="B2094" s="5" t="str">
        <f>IFERROR(__xludf.DUMMYFUNCTION("IF(A2094="""","""",INDEX(SPLIT(A2094,"" ""),COUNTA(SPLIT(A2094,"" ""))))"),"Gottolengo")</f>
        <v>Gottolengo</v>
      </c>
      <c r="C2094" s="6"/>
      <c r="D2094" s="6" t="s">
        <v>2033</v>
      </c>
      <c r="E2094" s="12" t="s">
        <v>2034</v>
      </c>
    </row>
    <row r="2095">
      <c r="A2095" s="4" t="s">
        <v>2113</v>
      </c>
      <c r="B2095" s="5" t="str">
        <f>IFERROR(__xludf.DUMMYFUNCTION("IF(A2095="""","""",INDEX(SPLIT(A2095,"" ""),COUNTA(SPLIT(A2095,"" ""))))"),"Gussago")</f>
        <v>Gussago</v>
      </c>
      <c r="C2095" s="6"/>
      <c r="D2095" s="6" t="s">
        <v>2033</v>
      </c>
      <c r="E2095" s="12" t="s">
        <v>2034</v>
      </c>
    </row>
    <row r="2096">
      <c r="A2096" s="4" t="s">
        <v>2114</v>
      </c>
      <c r="B2096" s="5" t="str">
        <f>IFERROR(__xludf.DUMMYFUNCTION("IF(A2096="""","""",INDEX(SPLIT(A2096,"" ""),COUNTA(SPLIT(A2096,"" ""))))"),"Idro")</f>
        <v>Idro</v>
      </c>
      <c r="C2096" s="6"/>
      <c r="D2096" s="6" t="s">
        <v>2033</v>
      </c>
      <c r="E2096" s="12" t="s">
        <v>2034</v>
      </c>
    </row>
    <row r="2097">
      <c r="A2097" s="4" t="s">
        <v>2115</v>
      </c>
      <c r="B2097" s="5" t="str">
        <f>IFERROR(__xludf.DUMMYFUNCTION("IF(A2097="""","""",INDEX(SPLIT(A2097,"" ""),COUNTA(SPLIT(A2097,"" ""))))"),"Incudine")</f>
        <v>Incudine</v>
      </c>
      <c r="C2097" s="6"/>
      <c r="D2097" s="6" t="s">
        <v>2033</v>
      </c>
      <c r="E2097" s="12" t="s">
        <v>2034</v>
      </c>
    </row>
    <row r="2098">
      <c r="A2098" s="4" t="s">
        <v>2116</v>
      </c>
      <c r="B2098" s="5" t="str">
        <f>IFERROR(__xludf.DUMMYFUNCTION("IF(A2098="""","""",INDEX(SPLIT(A2098,"" ""),COUNTA(SPLIT(A2098,"" ""))))"),"Irma")</f>
        <v>Irma</v>
      </c>
      <c r="C2098" s="6"/>
      <c r="D2098" s="6" t="s">
        <v>2033</v>
      </c>
      <c r="E2098" s="12" t="s">
        <v>2034</v>
      </c>
    </row>
    <row r="2099">
      <c r="A2099" s="4" t="s">
        <v>2117</v>
      </c>
      <c r="B2099" s="5" t="str">
        <f>IFERROR(__xludf.DUMMYFUNCTION("IF(A2099="""","""",INDEX(SPLIT(A2099,"" ""),COUNTA(SPLIT(A2099,"" ""))))"),"Iseo")</f>
        <v>Iseo</v>
      </c>
      <c r="C2099" s="6"/>
      <c r="D2099" s="6" t="s">
        <v>2033</v>
      </c>
      <c r="E2099" s="12" t="s">
        <v>2034</v>
      </c>
    </row>
    <row r="2100">
      <c r="A2100" s="4" t="s">
        <v>2118</v>
      </c>
      <c r="B2100" s="5" t="str">
        <f>IFERROR(__xludf.DUMMYFUNCTION("IF(A2100="""","""",INDEX(SPLIT(A2100,"" ""),COUNTA(SPLIT(A2100,"" ""))))"),"Isorella")</f>
        <v>Isorella</v>
      </c>
      <c r="C2100" s="6"/>
      <c r="D2100" s="6" t="s">
        <v>2033</v>
      </c>
      <c r="E2100" s="12" t="s">
        <v>2034</v>
      </c>
    </row>
    <row r="2101">
      <c r="A2101" s="4" t="s">
        <v>2119</v>
      </c>
      <c r="B2101" s="5" t="str">
        <f>IFERROR(__xludf.DUMMYFUNCTION("IF(A2101="""","""",INDEX(SPLIT(A2101,"" ""),COUNTA(SPLIT(A2101,"" ""))))"),"Lavenone")</f>
        <v>Lavenone</v>
      </c>
      <c r="C2101" s="6"/>
      <c r="D2101" s="6" t="s">
        <v>2033</v>
      </c>
      <c r="E2101" s="12" t="s">
        <v>2034</v>
      </c>
    </row>
    <row r="2102">
      <c r="A2102" s="4" t="s">
        <v>2120</v>
      </c>
      <c r="B2102" s="5" t="str">
        <f>IFERROR(__xludf.DUMMYFUNCTION("IF(A2102="""","""",INDEX(SPLIT(A2102,"" ""),COUNTA(SPLIT(A2102,"" ""))))"),"Leno")</f>
        <v>Leno</v>
      </c>
      <c r="C2102" s="6"/>
      <c r="D2102" s="6" t="s">
        <v>2033</v>
      </c>
      <c r="E2102" s="12" t="s">
        <v>2034</v>
      </c>
    </row>
    <row r="2103">
      <c r="A2103" s="4" t="s">
        <v>2121</v>
      </c>
      <c r="B2103" s="5" t="str">
        <f>IFERROR(__xludf.DUMMYFUNCTION("IF(A2103="""","""",INDEX(SPLIT(A2103,"" ""),COUNTA(SPLIT(A2103,"" ""))))"),"Garda")</f>
        <v>Garda</v>
      </c>
      <c r="C2103" s="6"/>
      <c r="D2103" s="6" t="s">
        <v>2033</v>
      </c>
      <c r="E2103" s="12" t="s">
        <v>2034</v>
      </c>
    </row>
    <row r="2104">
      <c r="A2104" s="4" t="s">
        <v>2122</v>
      </c>
      <c r="B2104" s="5" t="str">
        <f>IFERROR(__xludf.DUMMYFUNCTION("IF(A2104="""","""",INDEX(SPLIT(A2104,"" ""),COUNTA(SPLIT(A2104,"" ""))))"),"Lodrino")</f>
        <v>Lodrino</v>
      </c>
      <c r="C2104" s="6"/>
      <c r="D2104" s="6" t="s">
        <v>2033</v>
      </c>
      <c r="E2104" s="12" t="s">
        <v>2034</v>
      </c>
    </row>
    <row r="2105">
      <c r="A2105" s="4" t="s">
        <v>2123</v>
      </c>
      <c r="B2105" s="5" t="str">
        <f>IFERROR(__xludf.DUMMYFUNCTION("IF(A2105="""","""",INDEX(SPLIT(A2105,"" ""),COUNTA(SPLIT(A2105,"" ""))))"),"Lograto")</f>
        <v>Lograto</v>
      </c>
      <c r="C2105" s="6"/>
      <c r="D2105" s="6" t="s">
        <v>2033</v>
      </c>
      <c r="E2105" s="12" t="s">
        <v>2034</v>
      </c>
    </row>
    <row r="2106">
      <c r="A2106" s="4" t="s">
        <v>2124</v>
      </c>
      <c r="B2106" s="5" t="str">
        <f>IFERROR(__xludf.DUMMYFUNCTION("IF(A2106="""","""",INDEX(SPLIT(A2106,"" ""),COUNTA(SPLIT(A2106,"" ""))))"),"Garda")</f>
        <v>Garda</v>
      </c>
      <c r="C2106" s="6"/>
      <c r="D2106" s="6" t="s">
        <v>2033</v>
      </c>
      <c r="E2106" s="12" t="s">
        <v>2034</v>
      </c>
    </row>
    <row r="2107">
      <c r="A2107" s="4" t="s">
        <v>2125</v>
      </c>
      <c r="B2107" s="5" t="str">
        <f>IFERROR(__xludf.DUMMYFUNCTION("IF(A2107="""","""",INDEX(SPLIT(A2107,"" ""),COUNTA(SPLIT(A2107,"" ""))))"),"Longhena")</f>
        <v>Longhena</v>
      </c>
      <c r="C2107" s="6"/>
      <c r="D2107" s="6" t="s">
        <v>2033</v>
      </c>
      <c r="E2107" s="12" t="s">
        <v>2034</v>
      </c>
    </row>
    <row r="2108">
      <c r="A2108" s="4" t="s">
        <v>2126</v>
      </c>
      <c r="B2108" s="5" t="str">
        <f>IFERROR(__xludf.DUMMYFUNCTION("IF(A2108="""","""",INDEX(SPLIT(A2108,"" ""),COUNTA(SPLIT(A2108,"" ""))))"),"Losine")</f>
        <v>Losine</v>
      </c>
      <c r="C2108" s="6"/>
      <c r="D2108" s="6" t="s">
        <v>2033</v>
      </c>
      <c r="E2108" s="12" t="s">
        <v>2034</v>
      </c>
    </row>
    <row r="2109">
      <c r="A2109" s="4" t="s">
        <v>2127</v>
      </c>
      <c r="B2109" s="5" t="str">
        <f>IFERROR(__xludf.DUMMYFUNCTION("IF(A2109="""","""",INDEX(SPLIT(A2109,"" ""),COUNTA(SPLIT(A2109,"" ""))))"),"Lozio")</f>
        <v>Lozio</v>
      </c>
      <c r="C2109" s="6"/>
      <c r="D2109" s="6" t="s">
        <v>2033</v>
      </c>
      <c r="E2109" s="12" t="s">
        <v>2034</v>
      </c>
    </row>
    <row r="2110">
      <c r="A2110" s="4" t="s">
        <v>2128</v>
      </c>
      <c r="B2110" s="5" t="str">
        <f>IFERROR(__xludf.DUMMYFUNCTION("IF(A2110="""","""",INDEX(SPLIT(A2110,"" ""),COUNTA(SPLIT(A2110,"" ""))))"),"Lumezzane")</f>
        <v>Lumezzane</v>
      </c>
      <c r="C2110" s="6"/>
      <c r="D2110" s="6" t="s">
        <v>2033</v>
      </c>
      <c r="E2110" s="12" t="s">
        <v>2034</v>
      </c>
    </row>
    <row r="2111">
      <c r="A2111" s="4" t="s">
        <v>2129</v>
      </c>
      <c r="B2111" s="5" t="str">
        <f>IFERROR(__xludf.DUMMYFUNCTION("IF(A2111="""","""",INDEX(SPLIT(A2111,"" ""),COUNTA(SPLIT(A2111,"" ""))))"),"Maclodio")</f>
        <v>Maclodio</v>
      </c>
      <c r="C2111" s="6"/>
      <c r="D2111" s="6" t="s">
        <v>2033</v>
      </c>
      <c r="E2111" s="12" t="s">
        <v>2034</v>
      </c>
    </row>
    <row r="2112">
      <c r="A2112" s="4" t="s">
        <v>2130</v>
      </c>
      <c r="B2112" s="5" t="str">
        <f>IFERROR(__xludf.DUMMYFUNCTION("IF(A2112="""","""",INDEX(SPLIT(A2112,"" ""),COUNTA(SPLIT(A2112,"" ""))))"),"Magasa")</f>
        <v>Magasa</v>
      </c>
      <c r="C2112" s="6"/>
      <c r="D2112" s="6" t="s">
        <v>2033</v>
      </c>
      <c r="E2112" s="12" t="s">
        <v>2034</v>
      </c>
    </row>
    <row r="2113">
      <c r="A2113" s="4" t="s">
        <v>2131</v>
      </c>
      <c r="B2113" s="5" t="str">
        <f>IFERROR(__xludf.DUMMYFUNCTION("IF(A2113="""","""",INDEX(SPLIT(A2113,"" ""),COUNTA(SPLIT(A2113,"" ""))))"),"Mairano")</f>
        <v>Mairano</v>
      </c>
      <c r="C2113" s="6"/>
      <c r="D2113" s="6" t="s">
        <v>2033</v>
      </c>
      <c r="E2113" s="12" t="s">
        <v>2034</v>
      </c>
    </row>
    <row r="2114">
      <c r="A2114" s="4" t="s">
        <v>2132</v>
      </c>
      <c r="B2114" s="5" t="str">
        <f>IFERROR(__xludf.DUMMYFUNCTION("IF(A2114="""","""",INDEX(SPLIT(A2114,"" ""),COUNTA(SPLIT(A2114,"" ""))))"),"Malegno")</f>
        <v>Malegno</v>
      </c>
      <c r="C2114" s="6"/>
      <c r="D2114" s="6" t="s">
        <v>2033</v>
      </c>
      <c r="E2114" s="12" t="s">
        <v>2034</v>
      </c>
    </row>
    <row r="2115">
      <c r="A2115" s="4" t="s">
        <v>2133</v>
      </c>
      <c r="B2115" s="5" t="str">
        <f>IFERROR(__xludf.DUMMYFUNCTION("IF(A2115="""","""",INDEX(SPLIT(A2115,"" ""),COUNTA(SPLIT(A2115,"" ""))))"),"Malonno")</f>
        <v>Malonno</v>
      </c>
      <c r="C2115" s="6"/>
      <c r="D2115" s="6" t="s">
        <v>2033</v>
      </c>
      <c r="E2115" s="12" t="s">
        <v>2034</v>
      </c>
    </row>
    <row r="2116">
      <c r="A2116" s="4" t="s">
        <v>2134</v>
      </c>
      <c r="B2116" s="5" t="str">
        <f>IFERROR(__xludf.DUMMYFUNCTION("IF(A2116="""","""",INDEX(SPLIT(A2116,"" ""),COUNTA(SPLIT(A2116,"" ""))))"),"Garda")</f>
        <v>Garda</v>
      </c>
      <c r="C2116" s="6"/>
      <c r="D2116" s="6" t="s">
        <v>2033</v>
      </c>
      <c r="E2116" s="12" t="s">
        <v>2034</v>
      </c>
    </row>
    <row r="2117">
      <c r="A2117" s="4" t="s">
        <v>2135</v>
      </c>
      <c r="B2117" s="5" t="str">
        <f>IFERROR(__xludf.DUMMYFUNCTION("IF(A2117="""","""",INDEX(SPLIT(A2117,"" ""),COUNTA(SPLIT(A2117,"" ""))))"),"Manerbio")</f>
        <v>Manerbio</v>
      </c>
      <c r="C2117" s="6"/>
      <c r="D2117" s="6" t="s">
        <v>2033</v>
      </c>
      <c r="E2117" s="12" t="s">
        <v>2034</v>
      </c>
    </row>
    <row r="2118">
      <c r="A2118" s="4" t="s">
        <v>2136</v>
      </c>
      <c r="B2118" s="5" t="str">
        <f>IFERROR(__xludf.DUMMYFUNCTION("IF(A2118="""","""",INDEX(SPLIT(A2118,"" ""),COUNTA(SPLIT(A2118,"" ""))))"),"Marcheno")</f>
        <v>Marcheno</v>
      </c>
      <c r="C2118" s="6"/>
      <c r="D2118" s="6" t="s">
        <v>2033</v>
      </c>
      <c r="E2118" s="12" t="s">
        <v>2034</v>
      </c>
    </row>
    <row r="2119">
      <c r="A2119" s="4" t="s">
        <v>2137</v>
      </c>
      <c r="B2119" s="5" t="str">
        <f>IFERROR(__xludf.DUMMYFUNCTION("IF(A2119="""","""",INDEX(SPLIT(A2119,"" ""),COUNTA(SPLIT(A2119,"" ""))))"),"Marmentino")</f>
        <v>Marmentino</v>
      </c>
      <c r="C2119" s="6"/>
      <c r="D2119" s="6" t="s">
        <v>2033</v>
      </c>
      <c r="E2119" s="12" t="s">
        <v>2034</v>
      </c>
    </row>
    <row r="2120">
      <c r="A2120" s="4" t="s">
        <v>2138</v>
      </c>
      <c r="B2120" s="5" t="str">
        <f>IFERROR(__xludf.DUMMYFUNCTION("IF(A2120="""","""",INDEX(SPLIT(A2120,"" ""),COUNTA(SPLIT(A2120,"" ""))))"),"Marone")</f>
        <v>Marone</v>
      </c>
      <c r="C2120" s="6"/>
      <c r="D2120" s="6" t="s">
        <v>2033</v>
      </c>
      <c r="E2120" s="12" t="s">
        <v>2034</v>
      </c>
    </row>
    <row r="2121">
      <c r="A2121" s="4" t="s">
        <v>2139</v>
      </c>
      <c r="B2121" s="5" t="str">
        <f>IFERROR(__xludf.DUMMYFUNCTION("IF(A2121="""","""",INDEX(SPLIT(A2121,"" ""),COUNTA(SPLIT(A2121,"" ""))))"),"Mazzano")</f>
        <v>Mazzano</v>
      </c>
      <c r="C2121" s="6"/>
      <c r="D2121" s="6" t="s">
        <v>2033</v>
      </c>
      <c r="E2121" s="12" t="s">
        <v>2034</v>
      </c>
    </row>
    <row r="2122">
      <c r="A2122" s="4" t="s">
        <v>2140</v>
      </c>
      <c r="B2122" s="5" t="str">
        <f>IFERROR(__xludf.DUMMYFUNCTION("IF(A2122="""","""",INDEX(SPLIT(A2122,"" ""),COUNTA(SPLIT(A2122,"" ""))))"),"Milzano")</f>
        <v>Milzano</v>
      </c>
      <c r="C2122" s="6"/>
      <c r="D2122" s="6" t="s">
        <v>2033</v>
      </c>
      <c r="E2122" s="12" t="s">
        <v>2034</v>
      </c>
    </row>
    <row r="2123">
      <c r="A2123" s="4" t="s">
        <v>2141</v>
      </c>
      <c r="B2123" s="5" t="str">
        <f>IFERROR(__xludf.DUMMYFUNCTION("IF(A2123="""","""",INDEX(SPLIT(A2123,"" ""),COUNTA(SPLIT(A2123,"" ""))))"),"Garda")</f>
        <v>Garda</v>
      </c>
      <c r="C2123" s="6"/>
      <c r="D2123" s="6" t="s">
        <v>2033</v>
      </c>
      <c r="E2123" s="12" t="s">
        <v>2034</v>
      </c>
    </row>
    <row r="2124">
      <c r="A2124" s="4" t="s">
        <v>2142</v>
      </c>
      <c r="B2124" s="5" t="str">
        <f>IFERROR(__xludf.DUMMYFUNCTION("IF(A2124="""","""",INDEX(SPLIT(A2124,"" ""),COUNTA(SPLIT(A2124,"" ""))))"),"Monno")</f>
        <v>Monno</v>
      </c>
      <c r="C2124" s="6"/>
      <c r="D2124" s="6" t="s">
        <v>2033</v>
      </c>
      <c r="E2124" s="12" t="s">
        <v>2034</v>
      </c>
    </row>
    <row r="2125">
      <c r="A2125" s="4" t="s">
        <v>2143</v>
      </c>
      <c r="B2125" s="5" t="str">
        <f>IFERROR(__xludf.DUMMYFUNCTION("IF(A2125="""","""",INDEX(SPLIT(A2125,"" ""),COUNTA(SPLIT(A2125,"" ""))))"),"Isola")</f>
        <v>Isola</v>
      </c>
      <c r="C2125" s="6"/>
      <c r="D2125" s="6" t="s">
        <v>2033</v>
      </c>
      <c r="E2125" s="12" t="s">
        <v>2034</v>
      </c>
    </row>
    <row r="2126">
      <c r="A2126" s="4" t="s">
        <v>2144</v>
      </c>
      <c r="B2126" s="5" t="str">
        <f>IFERROR(__xludf.DUMMYFUNCTION("IF(A2126="""","""",INDEX(SPLIT(A2126,"" ""),COUNTA(SPLIT(A2126,"" ""))))"),"Brusati")</f>
        <v>Brusati</v>
      </c>
      <c r="C2126" s="6"/>
      <c r="D2126" s="6" t="s">
        <v>2033</v>
      </c>
      <c r="E2126" s="12" t="s">
        <v>2034</v>
      </c>
    </row>
    <row r="2127">
      <c r="A2127" s="4" t="s">
        <v>2145</v>
      </c>
      <c r="B2127" s="5" t="str">
        <f>IFERROR(__xludf.DUMMYFUNCTION("IF(A2127="""","""",INDEX(SPLIT(A2127,"" ""),COUNTA(SPLIT(A2127,"" ""))))"),"Montichiari")</f>
        <v>Montichiari</v>
      </c>
      <c r="C2127" s="6"/>
      <c r="D2127" s="6" t="s">
        <v>2033</v>
      </c>
      <c r="E2127" s="12" t="s">
        <v>2034</v>
      </c>
    </row>
    <row r="2128">
      <c r="A2128" s="4" t="s">
        <v>2146</v>
      </c>
      <c r="B2128" s="5" t="str">
        <f>IFERROR(__xludf.DUMMYFUNCTION("IF(A2128="""","""",INDEX(SPLIT(A2128,"" ""),COUNTA(SPLIT(A2128,"" ""))))"),"Montirone")</f>
        <v>Montirone</v>
      </c>
      <c r="C2128" s="6"/>
      <c r="D2128" s="6" t="s">
        <v>2033</v>
      </c>
      <c r="E2128" s="12" t="s">
        <v>2034</v>
      </c>
    </row>
    <row r="2129">
      <c r="A2129" s="4" t="s">
        <v>2147</v>
      </c>
      <c r="B2129" s="5" t="str">
        <f>IFERROR(__xludf.DUMMYFUNCTION("IF(A2129="""","""",INDEX(SPLIT(A2129,"" ""),COUNTA(SPLIT(A2129,"" ""))))"),"Mura")</f>
        <v>Mura</v>
      </c>
      <c r="C2129" s="6"/>
      <c r="D2129" s="6" t="s">
        <v>2033</v>
      </c>
      <c r="E2129" s="12" t="s">
        <v>2034</v>
      </c>
    </row>
    <row r="2130">
      <c r="A2130" s="4" t="s">
        <v>2148</v>
      </c>
      <c r="B2130" s="5" t="str">
        <f>IFERROR(__xludf.DUMMYFUNCTION("IF(A2130="""","""",INDEX(SPLIT(A2130,"" ""),COUNTA(SPLIT(A2130,"" ""))))"),"Muscoline")</f>
        <v>Muscoline</v>
      </c>
      <c r="C2130" s="6"/>
      <c r="D2130" s="6" t="s">
        <v>2033</v>
      </c>
      <c r="E2130" s="12" t="s">
        <v>2034</v>
      </c>
    </row>
    <row r="2131">
      <c r="A2131" s="4" t="s">
        <v>2149</v>
      </c>
      <c r="B2131" s="5" t="str">
        <f>IFERROR(__xludf.DUMMYFUNCTION("IF(A2131="""","""",INDEX(SPLIT(A2131,"" ""),COUNTA(SPLIT(A2131,"" ""))))"),"Nave")</f>
        <v>Nave</v>
      </c>
      <c r="C2131" s="6"/>
      <c r="D2131" s="6" t="s">
        <v>2033</v>
      </c>
      <c r="E2131" s="12" t="s">
        <v>2034</v>
      </c>
    </row>
    <row r="2132">
      <c r="A2132" s="4" t="s">
        <v>2150</v>
      </c>
      <c r="B2132" s="5" t="str">
        <f>IFERROR(__xludf.DUMMYFUNCTION("IF(A2132="""","""",INDEX(SPLIT(A2132,"" ""),COUNTA(SPLIT(A2132,"" ""))))"),"Niardo")</f>
        <v>Niardo</v>
      </c>
      <c r="C2132" s="6"/>
      <c r="D2132" s="6" t="s">
        <v>2033</v>
      </c>
      <c r="E2132" s="12" t="s">
        <v>2034</v>
      </c>
    </row>
    <row r="2133">
      <c r="A2133" s="4" t="s">
        <v>2151</v>
      </c>
      <c r="B2133" s="5" t="str">
        <f>IFERROR(__xludf.DUMMYFUNCTION("IF(A2133="""","""",INDEX(SPLIT(A2133,"" ""),COUNTA(SPLIT(A2133,"" ""))))"),"Nuvolento")</f>
        <v>Nuvolento</v>
      </c>
      <c r="C2133" s="6"/>
      <c r="D2133" s="6" t="s">
        <v>2033</v>
      </c>
      <c r="E2133" s="12" t="s">
        <v>2034</v>
      </c>
    </row>
    <row r="2134">
      <c r="A2134" s="4" t="s">
        <v>2152</v>
      </c>
      <c r="B2134" s="5" t="str">
        <f>IFERROR(__xludf.DUMMYFUNCTION("IF(A2134="""","""",INDEX(SPLIT(A2134,"" ""),COUNTA(SPLIT(A2134,"" ""))))"),"Nuvolera")</f>
        <v>Nuvolera</v>
      </c>
      <c r="C2134" s="6"/>
      <c r="D2134" s="6" t="s">
        <v>2033</v>
      </c>
      <c r="E2134" s="12" t="s">
        <v>2034</v>
      </c>
    </row>
    <row r="2135">
      <c r="A2135" s="4" t="s">
        <v>2153</v>
      </c>
      <c r="B2135" s="5" t="str">
        <f>IFERROR(__xludf.DUMMYFUNCTION("IF(A2135="""","""",INDEX(SPLIT(A2135,"" ""),COUNTA(SPLIT(A2135,"" ""))))"),"Odolo")</f>
        <v>Odolo</v>
      </c>
      <c r="C2135" s="6"/>
      <c r="D2135" s="6" t="s">
        <v>2033</v>
      </c>
      <c r="E2135" s="12" t="s">
        <v>2034</v>
      </c>
    </row>
    <row r="2136">
      <c r="A2136" s="4" t="s">
        <v>2154</v>
      </c>
      <c r="B2136" s="5" t="str">
        <f>IFERROR(__xludf.DUMMYFUNCTION("IF(A2136="""","""",INDEX(SPLIT(A2136,"" ""),COUNTA(SPLIT(A2136,"" ""))))"),"Offlaga")</f>
        <v>Offlaga</v>
      </c>
      <c r="C2136" s="6"/>
      <c r="D2136" s="6" t="s">
        <v>2033</v>
      </c>
      <c r="E2136" s="12" t="s">
        <v>2034</v>
      </c>
    </row>
    <row r="2137">
      <c r="A2137" s="4" t="s">
        <v>2155</v>
      </c>
      <c r="B2137" s="5" t="str">
        <f>IFERROR(__xludf.DUMMYFUNCTION("IF(A2137="""","""",INDEX(SPLIT(A2137,"" ""),COUNTA(SPLIT(A2137,"" ""))))"),"Ome")</f>
        <v>Ome</v>
      </c>
      <c r="C2137" s="6"/>
      <c r="D2137" s="6" t="s">
        <v>2033</v>
      </c>
      <c r="E2137" s="12" t="s">
        <v>2034</v>
      </c>
    </row>
    <row r="2138">
      <c r="A2138" s="4" t="s">
        <v>2156</v>
      </c>
      <c r="B2138" s="5" t="str">
        <f>IFERROR(__xludf.DUMMYFUNCTION("IF(A2138="""","""",INDEX(SPLIT(A2138,"" ""),COUNTA(SPLIT(A2138,"" ""))))"),"Pietro")</f>
        <v>Pietro</v>
      </c>
      <c r="C2138" s="6"/>
      <c r="D2138" s="6" t="s">
        <v>2033</v>
      </c>
      <c r="E2138" s="12" t="s">
        <v>2034</v>
      </c>
    </row>
    <row r="2139">
      <c r="A2139" s="4" t="s">
        <v>2157</v>
      </c>
      <c r="B2139" s="5" t="str">
        <f>IFERROR(__xludf.DUMMYFUNCTION("IF(A2139="""","""",INDEX(SPLIT(A2139,"" ""),COUNTA(SPLIT(A2139,"" ""))))"),"Orzinuovi")</f>
        <v>Orzinuovi</v>
      </c>
      <c r="C2139" s="6"/>
      <c r="D2139" s="6" t="s">
        <v>2033</v>
      </c>
      <c r="E2139" s="12" t="s">
        <v>2034</v>
      </c>
    </row>
    <row r="2140">
      <c r="A2140" s="4" t="s">
        <v>2158</v>
      </c>
      <c r="B2140" s="5" t="str">
        <f>IFERROR(__xludf.DUMMYFUNCTION("IF(A2140="""","""",INDEX(SPLIT(A2140,"" ""),COUNTA(SPLIT(A2140,"" ""))))"),"Orzivecchi")</f>
        <v>Orzivecchi</v>
      </c>
      <c r="C2140" s="6"/>
      <c r="D2140" s="6" t="s">
        <v>2033</v>
      </c>
      <c r="E2140" s="12" t="s">
        <v>2034</v>
      </c>
    </row>
    <row r="2141">
      <c r="A2141" s="4" t="s">
        <v>2159</v>
      </c>
      <c r="B2141" s="5" t="str">
        <f>IFERROR(__xludf.DUMMYFUNCTION("IF(A2141="""","""",INDEX(SPLIT(A2141,"" ""),COUNTA(SPLIT(A2141,"" ""))))"),"Ospitaletto")</f>
        <v>Ospitaletto</v>
      </c>
      <c r="C2141" s="6"/>
      <c r="D2141" s="6" t="s">
        <v>2033</v>
      </c>
      <c r="E2141" s="12" t="s">
        <v>2034</v>
      </c>
    </row>
    <row r="2142">
      <c r="A2142" s="4" t="s">
        <v>2160</v>
      </c>
      <c r="B2142" s="5" t="str">
        <f>IFERROR(__xludf.DUMMYFUNCTION("IF(A2142="""","""",INDEX(SPLIT(A2142,"" ""),COUNTA(SPLIT(A2142,"" ""))))"),"Ossimo")</f>
        <v>Ossimo</v>
      </c>
      <c r="C2142" s="6"/>
      <c r="D2142" s="6" t="s">
        <v>2033</v>
      </c>
      <c r="E2142" s="12" t="s">
        <v>2034</v>
      </c>
    </row>
    <row r="2143">
      <c r="A2143" s="4" t="s">
        <v>2161</v>
      </c>
      <c r="B2143" s="5" t="str">
        <f>IFERROR(__xludf.DUMMYFUNCTION("IF(A2143="""","""",INDEX(SPLIT(A2143,"" ""),COUNTA(SPLIT(A2143,"" ""))))"),"Garda")</f>
        <v>Garda</v>
      </c>
      <c r="C2143" s="6"/>
      <c r="D2143" s="6" t="s">
        <v>2033</v>
      </c>
      <c r="E2143" s="12" t="s">
        <v>2034</v>
      </c>
    </row>
    <row r="2144">
      <c r="A2144" s="4" t="s">
        <v>2162</v>
      </c>
      <c r="B2144" s="5" t="str">
        <f>IFERROR(__xludf.DUMMYFUNCTION("IF(A2144="""","""",INDEX(SPLIT(A2144,"" ""),COUNTA(SPLIT(A2144,"" ""))))"),"Franciacorta")</f>
        <v>Franciacorta</v>
      </c>
      <c r="C2144" s="6"/>
      <c r="D2144" s="6" t="s">
        <v>2033</v>
      </c>
      <c r="E2144" s="12" t="s">
        <v>2034</v>
      </c>
    </row>
    <row r="2145">
      <c r="A2145" s="4" t="s">
        <v>2163</v>
      </c>
      <c r="B2145" s="5" t="str">
        <f>IFERROR(__xludf.DUMMYFUNCTION("IF(A2145="""","""",INDEX(SPLIT(A2145,"" ""),COUNTA(SPLIT(A2145,"" ""))))"),"Loveno")</f>
        <v>Loveno</v>
      </c>
      <c r="C2145" s="6"/>
      <c r="D2145" s="6" t="s">
        <v>2033</v>
      </c>
      <c r="E2145" s="12" t="s">
        <v>2034</v>
      </c>
    </row>
    <row r="2146">
      <c r="A2146" s="4" t="s">
        <v>2164</v>
      </c>
      <c r="B2146" s="5" t="str">
        <f>IFERROR(__xludf.DUMMYFUNCTION("IF(A2146="""","""",INDEX(SPLIT(A2146,"" ""),COUNTA(SPLIT(A2146,"" ""))))"),"Paitone")</f>
        <v>Paitone</v>
      </c>
      <c r="C2146" s="6"/>
      <c r="D2146" s="6" t="s">
        <v>2033</v>
      </c>
      <c r="E2146" s="12" t="s">
        <v>2034</v>
      </c>
    </row>
    <row r="2147">
      <c r="A2147" s="4" t="s">
        <v>2165</v>
      </c>
      <c r="B2147" s="5" t="str">
        <f>IFERROR(__xludf.DUMMYFUNCTION("IF(A2147="""","""",INDEX(SPLIT(A2147,"" ""),COUNTA(SPLIT(A2147,"" ""))))"),"sull'Oglio")</f>
        <v>sull'Oglio</v>
      </c>
      <c r="C2147" s="6"/>
      <c r="D2147" s="6" t="s">
        <v>2033</v>
      </c>
      <c r="E2147" s="12" t="s">
        <v>2034</v>
      </c>
    </row>
    <row r="2148">
      <c r="A2148" s="4" t="s">
        <v>2166</v>
      </c>
      <c r="B2148" s="5" t="str">
        <f>IFERROR(__xludf.DUMMYFUNCTION("IF(A2148="""","""",INDEX(SPLIT(A2148,"" ""),COUNTA(SPLIT(A2148,"" ""))))"),"Paratico")</f>
        <v>Paratico</v>
      </c>
      <c r="C2148" s="6"/>
      <c r="D2148" s="6" t="s">
        <v>2033</v>
      </c>
      <c r="E2148" s="12" t="s">
        <v>2034</v>
      </c>
    </row>
    <row r="2149">
      <c r="A2149" s="4" t="s">
        <v>2167</v>
      </c>
      <c r="B2149" s="5" t="str">
        <f>IFERROR(__xludf.DUMMYFUNCTION("IF(A2149="""","""",INDEX(SPLIT(A2149,"" ""),COUNTA(SPLIT(A2149,"" ""))))"),"Paspardo")</f>
        <v>Paspardo</v>
      </c>
      <c r="C2149" s="6"/>
      <c r="D2149" s="6" t="s">
        <v>2033</v>
      </c>
      <c r="E2149" s="12" t="s">
        <v>2034</v>
      </c>
    </row>
    <row r="2150">
      <c r="A2150" s="4" t="s">
        <v>2168</v>
      </c>
      <c r="B2150" s="5" t="str">
        <f>IFERROR(__xludf.DUMMYFUNCTION("IF(A2150="""","""",INDEX(SPLIT(A2150,"" ""),COUNTA(SPLIT(A2150,"" ""))))"),"Passirano")</f>
        <v>Passirano</v>
      </c>
      <c r="C2150" s="6"/>
      <c r="D2150" s="6" t="s">
        <v>2033</v>
      </c>
      <c r="E2150" s="12" t="s">
        <v>2034</v>
      </c>
    </row>
    <row r="2151">
      <c r="A2151" s="4" t="s">
        <v>2169</v>
      </c>
      <c r="B2151" s="5" t="str">
        <f>IFERROR(__xludf.DUMMYFUNCTION("IF(A2151="""","""",INDEX(SPLIT(A2151,"" ""),COUNTA(SPLIT(A2151,"" ""))))"),"Mella")</f>
        <v>Mella</v>
      </c>
      <c r="C2151" s="6"/>
      <c r="D2151" s="6" t="s">
        <v>2033</v>
      </c>
      <c r="E2151" s="12" t="s">
        <v>2034</v>
      </c>
    </row>
    <row r="2152">
      <c r="A2152" s="4" t="s">
        <v>2170</v>
      </c>
      <c r="B2152" s="5" t="str">
        <f>IFERROR(__xludf.DUMMYFUNCTION("IF(A2152="""","""",INDEX(SPLIT(A2152,"" ""),COUNTA(SPLIT(A2152,"" ""))))"),"Paolo")</f>
        <v>Paolo</v>
      </c>
      <c r="C2152" s="6"/>
      <c r="D2152" s="6" t="s">
        <v>2033</v>
      </c>
      <c r="E2152" s="12" t="s">
        <v>2034</v>
      </c>
    </row>
    <row r="2153">
      <c r="A2153" s="4" t="s">
        <v>2171</v>
      </c>
      <c r="B2153" s="5" t="str">
        <f>IFERROR(__xludf.DUMMYFUNCTION("IF(A2153="""","""",INDEX(SPLIT(A2153,"" ""),COUNTA(SPLIT(A2153,"" ""))))"),"Alta")</f>
        <v>Alta</v>
      </c>
      <c r="C2153" s="6"/>
      <c r="D2153" s="6" t="s">
        <v>2033</v>
      </c>
      <c r="E2153" s="12" t="s">
        <v>2034</v>
      </c>
    </row>
    <row r="2154">
      <c r="A2154" s="4" t="s">
        <v>2172</v>
      </c>
      <c r="B2154" s="5" t="str">
        <f>IFERROR(__xludf.DUMMYFUNCTION("IF(A2154="""","""",INDEX(SPLIT(A2154,"" ""),COUNTA(SPLIT(A2154,"" ""))))"),"Bassa")</f>
        <v>Bassa</v>
      </c>
      <c r="C2154" s="6"/>
      <c r="D2154" s="6" t="s">
        <v>2033</v>
      </c>
      <c r="E2154" s="12" t="s">
        <v>2034</v>
      </c>
    </row>
    <row r="2155">
      <c r="A2155" s="4" t="s">
        <v>2173</v>
      </c>
      <c r="B2155" s="5" t="str">
        <f>IFERROR(__xludf.DUMMYFUNCTION("IF(A2155="""","""",INDEX(SPLIT(A2155,"" ""),COUNTA(SPLIT(A2155,"" ""))))"),"Pezzaze")</f>
        <v>Pezzaze</v>
      </c>
      <c r="C2155" s="6"/>
      <c r="D2155" s="6" t="s">
        <v>2033</v>
      </c>
      <c r="E2155" s="12" t="s">
        <v>2034</v>
      </c>
    </row>
    <row r="2156">
      <c r="A2156" s="4" t="s">
        <v>2174</v>
      </c>
      <c r="B2156" s="5" t="str">
        <f>IFERROR(__xludf.DUMMYFUNCTION("IF(A2156="""","""",INDEX(SPLIT(A2156,"" ""),COUNTA(SPLIT(A2156,"" ""))))"),"Camuno")</f>
        <v>Camuno</v>
      </c>
      <c r="C2156" s="6"/>
      <c r="D2156" s="6" t="s">
        <v>2033</v>
      </c>
      <c r="E2156" s="12" t="s">
        <v>2034</v>
      </c>
    </row>
    <row r="2157">
      <c r="A2157" s="4" t="s">
        <v>2175</v>
      </c>
      <c r="B2157" s="5" t="str">
        <f>IFERROR(__xludf.DUMMYFUNCTION("IF(A2157="""","""",INDEX(SPLIT(A2157,"" ""),COUNTA(SPLIT(A2157,"" ""))))"),"Pisogne")</f>
        <v>Pisogne</v>
      </c>
      <c r="C2157" s="6"/>
      <c r="D2157" s="6" t="s">
        <v>2033</v>
      </c>
      <c r="E2157" s="12" t="s">
        <v>2034</v>
      </c>
    </row>
    <row r="2158">
      <c r="A2158" s="4" t="s">
        <v>2176</v>
      </c>
      <c r="B2158" s="5" t="str">
        <f>IFERROR(__xludf.DUMMYFUNCTION("IF(A2158="""","""",INDEX(SPLIT(A2158,"" ""),COUNTA(SPLIT(A2158,"" ""))))"),"Polaveno")</f>
        <v>Polaveno</v>
      </c>
      <c r="C2158" s="6"/>
      <c r="D2158" s="6" t="s">
        <v>2033</v>
      </c>
      <c r="E2158" s="12" t="s">
        <v>2034</v>
      </c>
    </row>
    <row r="2159">
      <c r="A2159" s="4" t="s">
        <v>2177</v>
      </c>
      <c r="B2159" s="5" t="str">
        <f>IFERROR(__xludf.DUMMYFUNCTION("IF(A2159="""","""",INDEX(SPLIT(A2159,"" ""),COUNTA(SPLIT(A2159,"" ""))))"),"Garda")</f>
        <v>Garda</v>
      </c>
      <c r="C2159" s="6"/>
      <c r="D2159" s="6" t="s">
        <v>2033</v>
      </c>
      <c r="E2159" s="12" t="s">
        <v>2034</v>
      </c>
    </row>
    <row r="2160">
      <c r="A2160" s="4" t="s">
        <v>2178</v>
      </c>
      <c r="B2160" s="5" t="str">
        <f>IFERROR(__xludf.DUMMYFUNCTION("IF(A2160="""","""",INDEX(SPLIT(A2160,"" ""),COUNTA(SPLIT(A2160,"" ""))))"),"Pompiano")</f>
        <v>Pompiano</v>
      </c>
      <c r="C2160" s="6"/>
      <c r="D2160" s="6" t="s">
        <v>2033</v>
      </c>
      <c r="E2160" s="12" t="s">
        <v>2034</v>
      </c>
    </row>
    <row r="2161">
      <c r="A2161" s="4" t="s">
        <v>2179</v>
      </c>
      <c r="B2161" s="5" t="str">
        <f>IFERROR(__xludf.DUMMYFUNCTION("IF(A2161="""","""",INDEX(SPLIT(A2161,"" ""),COUNTA(SPLIT(A2161,"" ""))))"),"Poncarale")</f>
        <v>Poncarale</v>
      </c>
      <c r="C2161" s="6"/>
      <c r="D2161" s="6" t="s">
        <v>2033</v>
      </c>
      <c r="E2161" s="12" t="s">
        <v>2034</v>
      </c>
    </row>
    <row r="2162">
      <c r="A2162" s="4" t="s">
        <v>2180</v>
      </c>
      <c r="B2162" s="5" t="str">
        <f>IFERROR(__xludf.DUMMYFUNCTION("IF(A2162="""","""",INDEX(SPLIT(A2162,"" ""),COUNTA(SPLIT(A2162,"" ""))))"),"Legno")</f>
        <v>Legno</v>
      </c>
      <c r="C2162" s="6"/>
      <c r="D2162" s="6" t="s">
        <v>2033</v>
      </c>
      <c r="E2162" s="12" t="s">
        <v>2034</v>
      </c>
    </row>
    <row r="2163">
      <c r="A2163" s="4" t="s">
        <v>2181</v>
      </c>
      <c r="B2163" s="5" t="str">
        <f>IFERROR(__xludf.DUMMYFUNCTION("IF(A2163="""","""",INDEX(SPLIT(A2163,"" ""),COUNTA(SPLIT(A2163,"" ""))))"),"Pontevico")</f>
        <v>Pontevico</v>
      </c>
      <c r="C2163" s="6"/>
      <c r="D2163" s="6" t="s">
        <v>2033</v>
      </c>
      <c r="E2163" s="12" t="s">
        <v>2034</v>
      </c>
    </row>
    <row r="2164">
      <c r="A2164" s="4" t="s">
        <v>2182</v>
      </c>
      <c r="B2164" s="5" t="str">
        <f>IFERROR(__xludf.DUMMYFUNCTION("IF(A2164="""","""",INDEX(SPLIT(A2164,"" ""),COUNTA(SPLIT(A2164,"" ""))))"),"Pontoglio")</f>
        <v>Pontoglio</v>
      </c>
      <c r="C2164" s="6"/>
      <c r="D2164" s="6" t="s">
        <v>2033</v>
      </c>
      <c r="E2164" s="12" t="s">
        <v>2034</v>
      </c>
    </row>
    <row r="2165">
      <c r="A2165" s="4" t="s">
        <v>2183</v>
      </c>
      <c r="B2165" s="5" t="str">
        <f>IFERROR(__xludf.DUMMYFUNCTION("IF(A2165="""","""",INDEX(SPLIT(A2165,"" ""),COUNTA(SPLIT(A2165,"" ""))))"),"Pozzolengo")</f>
        <v>Pozzolengo</v>
      </c>
      <c r="C2165" s="6"/>
      <c r="D2165" s="6" t="s">
        <v>2033</v>
      </c>
      <c r="E2165" s="12" t="s">
        <v>2034</v>
      </c>
    </row>
    <row r="2166">
      <c r="A2166" s="4" t="s">
        <v>2184</v>
      </c>
      <c r="B2166" s="5" t="str">
        <f>IFERROR(__xludf.DUMMYFUNCTION("IF(A2166="""","""",INDEX(SPLIT(A2166,"" ""),COUNTA(SPLIT(A2166,"" ""))))"),"Pralboino")</f>
        <v>Pralboino</v>
      </c>
      <c r="C2166" s="6"/>
      <c r="D2166" s="6" t="s">
        <v>2033</v>
      </c>
      <c r="E2166" s="12" t="s">
        <v>2034</v>
      </c>
    </row>
    <row r="2167">
      <c r="A2167" s="4" t="s">
        <v>2185</v>
      </c>
      <c r="B2167" s="5" t="str">
        <f>IFERROR(__xludf.DUMMYFUNCTION("IF(A2167="""","""",INDEX(SPLIT(A2167,"" ""),COUNTA(SPLIT(A2167,"" ""))))"),"Preseglie")</f>
        <v>Preseglie</v>
      </c>
      <c r="C2167" s="6"/>
      <c r="D2167" s="6" t="s">
        <v>2033</v>
      </c>
      <c r="E2167" s="12" t="s">
        <v>2034</v>
      </c>
    </row>
    <row r="2168">
      <c r="A2168" s="4" t="s">
        <v>2186</v>
      </c>
      <c r="B2168" s="5" t="str">
        <f>IFERROR(__xludf.DUMMYFUNCTION("IF(A2168="""","""",INDEX(SPLIT(A2168,"" ""),COUNTA(SPLIT(A2168,"" ""))))"),"Prevalle")</f>
        <v>Prevalle</v>
      </c>
      <c r="C2168" s="6"/>
      <c r="D2168" s="6" t="s">
        <v>2033</v>
      </c>
      <c r="E2168" s="12" t="s">
        <v>2034</v>
      </c>
    </row>
    <row r="2169">
      <c r="A2169" s="4" t="s">
        <v>2187</v>
      </c>
      <c r="B2169" s="5" t="str">
        <f>IFERROR(__xludf.DUMMYFUNCTION("IF(A2169="""","""",INDEX(SPLIT(A2169,"" ""),COUNTA(SPLIT(A2169,"" ""))))"),"d'Iseo")</f>
        <v>d'Iseo</v>
      </c>
      <c r="C2169" s="6"/>
      <c r="D2169" s="6" t="s">
        <v>2033</v>
      </c>
      <c r="E2169" s="12" t="s">
        <v>2034</v>
      </c>
    </row>
    <row r="2170">
      <c r="A2170" s="4" t="s">
        <v>2188</v>
      </c>
      <c r="B2170" s="5" t="str">
        <f>IFERROR(__xludf.DUMMYFUNCTION("IF(A2170="""","""",INDEX(SPLIT(A2170,"" ""),COUNTA(SPLIT(A2170,"" ""))))"),"Sabbia")</f>
        <v>Sabbia</v>
      </c>
      <c r="C2170" s="6"/>
      <c r="D2170" s="6" t="s">
        <v>2033</v>
      </c>
      <c r="E2170" s="12" t="s">
        <v>2034</v>
      </c>
    </row>
    <row r="2171">
      <c r="A2171" s="4" t="s">
        <v>2189</v>
      </c>
      <c r="B2171" s="5" t="str">
        <f>IFERROR(__xludf.DUMMYFUNCTION("IF(A2171="""","""",INDEX(SPLIT(A2171,"" ""),COUNTA(SPLIT(A2171,"" ""))))"),"Garda")</f>
        <v>Garda</v>
      </c>
      <c r="C2171" s="6"/>
      <c r="D2171" s="6" t="s">
        <v>2033</v>
      </c>
      <c r="E2171" s="12" t="s">
        <v>2034</v>
      </c>
    </row>
    <row r="2172">
      <c r="A2172" s="4" t="s">
        <v>2190</v>
      </c>
      <c r="B2172" s="5" t="str">
        <f>IFERROR(__xludf.DUMMYFUNCTION("IF(A2172="""","""",INDEX(SPLIT(A2172,"" ""),COUNTA(SPLIT(A2172,"" ""))))"),"d'Oglio")</f>
        <v>d'Oglio</v>
      </c>
      <c r="C2172" s="6"/>
      <c r="D2172" s="6" t="s">
        <v>2033</v>
      </c>
      <c r="E2172" s="12" t="s">
        <v>2034</v>
      </c>
    </row>
    <row r="2173">
      <c r="A2173" s="4" t="s">
        <v>2191</v>
      </c>
      <c r="B2173" s="5" t="str">
        <f>IFERROR(__xludf.DUMMYFUNCTION("IF(A2173="""","""",INDEX(SPLIT(A2173,"" ""),COUNTA(SPLIT(A2173,"" ""))))"),"Remedello")</f>
        <v>Remedello</v>
      </c>
      <c r="C2173" s="6"/>
      <c r="D2173" s="6" t="s">
        <v>2033</v>
      </c>
      <c r="E2173" s="12" t="s">
        <v>2034</v>
      </c>
    </row>
    <row r="2174">
      <c r="A2174" s="4" t="s">
        <v>2192</v>
      </c>
      <c r="B2174" s="5" t="str">
        <f>IFERROR(__xludf.DUMMYFUNCTION("IF(A2174="""","""",INDEX(SPLIT(A2174,"" ""),COUNTA(SPLIT(A2174,"" ""))))"),"Rezzato")</f>
        <v>Rezzato</v>
      </c>
      <c r="C2174" s="6"/>
      <c r="D2174" s="6" t="s">
        <v>2033</v>
      </c>
      <c r="E2174" s="12" t="s">
        <v>2034</v>
      </c>
    </row>
    <row r="2175">
      <c r="A2175" s="4" t="s">
        <v>2193</v>
      </c>
      <c r="B2175" s="5" t="str">
        <f>IFERROR(__xludf.DUMMYFUNCTION("IF(A2175="""","""",INDEX(SPLIT(A2175,"" ""),COUNTA(SPLIT(A2175,"" ""))))"),"Roccafranca")</f>
        <v>Roccafranca</v>
      </c>
      <c r="C2175" s="6"/>
      <c r="D2175" s="6" t="s">
        <v>2033</v>
      </c>
      <c r="E2175" s="12" t="s">
        <v>2034</v>
      </c>
    </row>
    <row r="2176">
      <c r="A2176" s="4" t="s">
        <v>2194</v>
      </c>
      <c r="B2176" s="5" t="str">
        <f>IFERROR(__xludf.DUMMYFUNCTION("IF(A2176="""","""",INDEX(SPLIT(A2176,"" ""),COUNTA(SPLIT(A2176,"" ""))))"),"Saiano")</f>
        <v>Saiano</v>
      </c>
      <c r="C2176" s="6"/>
      <c r="D2176" s="6" t="s">
        <v>2033</v>
      </c>
      <c r="E2176" s="12" t="s">
        <v>2034</v>
      </c>
    </row>
    <row r="2177">
      <c r="A2177" s="4" t="s">
        <v>2195</v>
      </c>
      <c r="B2177" s="5" t="str">
        <f>IFERROR(__xludf.DUMMYFUNCTION("IF(A2177="""","""",INDEX(SPLIT(A2177,"" ""),COUNTA(SPLIT(A2177,"" ""))))"),"Volciano")</f>
        <v>Volciano</v>
      </c>
      <c r="C2177" s="6"/>
      <c r="D2177" s="6" t="s">
        <v>2033</v>
      </c>
      <c r="E2177" s="12" t="s">
        <v>2034</v>
      </c>
    </row>
    <row r="2178">
      <c r="A2178" s="4" t="s">
        <v>2196</v>
      </c>
      <c r="B2178" s="5" t="str">
        <f>IFERROR(__xludf.DUMMYFUNCTION("IF(A2178="""","""",INDEX(SPLIT(A2178,"" ""),COUNTA(SPLIT(A2178,"" ""))))"),"Roncadelle")</f>
        <v>Roncadelle</v>
      </c>
      <c r="C2178" s="6"/>
      <c r="D2178" s="6" t="s">
        <v>2033</v>
      </c>
      <c r="E2178" s="12" t="s">
        <v>2034</v>
      </c>
    </row>
    <row r="2179">
      <c r="A2179" s="4" t="s">
        <v>2197</v>
      </c>
      <c r="B2179" s="5" t="str">
        <f>IFERROR(__xludf.DUMMYFUNCTION("IF(A2179="""","""",INDEX(SPLIT(A2179,"" ""),COUNTA(SPLIT(A2179,"" ""))))"),"Rovato")</f>
        <v>Rovato</v>
      </c>
      <c r="C2179" s="6"/>
      <c r="D2179" s="6" t="s">
        <v>2033</v>
      </c>
      <c r="E2179" s="12" t="s">
        <v>2034</v>
      </c>
    </row>
    <row r="2180">
      <c r="A2180" s="4" t="s">
        <v>2198</v>
      </c>
      <c r="B2180" s="5" t="str">
        <f>IFERROR(__xludf.DUMMYFUNCTION("IF(A2180="""","""",INDEX(SPLIT(A2180,"" ""),COUNTA(SPLIT(A2180,"" ""))))"),"Rudiano")</f>
        <v>Rudiano</v>
      </c>
      <c r="C2180" s="6"/>
      <c r="D2180" s="6" t="s">
        <v>2033</v>
      </c>
      <c r="E2180" s="12" t="s">
        <v>2034</v>
      </c>
    </row>
    <row r="2181">
      <c r="A2181" s="4" t="s">
        <v>2199</v>
      </c>
      <c r="B2181" s="5" t="str">
        <f>IFERROR(__xludf.DUMMYFUNCTION("IF(A2181="""","""",INDEX(SPLIT(A2181,"" ""),COUNTA(SPLIT(A2181,"" ""))))"),"Chiese")</f>
        <v>Chiese</v>
      </c>
      <c r="C2181" s="6"/>
      <c r="D2181" s="6" t="s">
        <v>2033</v>
      </c>
      <c r="E2181" s="12" t="s">
        <v>2034</v>
      </c>
    </row>
    <row r="2182">
      <c r="A2182" s="4" t="s">
        <v>2200</v>
      </c>
      <c r="B2182" s="5" t="str">
        <f>IFERROR(__xludf.DUMMYFUNCTION("IF(A2182="""","""",INDEX(SPLIT(A2182,"" ""),COUNTA(SPLIT(A2182,"" ""))))"),"Marasino")</f>
        <v>Marasino</v>
      </c>
      <c r="C2182" s="6"/>
      <c r="D2182" s="6" t="s">
        <v>2033</v>
      </c>
      <c r="E2182" s="12" t="s">
        <v>2034</v>
      </c>
    </row>
    <row r="2183">
      <c r="A2183" s="4" t="s">
        <v>2201</v>
      </c>
      <c r="B2183" s="5" t="str">
        <f>IFERROR(__xludf.DUMMYFUNCTION("IF(A2183="""","""",INDEX(SPLIT(A2183,"" ""),COUNTA(SPLIT(A2183,"" ""))))"),"Salò")</f>
        <v>Salò</v>
      </c>
      <c r="C2183" s="6"/>
      <c r="D2183" s="6" t="s">
        <v>2033</v>
      </c>
      <c r="E2183" s="12" t="s">
        <v>2034</v>
      </c>
    </row>
    <row r="2184">
      <c r="A2184" s="4" t="s">
        <v>2202</v>
      </c>
      <c r="B2184" s="5" t="str">
        <f>IFERROR(__xludf.DUMMYFUNCTION("IF(A2184="""","""",INDEX(SPLIT(A2184,"" ""),COUNTA(SPLIT(A2184,"" ""))))"),"Benaco")</f>
        <v>Benaco</v>
      </c>
      <c r="C2184" s="6"/>
      <c r="D2184" s="6" t="s">
        <v>2033</v>
      </c>
      <c r="E2184" s="12" t="s">
        <v>2034</v>
      </c>
    </row>
    <row r="2185">
      <c r="A2185" s="4" t="s">
        <v>2203</v>
      </c>
      <c r="B2185" s="5" t="str">
        <f>IFERROR(__xludf.DUMMYFUNCTION("IF(A2185="""","""",INDEX(SPLIT(A2185,"" ""),COUNTA(SPLIT(A2185,"" ""))))"),"Bresciano")</f>
        <v>Bresciano</v>
      </c>
      <c r="C2185" s="6"/>
      <c r="D2185" s="6" t="s">
        <v>2033</v>
      </c>
      <c r="E2185" s="12" t="s">
        <v>2034</v>
      </c>
    </row>
    <row r="2186">
      <c r="A2186" s="4" t="s">
        <v>2204</v>
      </c>
      <c r="B2186" s="5" t="str">
        <f>IFERROR(__xludf.DUMMYFUNCTION("IF(A2186="""","""",INDEX(SPLIT(A2186,"" ""),COUNTA(SPLIT(A2186,"" ""))))"),"Naviglio")</f>
        <v>Naviglio</v>
      </c>
      <c r="C2186" s="6"/>
      <c r="D2186" s="6" t="s">
        <v>2033</v>
      </c>
      <c r="E2186" s="12" t="s">
        <v>2034</v>
      </c>
    </row>
    <row r="2187">
      <c r="A2187" s="4" t="s">
        <v>2205</v>
      </c>
      <c r="B2187" s="5" t="str">
        <f>IFERROR(__xludf.DUMMYFUNCTION("IF(A2187="""","""",INDEX(SPLIT(A2187,"" ""),COUNTA(SPLIT(A2187,"" ""))))"),"Sarezzo")</f>
        <v>Sarezzo</v>
      </c>
      <c r="C2187" s="6"/>
      <c r="D2187" s="6" t="s">
        <v>2033</v>
      </c>
      <c r="E2187" s="12" t="s">
        <v>2034</v>
      </c>
    </row>
    <row r="2188">
      <c r="A2188" s="4" t="s">
        <v>2206</v>
      </c>
      <c r="B2188" s="5" t="str">
        <f>IFERROR(__xludf.DUMMYFUNCTION("IF(A2188="""","""",INDEX(SPLIT(A2188,"" ""),COUNTA(SPLIT(A2188,"" ""))))"),"dell'Adamello")</f>
        <v>dell'Adamello</v>
      </c>
      <c r="C2188" s="6"/>
      <c r="D2188" s="6" t="s">
        <v>2033</v>
      </c>
      <c r="E2188" s="12" t="s">
        <v>2034</v>
      </c>
    </row>
    <row r="2189">
      <c r="A2189" s="4" t="s">
        <v>2207</v>
      </c>
      <c r="B2189" s="5" t="str">
        <f>IFERROR(__xludf.DUMMYFUNCTION("IF(A2189="""","""",INDEX(SPLIT(A2189,"" ""),COUNTA(SPLIT(A2189,"" ""))))"),"Sellero")</f>
        <v>Sellero</v>
      </c>
      <c r="C2189" s="6"/>
      <c r="D2189" s="6" t="s">
        <v>2033</v>
      </c>
      <c r="E2189" s="12" t="s">
        <v>2034</v>
      </c>
    </row>
    <row r="2190">
      <c r="A2190" s="4" t="s">
        <v>2208</v>
      </c>
      <c r="B2190" s="5" t="str">
        <f>IFERROR(__xludf.DUMMYFUNCTION("IF(A2190="""","""",INDEX(SPLIT(A2190,"" ""),COUNTA(SPLIT(A2190,"" ""))))"),"Seniga")</f>
        <v>Seniga</v>
      </c>
      <c r="C2190" s="6"/>
      <c r="D2190" s="6" t="s">
        <v>2033</v>
      </c>
      <c r="E2190" s="12" t="s">
        <v>2034</v>
      </c>
    </row>
    <row r="2191">
      <c r="A2191" s="4" t="s">
        <v>2209</v>
      </c>
      <c r="B2191" s="5" t="str">
        <f>IFERROR(__xludf.DUMMYFUNCTION("IF(A2191="""","""",INDEX(SPLIT(A2191,"" ""),COUNTA(SPLIT(A2191,"" ""))))"),"Serle")</f>
        <v>Serle</v>
      </c>
      <c r="C2191" s="6"/>
      <c r="D2191" s="6" t="s">
        <v>2033</v>
      </c>
      <c r="E2191" s="12" t="s">
        <v>2034</v>
      </c>
    </row>
    <row r="2192">
      <c r="A2192" s="4" t="s">
        <v>2210</v>
      </c>
      <c r="B2192" s="5" t="str">
        <f>IFERROR(__xludf.DUMMYFUNCTION("IF(A2192="""","""",INDEX(SPLIT(A2192,"" ""),COUNTA(SPLIT(A2192,"" ""))))"),"Sirmione")</f>
        <v>Sirmione</v>
      </c>
      <c r="C2192" s="6"/>
      <c r="D2192" s="6" t="s">
        <v>2033</v>
      </c>
      <c r="E2192" s="12" t="s">
        <v>2034</v>
      </c>
    </row>
    <row r="2193">
      <c r="A2193" s="4" t="s">
        <v>2211</v>
      </c>
      <c r="B2193" s="5" t="str">
        <f>IFERROR(__xludf.DUMMYFUNCTION("IF(A2193="""","""",INDEX(SPLIT(A2193,"" ""),COUNTA(SPLIT(A2193,"" ""))))"),"Lago")</f>
        <v>Lago</v>
      </c>
      <c r="C2193" s="6"/>
      <c r="D2193" s="6" t="s">
        <v>2033</v>
      </c>
      <c r="E2193" s="12" t="s">
        <v>2034</v>
      </c>
    </row>
    <row r="2194">
      <c r="A2194" s="4" t="s">
        <v>2212</v>
      </c>
      <c r="B2194" s="5" t="str">
        <f>IFERROR(__xludf.DUMMYFUNCTION("IF(A2194="""","""",INDEX(SPLIT(A2194,"" ""),COUNTA(SPLIT(A2194,"" ""))))"),"Sonico")</f>
        <v>Sonico</v>
      </c>
      <c r="C2194" s="6"/>
      <c r="D2194" s="6" t="s">
        <v>2033</v>
      </c>
      <c r="E2194" s="12" t="s">
        <v>2034</v>
      </c>
    </row>
    <row r="2195">
      <c r="A2195" s="4" t="s">
        <v>2213</v>
      </c>
      <c r="B2195" s="5" t="str">
        <f>IFERROR(__xludf.DUMMYFUNCTION("IF(A2195="""","""",INDEX(SPLIT(A2195,"" ""),COUNTA(SPLIT(A2195,"" ""))))"),"Sulzano")</f>
        <v>Sulzano</v>
      </c>
      <c r="C2195" s="6"/>
      <c r="D2195" s="6" t="s">
        <v>2033</v>
      </c>
      <c r="E2195" s="12" t="s">
        <v>2034</v>
      </c>
    </row>
    <row r="2196">
      <c r="A2196" s="4" t="s">
        <v>2214</v>
      </c>
      <c r="B2196" s="5" t="str">
        <f>IFERROR(__xludf.DUMMYFUNCTION("IF(A2196="""","""",INDEX(SPLIT(A2196,"" ""),COUNTA(SPLIT(A2196,"" ""))))"),"Mella")</f>
        <v>Mella</v>
      </c>
      <c r="C2196" s="6"/>
      <c r="D2196" s="6" t="s">
        <v>2033</v>
      </c>
      <c r="E2196" s="12" t="s">
        <v>2034</v>
      </c>
    </row>
    <row r="2197">
      <c r="A2197" s="4" t="s">
        <v>2215</v>
      </c>
      <c r="B2197" s="5" t="str">
        <f>IFERROR(__xludf.DUMMYFUNCTION("IF(A2197="""","""",INDEX(SPLIT(A2197,"" ""),COUNTA(SPLIT(A2197,"" ""))))"),"Temù")</f>
        <v>Temù</v>
      </c>
      <c r="C2197" s="6"/>
      <c r="D2197" s="6" t="s">
        <v>2033</v>
      </c>
      <c r="E2197" s="12" t="s">
        <v>2034</v>
      </c>
    </row>
    <row r="2198">
      <c r="A2198" s="4" t="s">
        <v>2216</v>
      </c>
      <c r="B2198" s="5" t="str">
        <f>IFERROR(__xludf.DUMMYFUNCTION("IF(A2198="""","""",INDEX(SPLIT(A2198,"" ""),COUNTA(SPLIT(A2198,"" ""))))"),"Tignale")</f>
        <v>Tignale</v>
      </c>
      <c r="C2198" s="6"/>
      <c r="D2198" s="6" t="s">
        <v>2033</v>
      </c>
      <c r="E2198" s="12" t="s">
        <v>2034</v>
      </c>
    </row>
    <row r="2199">
      <c r="A2199" s="4" t="s">
        <v>2217</v>
      </c>
      <c r="B2199" s="5" t="str">
        <f>IFERROR(__xludf.DUMMYFUNCTION("IF(A2199="""","""",INDEX(SPLIT(A2199,"" ""),COUNTA(SPLIT(A2199,"" ""))))"),"Casaglia")</f>
        <v>Casaglia</v>
      </c>
      <c r="C2199" s="6"/>
      <c r="D2199" s="6" t="s">
        <v>2033</v>
      </c>
      <c r="E2199" s="12" t="s">
        <v>2034</v>
      </c>
    </row>
    <row r="2200">
      <c r="A2200" s="4" t="s">
        <v>2218</v>
      </c>
      <c r="B2200" s="5" t="str">
        <f>IFERROR(__xludf.DUMMYFUNCTION("IF(A2200="""","""",INDEX(SPLIT(A2200,"" ""),COUNTA(SPLIT(A2200,"" ""))))"),"ToscolanoMaderno")</f>
        <v>ToscolanoMaderno</v>
      </c>
      <c r="C2200" s="6"/>
      <c r="D2200" s="6" t="s">
        <v>2033</v>
      </c>
      <c r="E2200" s="12" t="s">
        <v>2034</v>
      </c>
    </row>
    <row r="2201">
      <c r="A2201" s="4" t="s">
        <v>2219</v>
      </c>
      <c r="B2201" s="5" t="str">
        <f>IFERROR(__xludf.DUMMYFUNCTION("IF(A2201="""","""",INDEX(SPLIT(A2201,"" ""),COUNTA(SPLIT(A2201,"" ""))))"),"Travagliato")</f>
        <v>Travagliato</v>
      </c>
      <c r="C2201" s="6"/>
      <c r="D2201" s="6" t="s">
        <v>2033</v>
      </c>
      <c r="E2201" s="12" t="s">
        <v>2034</v>
      </c>
    </row>
    <row r="2202">
      <c r="A2202" s="4" t="s">
        <v>2220</v>
      </c>
      <c r="B2202" s="5" t="str">
        <f>IFERROR(__xludf.DUMMYFUNCTION("IF(A2202="""","""",INDEX(SPLIT(A2202,"" ""),COUNTA(SPLIT(A2202,"" ""))))"),"Garda")</f>
        <v>Garda</v>
      </c>
      <c r="C2202" s="6"/>
      <c r="D2202" s="6" t="s">
        <v>2033</v>
      </c>
      <c r="E2202" s="12" t="s">
        <v>2034</v>
      </c>
    </row>
    <row r="2203">
      <c r="A2203" s="4" t="s">
        <v>2221</v>
      </c>
      <c r="B2203" s="5" t="str">
        <f>IFERROR(__xludf.DUMMYFUNCTION("IF(A2203="""","""",INDEX(SPLIT(A2203,"" ""),COUNTA(SPLIT(A2203,"" ""))))"),"Trenzano")</f>
        <v>Trenzano</v>
      </c>
      <c r="C2203" s="6"/>
      <c r="D2203" s="6" t="s">
        <v>2033</v>
      </c>
      <c r="E2203" s="12" t="s">
        <v>2034</v>
      </c>
    </row>
    <row r="2204">
      <c r="A2204" s="4" t="s">
        <v>2222</v>
      </c>
      <c r="B2204" s="5" t="str">
        <f>IFERROR(__xludf.DUMMYFUNCTION("IF(A2204="""","""",INDEX(SPLIT(A2204,"" ""),COUNTA(SPLIT(A2204,"" ""))))"),"Bresciano")</f>
        <v>Bresciano</v>
      </c>
      <c r="C2204" s="6"/>
      <c r="D2204" s="6" t="s">
        <v>2033</v>
      </c>
      <c r="E2204" s="12" t="s">
        <v>2034</v>
      </c>
    </row>
    <row r="2205">
      <c r="A2205" s="4" t="s">
        <v>2223</v>
      </c>
      <c r="B2205" s="5" t="str">
        <f>IFERROR(__xludf.DUMMYFUNCTION("IF(A2205="""","""",INDEX(SPLIT(A2205,"" ""),COUNTA(SPLIT(A2205,"" ""))))"),"d'Oglio")</f>
        <v>d'Oglio</v>
      </c>
      <c r="C2205" s="6"/>
      <c r="D2205" s="6" t="s">
        <v>2033</v>
      </c>
      <c r="E2205" s="12" t="s">
        <v>2034</v>
      </c>
    </row>
    <row r="2206">
      <c r="A2206" s="4" t="s">
        <v>2224</v>
      </c>
      <c r="B2206" s="5" t="str">
        <f>IFERROR(__xludf.DUMMYFUNCTION("IF(A2206="""","""",INDEX(SPLIT(A2206,"" ""),COUNTA(SPLIT(A2206,"" ""))))"),"Terme")</f>
        <v>Terme</v>
      </c>
      <c r="C2206" s="6"/>
      <c r="D2206" s="6" t="s">
        <v>2033</v>
      </c>
      <c r="E2206" s="12" t="s">
        <v>2034</v>
      </c>
    </row>
    <row r="2207">
      <c r="A2207" s="4" t="s">
        <v>2225</v>
      </c>
      <c r="B2207" s="5" t="str">
        <f>IFERROR(__xludf.DUMMYFUNCTION("IF(A2207="""","""",INDEX(SPLIT(A2207,"" ""),COUNTA(SPLIT(A2207,"" ""))))"),"Valvestino")</f>
        <v>Valvestino</v>
      </c>
      <c r="C2207" s="6"/>
      <c r="D2207" s="6" t="s">
        <v>2033</v>
      </c>
      <c r="E2207" s="12" t="s">
        <v>2034</v>
      </c>
    </row>
    <row r="2208">
      <c r="A2208" s="4" t="s">
        <v>2226</v>
      </c>
      <c r="B2208" s="5" t="str">
        <f>IFERROR(__xludf.DUMMYFUNCTION("IF(A2208="""","""",INDEX(SPLIT(A2208,"" ""),COUNTA(SPLIT(A2208,"" ""))))"),"Verolanuova")</f>
        <v>Verolanuova</v>
      </c>
      <c r="C2208" s="6"/>
      <c r="D2208" s="6" t="s">
        <v>2033</v>
      </c>
      <c r="E2208" s="12" t="s">
        <v>2034</v>
      </c>
    </row>
    <row r="2209">
      <c r="A2209" s="4" t="s">
        <v>2227</v>
      </c>
      <c r="B2209" s="5" t="str">
        <f>IFERROR(__xludf.DUMMYFUNCTION("IF(A2209="""","""",INDEX(SPLIT(A2209,"" ""),COUNTA(SPLIT(A2209,"" ""))))"),"Verolavecchia")</f>
        <v>Verolavecchia</v>
      </c>
      <c r="C2209" s="6"/>
      <c r="D2209" s="6" t="s">
        <v>2033</v>
      </c>
      <c r="E2209" s="12" t="s">
        <v>2034</v>
      </c>
    </row>
    <row r="2210">
      <c r="A2210" s="4" t="s">
        <v>2228</v>
      </c>
      <c r="B2210" s="5" t="str">
        <f>IFERROR(__xludf.DUMMYFUNCTION("IF(A2210="""","""",INDEX(SPLIT(A2210,"" ""),COUNTA(SPLIT(A2210,"" ""))))"),"Vestone")</f>
        <v>Vestone</v>
      </c>
      <c r="C2210" s="6"/>
      <c r="D2210" s="6" t="s">
        <v>2033</v>
      </c>
      <c r="E2210" s="12" t="s">
        <v>2034</v>
      </c>
    </row>
    <row r="2211">
      <c r="A2211" s="4" t="s">
        <v>2229</v>
      </c>
      <c r="B2211" s="5" t="str">
        <f>IFERROR(__xludf.DUMMYFUNCTION("IF(A2211="""","""",INDEX(SPLIT(A2211,"" ""),COUNTA(SPLIT(A2211,"" ""))))"),"d'Oglio")</f>
        <v>d'Oglio</v>
      </c>
      <c r="C2211" s="6"/>
      <c r="D2211" s="6" t="s">
        <v>2033</v>
      </c>
      <c r="E2211" s="12" t="s">
        <v>2034</v>
      </c>
    </row>
    <row r="2212">
      <c r="A2212" s="4" t="s">
        <v>2230</v>
      </c>
      <c r="B2212" s="5" t="str">
        <f>IFERROR(__xludf.DUMMYFUNCTION("IF(A2212="""","""",INDEX(SPLIT(A2212,"" ""),COUNTA(SPLIT(A2212,"" ""))))"),"Carcina")</f>
        <v>Carcina</v>
      </c>
      <c r="C2212" s="6"/>
      <c r="D2212" s="6" t="s">
        <v>2033</v>
      </c>
      <c r="E2212" s="12" t="s">
        <v>2034</v>
      </c>
    </row>
    <row r="2213">
      <c r="A2213" s="4" t="s">
        <v>2231</v>
      </c>
      <c r="B2213" s="5" t="str">
        <f>IFERROR(__xludf.DUMMYFUNCTION("IF(A2213="""","""",INDEX(SPLIT(A2213,"" ""),COUNTA(SPLIT(A2213,"" ""))))"),"Villachiara")</f>
        <v>Villachiara</v>
      </c>
      <c r="C2213" s="6"/>
      <c r="D2213" s="6" t="s">
        <v>2033</v>
      </c>
      <c r="E2213" s="12" t="s">
        <v>2034</v>
      </c>
    </row>
    <row r="2214">
      <c r="A2214" s="4" t="s">
        <v>2232</v>
      </c>
      <c r="B2214" s="5" t="str">
        <f>IFERROR(__xludf.DUMMYFUNCTION("IF(A2214="""","""",INDEX(SPLIT(A2214,"" ""),COUNTA(SPLIT(A2214,"" ""))))"),"Clisi")</f>
        <v>Clisi</v>
      </c>
      <c r="C2214" s="6"/>
      <c r="D2214" s="6" t="s">
        <v>2033</v>
      </c>
      <c r="E2214" s="12" t="s">
        <v>2034</v>
      </c>
    </row>
    <row r="2215">
      <c r="A2215" s="4" t="s">
        <v>2233</v>
      </c>
      <c r="B2215" s="5" t="str">
        <f>IFERROR(__xludf.DUMMYFUNCTION("IF(A2215="""","""",INDEX(SPLIT(A2215,"" ""),COUNTA(SPLIT(A2215,"" ""))))"),"Vione")</f>
        <v>Vione</v>
      </c>
      <c r="C2215" s="6"/>
      <c r="D2215" s="6" t="s">
        <v>2033</v>
      </c>
      <c r="E2215" s="12" t="s">
        <v>2034</v>
      </c>
    </row>
    <row r="2216">
      <c r="A2216" s="4" t="s">
        <v>2234</v>
      </c>
      <c r="B2216" s="5" t="str">
        <f>IFERROR(__xludf.DUMMYFUNCTION("IF(A2216="""","""",INDEX(SPLIT(A2216,"" ""),COUNTA(SPLIT(A2216,"" ""))))"),"Visano")</f>
        <v>Visano</v>
      </c>
      <c r="C2216" s="6"/>
      <c r="D2216" s="6" t="s">
        <v>2033</v>
      </c>
      <c r="E2216" s="12" t="s">
        <v>2034</v>
      </c>
    </row>
    <row r="2217">
      <c r="A2217" s="4" t="s">
        <v>2235</v>
      </c>
      <c r="B2217" s="5" t="str">
        <f>IFERROR(__xludf.DUMMYFUNCTION("IF(A2217="""","""",INDEX(SPLIT(A2217,"" ""),COUNTA(SPLIT(A2217,"" ""))))"),"Vobarno")</f>
        <v>Vobarno</v>
      </c>
      <c r="C2217" s="6"/>
      <c r="D2217" s="6" t="s">
        <v>2033</v>
      </c>
      <c r="E2217" s="12" t="s">
        <v>2034</v>
      </c>
    </row>
    <row r="2218">
      <c r="A2218" s="4" t="s">
        <v>2236</v>
      </c>
      <c r="B2218" s="5" t="str">
        <f>IFERROR(__xludf.DUMMYFUNCTION("IF(A2218="""","""",INDEX(SPLIT(A2218,"" ""),COUNTA(SPLIT(A2218,"" ""))))"),"Zone")</f>
        <v>Zone</v>
      </c>
      <c r="C2218" s="6"/>
      <c r="D2218" s="6" t="s">
        <v>2033</v>
      </c>
      <c r="E2218" s="12" t="s">
        <v>2034</v>
      </c>
    </row>
    <row r="2219">
      <c r="A2219" s="4" t="s">
        <v>2237</v>
      </c>
      <c r="B2219" s="5" t="str">
        <f>IFERROR(__xludf.DUMMYFUNCTION("IF(A2219="""","""",INDEX(SPLIT(A2219,"" ""),COUNTA(SPLIT(A2219,"" ""))))"),"Piancogno")</f>
        <v>Piancogno</v>
      </c>
      <c r="C2219" s="6"/>
      <c r="D2219" s="6" t="s">
        <v>2033</v>
      </c>
      <c r="E2219" s="12" t="s">
        <v>2034</v>
      </c>
    </row>
    <row r="2220">
      <c r="A2220" s="4" t="s">
        <v>2238</v>
      </c>
      <c r="B2220" s="5" t="str">
        <f>IFERROR(__xludf.DUMMYFUNCTION("IF(A2220="""","""",INDEX(SPLIT(A2220,"" ""),COUNTA(SPLIT(A2220,"" ""))))"),"Alagna")</f>
        <v>Alagna</v>
      </c>
      <c r="C2220" s="6"/>
      <c r="D2220" s="6" t="s">
        <v>2239</v>
      </c>
      <c r="E2220" s="12" t="s">
        <v>2240</v>
      </c>
    </row>
    <row r="2221">
      <c r="A2221" s="4" t="s">
        <v>2241</v>
      </c>
      <c r="B2221" s="5" t="str">
        <f>IFERROR(__xludf.DUMMYFUNCTION("IF(A2221="""","""",INDEX(SPLIT(A2221,"" ""),COUNTA(SPLIT(A2221,"" ""))))"),"Arnaboldi")</f>
        <v>Arnaboldi</v>
      </c>
      <c r="C2221" s="6"/>
      <c r="D2221" s="6" t="s">
        <v>2239</v>
      </c>
      <c r="E2221" s="12" t="s">
        <v>2240</v>
      </c>
    </row>
    <row r="2222">
      <c r="A2222" s="4" t="s">
        <v>2242</v>
      </c>
      <c r="B2222" s="5" t="str">
        <f>IFERROR(__xludf.DUMMYFUNCTION("IF(A2222="""","""",INDEX(SPLIT(A2222,"" ""),COUNTA(SPLIT(A2222,"" ""))))"),"Albonese")</f>
        <v>Albonese</v>
      </c>
      <c r="C2222" s="6"/>
      <c r="D2222" s="6" t="s">
        <v>2239</v>
      </c>
      <c r="E2222" s="12" t="s">
        <v>2240</v>
      </c>
    </row>
    <row r="2223">
      <c r="A2223" s="4" t="s">
        <v>2243</v>
      </c>
      <c r="B2223" s="5" t="str">
        <f>IFERROR(__xludf.DUMMYFUNCTION("IF(A2223="""","""",INDEX(SPLIT(A2223,"" ""),COUNTA(SPLIT(A2223,"" ""))))"),"Albuzzano")</f>
        <v>Albuzzano</v>
      </c>
      <c r="C2223" s="6"/>
      <c r="D2223" s="6" t="s">
        <v>2239</v>
      </c>
      <c r="E2223" s="12" t="s">
        <v>2240</v>
      </c>
    </row>
    <row r="2224">
      <c r="A2224" s="4" t="s">
        <v>2244</v>
      </c>
      <c r="B2224" s="5" t="str">
        <f>IFERROR(__xludf.DUMMYFUNCTION("IF(A2224="""","""",INDEX(SPLIT(A2224,"" ""),COUNTA(SPLIT(A2224,"" ""))))"),"Po")</f>
        <v>Po</v>
      </c>
      <c r="C2224" s="6"/>
      <c r="D2224" s="6" t="s">
        <v>2239</v>
      </c>
      <c r="E2224" s="12" t="s">
        <v>2240</v>
      </c>
    </row>
    <row r="2225">
      <c r="A2225" s="4" t="s">
        <v>2245</v>
      </c>
      <c r="B2225" s="5" t="str">
        <f>IFERROR(__xludf.DUMMYFUNCTION("IF(A2225="""","""",INDEX(SPLIT(A2225,"" ""),COUNTA(SPLIT(A2225,"" ""))))"),"Pavese")</f>
        <v>Pavese</v>
      </c>
      <c r="C2225" s="6"/>
      <c r="D2225" s="6" t="s">
        <v>2239</v>
      </c>
      <c r="E2225" s="12" t="s">
        <v>2240</v>
      </c>
    </row>
    <row r="2226">
      <c r="A2226" s="4" t="s">
        <v>2246</v>
      </c>
      <c r="B2226" s="5" t="str">
        <f>IFERROR(__xludf.DUMMYFUNCTION("IF(A2226="""","""",INDEX(SPLIT(A2226,"" ""),COUNTA(SPLIT(A2226,"" ""))))"),"Bagnaria")</f>
        <v>Bagnaria</v>
      </c>
      <c r="C2226" s="6"/>
      <c r="D2226" s="6" t="s">
        <v>2239</v>
      </c>
      <c r="E2226" s="12" t="s">
        <v>2240</v>
      </c>
    </row>
    <row r="2227">
      <c r="A2227" s="4" t="s">
        <v>2247</v>
      </c>
      <c r="B2227" s="5" t="str">
        <f>IFERROR(__xludf.DUMMYFUNCTION("IF(A2227="""","""",INDEX(SPLIT(A2227,"" ""),COUNTA(SPLIT(A2227,"" ""))))"),"Barbianello")</f>
        <v>Barbianello</v>
      </c>
      <c r="C2227" s="6"/>
      <c r="D2227" s="6" t="s">
        <v>2239</v>
      </c>
      <c r="E2227" s="12" t="s">
        <v>2240</v>
      </c>
    </row>
    <row r="2228">
      <c r="A2228" s="4" t="s">
        <v>2248</v>
      </c>
      <c r="B2228" s="5" t="str">
        <f>IFERROR(__xludf.DUMMYFUNCTION("IF(A2228="""","""",INDEX(SPLIT(A2228,"" ""),COUNTA(SPLIT(A2228,"" ""))))"),"Bascapè")</f>
        <v>Bascapè</v>
      </c>
      <c r="C2228" s="6"/>
      <c r="D2228" s="6" t="s">
        <v>2239</v>
      </c>
      <c r="E2228" s="12" t="s">
        <v>2240</v>
      </c>
    </row>
    <row r="2229">
      <c r="A2229" s="4" t="s">
        <v>2249</v>
      </c>
      <c r="B2229" s="5" t="str">
        <f>IFERROR(__xludf.DUMMYFUNCTION("IF(A2229="""","""",INDEX(SPLIT(A2229,"" ""),COUNTA(SPLIT(A2229,"" ""))))"),"Pancarana")</f>
        <v>Pancarana</v>
      </c>
      <c r="C2229" s="6"/>
      <c r="D2229" s="6" t="s">
        <v>2239</v>
      </c>
      <c r="E2229" s="12" t="s">
        <v>2240</v>
      </c>
    </row>
    <row r="2230">
      <c r="A2230" s="4" t="s">
        <v>2250</v>
      </c>
      <c r="B2230" s="5" t="str">
        <f>IFERROR(__xludf.DUMMYFUNCTION("IF(A2230="""","""",INDEX(SPLIT(A2230,"" ""),COUNTA(SPLIT(A2230,"" ""))))"),"Battuda")</f>
        <v>Battuda</v>
      </c>
      <c r="C2230" s="6"/>
      <c r="D2230" s="6" t="s">
        <v>2239</v>
      </c>
      <c r="E2230" s="12" t="s">
        <v>2240</v>
      </c>
    </row>
    <row r="2231">
      <c r="A2231" s="4" t="s">
        <v>2251</v>
      </c>
      <c r="B2231" s="5" t="str">
        <f>IFERROR(__xludf.DUMMYFUNCTION("IF(A2231="""","""",INDEX(SPLIT(A2231,"" ""),COUNTA(SPLIT(A2231,"" ""))))"),"Belgioioso")</f>
        <v>Belgioioso</v>
      </c>
      <c r="C2231" s="6"/>
      <c r="D2231" s="6" t="s">
        <v>2239</v>
      </c>
      <c r="E2231" s="12" t="s">
        <v>2240</v>
      </c>
    </row>
    <row r="2232">
      <c r="A2232" s="4" t="s">
        <v>2252</v>
      </c>
      <c r="B2232" s="5" t="str">
        <f>IFERROR(__xludf.DUMMYFUNCTION("IF(A2232="""","""",INDEX(SPLIT(A2232,"" ""),COUNTA(SPLIT(A2232,"" ""))))"),"Bereguardo")</f>
        <v>Bereguardo</v>
      </c>
      <c r="C2232" s="6"/>
      <c r="D2232" s="6" t="s">
        <v>2239</v>
      </c>
      <c r="E2232" s="12" t="s">
        <v>2240</v>
      </c>
    </row>
    <row r="2233">
      <c r="A2233" s="4" t="s">
        <v>2253</v>
      </c>
      <c r="B2233" s="5" t="str">
        <f>IFERROR(__xludf.DUMMYFUNCTION("IF(A2233="""","""",INDEX(SPLIT(A2233,"" ""),COUNTA(SPLIT(A2233,"" ""))))"),"Borgarello")</f>
        <v>Borgarello</v>
      </c>
      <c r="C2233" s="6"/>
      <c r="D2233" s="6" t="s">
        <v>2239</v>
      </c>
      <c r="E2233" s="12" t="s">
        <v>2240</v>
      </c>
    </row>
    <row r="2234">
      <c r="A2234" s="4" t="s">
        <v>2254</v>
      </c>
      <c r="B2234" s="5" t="str">
        <f>IFERROR(__xludf.DUMMYFUNCTION("IF(A2234="""","""",INDEX(SPLIT(A2234,"" ""),COUNTA(SPLIT(A2234,"" ""))))"),"Priolo")</f>
        <v>Priolo</v>
      </c>
      <c r="C2234" s="6"/>
      <c r="D2234" s="6" t="s">
        <v>2239</v>
      </c>
      <c r="E2234" s="12" t="s">
        <v>2240</v>
      </c>
    </row>
    <row r="2235">
      <c r="A2235" s="4" t="s">
        <v>2255</v>
      </c>
      <c r="B2235" s="5" t="str">
        <f>IFERROR(__xludf.DUMMYFUNCTION("IF(A2235="""","""",INDEX(SPLIT(A2235,"" ""),COUNTA(SPLIT(A2235,"" ""))))"),"Mormorolo")</f>
        <v>Mormorolo</v>
      </c>
      <c r="C2235" s="6"/>
      <c r="D2235" s="6" t="s">
        <v>2239</v>
      </c>
      <c r="E2235" s="12" t="s">
        <v>2240</v>
      </c>
    </row>
    <row r="2236">
      <c r="A2236" s="4" t="s">
        <v>2256</v>
      </c>
      <c r="B2236" s="5" t="str">
        <f>IFERROR(__xludf.DUMMYFUNCTION("IF(A2236="""","""",INDEX(SPLIT(A2236,"" ""),COUNTA(SPLIT(A2236,"" ""))))"),"Siro")</f>
        <v>Siro</v>
      </c>
      <c r="C2236" s="6"/>
      <c r="D2236" s="6" t="s">
        <v>2239</v>
      </c>
      <c r="E2236" s="12" t="s">
        <v>2240</v>
      </c>
    </row>
    <row r="2237">
      <c r="A2237" s="4" t="s">
        <v>2257</v>
      </c>
      <c r="B2237" s="5" t="str">
        <f>IFERROR(__xludf.DUMMYFUNCTION("IF(A2237="""","""",INDEX(SPLIT(A2237,"" ""),COUNTA(SPLIT(A2237,"" ""))))"),"Bornasco")</f>
        <v>Bornasco</v>
      </c>
      <c r="C2237" s="6"/>
      <c r="D2237" s="6" t="s">
        <v>2239</v>
      </c>
      <c r="E2237" s="12" t="s">
        <v>2240</v>
      </c>
    </row>
    <row r="2238">
      <c r="A2238" s="4" t="s">
        <v>2258</v>
      </c>
      <c r="B2238" s="5" t="str">
        <f>IFERROR(__xludf.DUMMYFUNCTION("IF(A2238="""","""",INDEX(SPLIT(A2238,"" ""),COUNTA(SPLIT(A2238,"" ""))))"),"Bosnasco")</f>
        <v>Bosnasco</v>
      </c>
      <c r="C2238" s="6"/>
      <c r="D2238" s="6" t="s">
        <v>2239</v>
      </c>
      <c r="E2238" s="12" t="s">
        <v>2240</v>
      </c>
    </row>
    <row r="2239">
      <c r="A2239" s="4" t="s">
        <v>2259</v>
      </c>
      <c r="B2239" s="5" t="str">
        <f>IFERROR(__xludf.DUMMYFUNCTION("IF(A2239="""","""",INDEX(SPLIT(A2239,"" ""),COUNTA(SPLIT(A2239,"" ""))))"),"Pregola")</f>
        <v>Pregola</v>
      </c>
      <c r="C2239" s="6"/>
      <c r="D2239" s="6" t="s">
        <v>2239</v>
      </c>
      <c r="E2239" s="12" t="s">
        <v>2240</v>
      </c>
    </row>
    <row r="2240">
      <c r="A2240" s="4" t="s">
        <v>2260</v>
      </c>
      <c r="B2240" s="5" t="str">
        <f>IFERROR(__xludf.DUMMYFUNCTION("IF(A2240="""","""",INDEX(SPLIT(A2240,"" ""),COUNTA(SPLIT(A2240,"" ""))))"),"Breme")</f>
        <v>Breme</v>
      </c>
      <c r="C2240" s="6"/>
      <c r="D2240" s="6" t="s">
        <v>2239</v>
      </c>
      <c r="E2240" s="12" t="s">
        <v>2240</v>
      </c>
    </row>
    <row r="2241">
      <c r="A2241" s="4" t="s">
        <v>2261</v>
      </c>
      <c r="B2241" s="5" t="str">
        <f>IFERROR(__xludf.DUMMYFUNCTION("IF(A2241="""","""",INDEX(SPLIT(A2241,"" ""),COUNTA(SPLIT(A2241,"" ""))))"),"Bottarone")</f>
        <v>Bottarone</v>
      </c>
      <c r="C2241" s="6"/>
      <c r="D2241" s="6" t="s">
        <v>2239</v>
      </c>
      <c r="E2241" s="12" t="s">
        <v>2240</v>
      </c>
    </row>
    <row r="2242">
      <c r="A2242" s="4" t="s">
        <v>2262</v>
      </c>
      <c r="B2242" s="5" t="str">
        <f>IFERROR(__xludf.DUMMYFUNCTION("IF(A2242="""","""",INDEX(SPLIT(A2242,"" ""),COUNTA(SPLIT(A2242,"" ""))))"),"Broni")</f>
        <v>Broni</v>
      </c>
      <c r="C2242" s="6"/>
      <c r="D2242" s="6" t="s">
        <v>2239</v>
      </c>
      <c r="E2242" s="12" t="s">
        <v>2240</v>
      </c>
    </row>
    <row r="2243">
      <c r="A2243" s="4" t="s">
        <v>2263</v>
      </c>
      <c r="B2243" s="5" t="str">
        <f>IFERROR(__xludf.DUMMYFUNCTION("IF(A2243="""","""",INDEX(SPLIT(A2243,"" ""),COUNTA(SPLIT(A2243,"" ""))))"),"Calvignano")</f>
        <v>Calvignano</v>
      </c>
      <c r="C2243" s="6"/>
      <c r="D2243" s="6" t="s">
        <v>2239</v>
      </c>
      <c r="E2243" s="12" t="s">
        <v>2240</v>
      </c>
    </row>
    <row r="2244">
      <c r="A2244" s="4" t="s">
        <v>2264</v>
      </c>
      <c r="B2244" s="5" t="str">
        <f>IFERROR(__xludf.DUMMYFUNCTION("IF(A2244="""","""",INDEX(SPLIT(A2244,"" ""),COUNTA(SPLIT(A2244,"" ""))))"),"Campospinoso")</f>
        <v>Campospinoso</v>
      </c>
      <c r="C2244" s="6"/>
      <c r="D2244" s="6" t="s">
        <v>2239</v>
      </c>
      <c r="E2244" s="12" t="s">
        <v>2240</v>
      </c>
    </row>
    <row r="2245">
      <c r="A2245" s="4" t="s">
        <v>2265</v>
      </c>
      <c r="B2245" s="5" t="str">
        <f>IFERROR(__xludf.DUMMYFUNCTION("IF(A2245="""","""",INDEX(SPLIT(A2245,"" ""),COUNTA(SPLIT(A2245,"" ""))))"),"Lomellina")</f>
        <v>Lomellina</v>
      </c>
      <c r="C2245" s="6"/>
      <c r="D2245" s="6" t="s">
        <v>2239</v>
      </c>
      <c r="E2245" s="12" t="s">
        <v>2240</v>
      </c>
    </row>
    <row r="2246">
      <c r="A2246" s="4" t="s">
        <v>2266</v>
      </c>
      <c r="B2246" s="5" t="str">
        <f>IFERROR(__xludf.DUMMYFUNCTION("IF(A2246="""","""",INDEX(SPLIT(A2246,"" ""),COUNTA(SPLIT(A2246,"" ""))))"),"Canevino")</f>
        <v>Canevino</v>
      </c>
      <c r="C2246" s="6"/>
      <c r="D2246" s="6" t="s">
        <v>2239</v>
      </c>
      <c r="E2246" s="12" t="s">
        <v>2240</v>
      </c>
    </row>
    <row r="2247">
      <c r="A2247" s="4" t="s">
        <v>2267</v>
      </c>
      <c r="B2247" s="5" t="str">
        <f>IFERROR(__xludf.DUMMYFUNCTION("IF(A2247="""","""",INDEX(SPLIT(A2247,"" ""),COUNTA(SPLIT(A2247,"" ""))))"),"Pavese")</f>
        <v>Pavese</v>
      </c>
      <c r="C2247" s="6"/>
      <c r="D2247" s="6" t="s">
        <v>2239</v>
      </c>
      <c r="E2247" s="12" t="s">
        <v>2240</v>
      </c>
    </row>
    <row r="2248">
      <c r="A2248" s="4" t="s">
        <v>2268</v>
      </c>
      <c r="B2248" s="5" t="str">
        <f>IFERROR(__xludf.DUMMYFUNCTION("IF(A2248="""","""",INDEX(SPLIT(A2248,"" ""),COUNTA(SPLIT(A2248,"" ""))))"),"Ticino")</f>
        <v>Ticino</v>
      </c>
      <c r="C2248" s="6"/>
      <c r="D2248" s="6" t="s">
        <v>2239</v>
      </c>
      <c r="E2248" s="12" t="s">
        <v>2240</v>
      </c>
    </row>
    <row r="2249">
      <c r="A2249" s="4" t="s">
        <v>2269</v>
      </c>
      <c r="B2249" s="5" t="str">
        <f>IFERROR(__xludf.DUMMYFUNCTION("IF(A2249="""","""",INDEX(SPLIT(A2249,"" ""),COUNTA(SPLIT(A2249,"" ""))))"),"Lonati")</f>
        <v>Lonati</v>
      </c>
      <c r="C2249" s="6"/>
      <c r="D2249" s="6" t="s">
        <v>2239</v>
      </c>
      <c r="E2249" s="12" t="s">
        <v>2240</v>
      </c>
    </row>
    <row r="2250">
      <c r="A2250" s="4" t="s">
        <v>2270</v>
      </c>
      <c r="B2250" s="5" t="str">
        <f>IFERROR(__xludf.DUMMYFUNCTION("IF(A2250="""","""",INDEX(SPLIT(A2250,"" ""),COUNTA(SPLIT(A2250,"" ""))))"),"Casatisma")</f>
        <v>Casatisma</v>
      </c>
      <c r="C2250" s="6"/>
      <c r="D2250" s="6" t="s">
        <v>2239</v>
      </c>
      <c r="E2250" s="12" t="s">
        <v>2240</v>
      </c>
    </row>
    <row r="2251">
      <c r="A2251" s="4" t="s">
        <v>2271</v>
      </c>
      <c r="B2251" s="5" t="str">
        <f>IFERROR(__xludf.DUMMYFUNCTION("IF(A2251="""","""",INDEX(SPLIT(A2251,"" ""),COUNTA(SPLIT(A2251,"" ""))))"),"Gerola")</f>
        <v>Gerola</v>
      </c>
      <c r="C2251" s="6"/>
      <c r="D2251" s="6" t="s">
        <v>2239</v>
      </c>
      <c r="E2251" s="12" t="s">
        <v>2240</v>
      </c>
    </row>
    <row r="2252">
      <c r="A2252" s="4" t="s">
        <v>2272</v>
      </c>
      <c r="B2252" s="5" t="str">
        <f>IFERROR(__xludf.DUMMYFUNCTION("IF(A2252="""","""",INDEX(SPLIT(A2252,"" ""),COUNTA(SPLIT(A2252,"" ""))))"),"Primo")</f>
        <v>Primo</v>
      </c>
      <c r="C2252" s="6"/>
      <c r="D2252" s="6" t="s">
        <v>2239</v>
      </c>
      <c r="E2252" s="12" t="s">
        <v>2240</v>
      </c>
    </row>
    <row r="2253">
      <c r="A2253" s="4" t="s">
        <v>2273</v>
      </c>
      <c r="B2253" s="5" t="str">
        <f>IFERROR(__xludf.DUMMYFUNCTION("IF(A2253="""","""",INDEX(SPLIT(A2253,"" ""),COUNTA(SPLIT(A2253,"" ""))))"),"Cassolnovo")</f>
        <v>Cassolnovo</v>
      </c>
      <c r="C2253" s="6"/>
      <c r="D2253" s="6" t="s">
        <v>2239</v>
      </c>
      <c r="E2253" s="12" t="s">
        <v>2240</v>
      </c>
    </row>
    <row r="2254">
      <c r="A2254" s="4" t="s">
        <v>2274</v>
      </c>
      <c r="B2254" s="5" t="str">
        <f>IFERROR(__xludf.DUMMYFUNCTION("IF(A2254="""","""",INDEX(SPLIT(A2254,"" ""),COUNTA(SPLIT(A2254,"" ""))))"),"Castana")</f>
        <v>Castana</v>
      </c>
      <c r="C2254" s="6"/>
      <c r="D2254" s="6" t="s">
        <v>2239</v>
      </c>
      <c r="E2254" s="12" t="s">
        <v>2240</v>
      </c>
    </row>
    <row r="2255">
      <c r="A2255" s="4" t="s">
        <v>2275</v>
      </c>
      <c r="B2255" s="5" t="str">
        <f>IFERROR(__xludf.DUMMYFUNCTION("IF(A2255="""","""",INDEX(SPLIT(A2255,"" ""),COUNTA(SPLIT(A2255,"" ""))))"),"Casteggio")</f>
        <v>Casteggio</v>
      </c>
      <c r="C2255" s="6"/>
      <c r="D2255" s="6" t="s">
        <v>2239</v>
      </c>
      <c r="E2255" s="12" t="s">
        <v>2240</v>
      </c>
    </row>
    <row r="2256">
      <c r="A2256" s="4" t="s">
        <v>2276</v>
      </c>
      <c r="B2256" s="5" t="str">
        <f>IFERROR(__xludf.DUMMYFUNCTION("IF(A2256="""","""",INDEX(SPLIT(A2256,"" ""),COUNTA(SPLIT(A2256,"" ""))))"),"Branduzzo")</f>
        <v>Branduzzo</v>
      </c>
      <c r="C2256" s="6"/>
      <c r="D2256" s="6" t="s">
        <v>2239</v>
      </c>
      <c r="E2256" s="12" t="s">
        <v>2240</v>
      </c>
    </row>
    <row r="2257">
      <c r="A2257" s="4" t="s">
        <v>2277</v>
      </c>
      <c r="B2257" s="5" t="str">
        <f>IFERROR(__xludf.DUMMYFUNCTION("IF(A2257="""","""",INDEX(SPLIT(A2257,"" ""),COUNTA(SPLIT(A2257,"" ""))))"),"d'Agogna")</f>
        <v>d'Agogna</v>
      </c>
      <c r="C2257" s="6"/>
      <c r="D2257" s="6" t="s">
        <v>2239</v>
      </c>
      <c r="E2257" s="12" t="s">
        <v>2240</v>
      </c>
    </row>
    <row r="2258">
      <c r="A2258" s="4" t="s">
        <v>2278</v>
      </c>
      <c r="B2258" s="5" t="str">
        <f>IFERROR(__xludf.DUMMYFUNCTION("IF(A2258="""","""",INDEX(SPLIT(A2258,"" ""),COUNTA(SPLIT(A2258,"" ""))))"),"Castelnovetto")</f>
        <v>Castelnovetto</v>
      </c>
      <c r="C2258" s="6"/>
      <c r="D2258" s="6" t="s">
        <v>2239</v>
      </c>
      <c r="E2258" s="12" t="s">
        <v>2240</v>
      </c>
    </row>
    <row r="2259">
      <c r="A2259" s="4" t="s">
        <v>2279</v>
      </c>
      <c r="B2259" s="5" t="str">
        <f>IFERROR(__xludf.DUMMYFUNCTION("IF(A2259="""","""",INDEX(SPLIT(A2259,"" ""),COUNTA(SPLIT(A2259,"" ""))))"),"Manara")</f>
        <v>Manara</v>
      </c>
      <c r="C2259" s="6"/>
      <c r="D2259" s="6" t="s">
        <v>2239</v>
      </c>
      <c r="E2259" s="12" t="s">
        <v>2240</v>
      </c>
    </row>
    <row r="2260">
      <c r="A2260" s="4" t="s">
        <v>2280</v>
      </c>
      <c r="B2260" s="5" t="str">
        <f>IFERROR(__xludf.DUMMYFUNCTION("IF(A2260="""","""",INDEX(SPLIT(A2260,"" ""),COUNTA(SPLIT(A2260,"" ""))))"),"Cecima")</f>
        <v>Cecima</v>
      </c>
      <c r="C2260" s="6"/>
      <c r="D2260" s="6" t="s">
        <v>2239</v>
      </c>
      <c r="E2260" s="12" t="s">
        <v>2240</v>
      </c>
    </row>
    <row r="2261">
      <c r="A2261" s="4" t="s">
        <v>2281</v>
      </c>
      <c r="B2261" s="5" t="str">
        <f>IFERROR(__xludf.DUMMYFUNCTION("IF(A2261="""","""",INDEX(SPLIT(A2261,"" ""),COUNTA(SPLIT(A2261,"" ""))))"),"Ceranova")</f>
        <v>Ceranova</v>
      </c>
      <c r="C2261" s="6"/>
      <c r="D2261" s="6" t="s">
        <v>2239</v>
      </c>
      <c r="E2261" s="12" t="s">
        <v>2240</v>
      </c>
    </row>
    <row r="2262">
      <c r="A2262" s="4" t="s">
        <v>2282</v>
      </c>
      <c r="B2262" s="5" t="str">
        <f>IFERROR(__xludf.DUMMYFUNCTION("IF(A2262="""","""",INDEX(SPLIT(A2262,"" ""),COUNTA(SPLIT(A2262,"" ""))))"),"Lomellina")</f>
        <v>Lomellina</v>
      </c>
      <c r="C2262" s="6"/>
      <c r="D2262" s="6" t="s">
        <v>2239</v>
      </c>
      <c r="E2262" s="12" t="s">
        <v>2240</v>
      </c>
    </row>
    <row r="2263">
      <c r="A2263" s="4" t="s">
        <v>2283</v>
      </c>
      <c r="B2263" s="5" t="str">
        <f>IFERROR(__xludf.DUMMYFUNCTION("IF(A2263="""","""",INDEX(SPLIT(A2263,"" ""),COUNTA(SPLIT(A2263,"" ""))))"),"Cergnago")</f>
        <v>Cergnago</v>
      </c>
      <c r="C2263" s="6"/>
      <c r="D2263" s="6" t="s">
        <v>2239</v>
      </c>
      <c r="E2263" s="12" t="s">
        <v>2240</v>
      </c>
    </row>
    <row r="2264">
      <c r="A2264" s="4" t="s">
        <v>2284</v>
      </c>
      <c r="B2264" s="5" t="str">
        <f>IFERROR(__xludf.DUMMYFUNCTION("IF(A2264="""","""",INDEX(SPLIT(A2264,"" ""),COUNTA(SPLIT(A2264,"" ""))))"),"Pavia")</f>
        <v>Pavia</v>
      </c>
      <c r="C2264" s="6"/>
      <c r="D2264" s="6" t="s">
        <v>2239</v>
      </c>
      <c r="E2264" s="12" t="s">
        <v>2240</v>
      </c>
    </row>
    <row r="2265">
      <c r="A2265" s="4" t="s">
        <v>2285</v>
      </c>
      <c r="B2265" s="5" t="str">
        <f>IFERROR(__xludf.DUMMYFUNCTION("IF(A2265="""","""",INDEX(SPLIT(A2265,"" ""),COUNTA(SPLIT(A2265,"" ""))))"),"Cervesina")</f>
        <v>Cervesina</v>
      </c>
      <c r="C2265" s="6"/>
      <c r="D2265" s="6" t="s">
        <v>2239</v>
      </c>
      <c r="E2265" s="12" t="s">
        <v>2240</v>
      </c>
    </row>
    <row r="2266">
      <c r="A2266" s="4" t="s">
        <v>2286</v>
      </c>
      <c r="B2266" s="5" t="str">
        <f>IFERROR(__xludf.DUMMYFUNCTION("IF(A2266="""","""",INDEX(SPLIT(A2266,"" ""),COUNTA(SPLIT(A2266,"" ""))))"),"Po")</f>
        <v>Po</v>
      </c>
      <c r="C2266" s="6"/>
      <c r="D2266" s="6" t="s">
        <v>2239</v>
      </c>
      <c r="E2266" s="12" t="s">
        <v>2240</v>
      </c>
    </row>
    <row r="2267">
      <c r="A2267" s="4" t="s">
        <v>2287</v>
      </c>
      <c r="B2267" s="5" t="str">
        <f>IFERROR(__xludf.DUMMYFUNCTION("IF(A2267="""","""",INDEX(SPLIT(A2267,"" ""),COUNTA(SPLIT(A2267,"" ""))))"),"Cigognola")</f>
        <v>Cigognola</v>
      </c>
      <c r="C2267" s="6"/>
      <c r="D2267" s="6" t="s">
        <v>2239</v>
      </c>
      <c r="E2267" s="12" t="s">
        <v>2240</v>
      </c>
    </row>
    <row r="2268">
      <c r="A2268" s="4" t="s">
        <v>2288</v>
      </c>
      <c r="B2268" s="5" t="str">
        <f>IFERROR(__xludf.DUMMYFUNCTION("IF(A2268="""","""",INDEX(SPLIT(A2268,"" ""),COUNTA(SPLIT(A2268,"" ""))))"),"Cilavegna")</f>
        <v>Cilavegna</v>
      </c>
      <c r="C2268" s="6"/>
      <c r="D2268" s="6" t="s">
        <v>2239</v>
      </c>
      <c r="E2268" s="12" t="s">
        <v>2240</v>
      </c>
    </row>
    <row r="2269">
      <c r="A2269" s="4" t="s">
        <v>2289</v>
      </c>
      <c r="B2269" s="5" t="str">
        <f>IFERROR(__xludf.DUMMYFUNCTION("IF(A2269="""","""",INDEX(SPLIT(A2269,"" ""),COUNTA(SPLIT(A2269,"" ""))))"),"Codevilla")</f>
        <v>Codevilla</v>
      </c>
      <c r="C2269" s="6"/>
      <c r="D2269" s="6" t="s">
        <v>2239</v>
      </c>
      <c r="E2269" s="12" t="s">
        <v>2240</v>
      </c>
    </row>
    <row r="2270">
      <c r="A2270" s="4" t="s">
        <v>2290</v>
      </c>
      <c r="B2270" s="5" t="str">
        <f>IFERROR(__xludf.DUMMYFUNCTION("IF(A2270="""","""",INDEX(SPLIT(A2270,"" ""),COUNTA(SPLIT(A2270,"" ""))))"),"Confienza")</f>
        <v>Confienza</v>
      </c>
      <c r="C2270" s="6"/>
      <c r="D2270" s="6" t="s">
        <v>2239</v>
      </c>
      <c r="E2270" s="12" t="s">
        <v>2240</v>
      </c>
    </row>
    <row r="2271">
      <c r="A2271" s="4" t="s">
        <v>2291</v>
      </c>
      <c r="B2271" s="5" t="str">
        <f>IFERROR(__xludf.DUMMYFUNCTION("IF(A2271="""","""",INDEX(SPLIT(A2271,"" ""),COUNTA(SPLIT(A2271,"" ""))))"),"Copiano")</f>
        <v>Copiano</v>
      </c>
      <c r="C2271" s="6"/>
      <c r="D2271" s="6" t="s">
        <v>2239</v>
      </c>
      <c r="E2271" s="12" t="s">
        <v>2240</v>
      </c>
    </row>
    <row r="2272">
      <c r="A2272" s="4" t="s">
        <v>2292</v>
      </c>
      <c r="B2272" s="5" t="str">
        <f>IFERROR(__xludf.DUMMYFUNCTION("IF(A2272="""","""",INDEX(SPLIT(A2272,"" ""),COUNTA(SPLIT(A2272,"" ""))))"),"Corana")</f>
        <v>Corana</v>
      </c>
      <c r="C2272" s="6"/>
      <c r="D2272" s="6" t="s">
        <v>2239</v>
      </c>
      <c r="E2272" s="12" t="s">
        <v>2240</v>
      </c>
    </row>
    <row r="2273">
      <c r="A2273" s="4" t="s">
        <v>2293</v>
      </c>
      <c r="B2273" s="5" t="str">
        <f>IFERROR(__xludf.DUMMYFUNCTION("IF(A2273="""","""",INDEX(SPLIT(A2273,"" ""),COUNTA(SPLIT(A2273,"" ""))))"),"Quirico")</f>
        <v>Quirico</v>
      </c>
      <c r="C2273" s="6"/>
      <c r="D2273" s="6" t="s">
        <v>2239</v>
      </c>
      <c r="E2273" s="12" t="s">
        <v>2240</v>
      </c>
    </row>
    <row r="2274">
      <c r="A2274" s="4" t="s">
        <v>2294</v>
      </c>
      <c r="B2274" s="5" t="str">
        <f>IFERROR(__xludf.DUMMYFUNCTION("IF(A2274="""","""",INDEX(SPLIT(A2274,"" ""),COUNTA(SPLIT(A2274,"" ""))))"),"Nobili")</f>
        <v>Nobili</v>
      </c>
      <c r="C2274" s="6"/>
      <c r="D2274" s="6" t="s">
        <v>2239</v>
      </c>
      <c r="E2274" s="12" t="s">
        <v>2240</v>
      </c>
    </row>
    <row r="2275">
      <c r="A2275" s="4" t="s">
        <v>2295</v>
      </c>
      <c r="B2275" s="5" t="str">
        <f>IFERROR(__xludf.DUMMYFUNCTION("IF(A2275="""","""",INDEX(SPLIT(A2275,"" ""),COUNTA(SPLIT(A2275,"" ""))))"),"Cozzo")</f>
        <v>Cozzo</v>
      </c>
      <c r="C2275" s="6"/>
      <c r="D2275" s="6" t="s">
        <v>2239</v>
      </c>
      <c r="E2275" s="12" t="s">
        <v>2240</v>
      </c>
    </row>
    <row r="2276">
      <c r="A2276" s="4" t="s">
        <v>2296</v>
      </c>
      <c r="B2276" s="5" t="str">
        <f>IFERROR(__xludf.DUMMYFUNCTION("IF(A2276="""","""",INDEX(SPLIT(A2276,"" ""),COUNTA(SPLIT(A2276,"" ""))))"),"Carpignano")</f>
        <v>Carpignano</v>
      </c>
      <c r="C2276" s="6"/>
      <c r="D2276" s="6" t="s">
        <v>2239</v>
      </c>
      <c r="E2276" s="12" t="s">
        <v>2240</v>
      </c>
    </row>
    <row r="2277">
      <c r="A2277" s="4" t="s">
        <v>2297</v>
      </c>
      <c r="B2277" s="5" t="str">
        <f>IFERROR(__xludf.DUMMYFUNCTION("IF(A2277="""","""",INDEX(SPLIT(A2277,"" ""),COUNTA(SPLIT(A2277,"" ""))))"),"Dorno")</f>
        <v>Dorno</v>
      </c>
      <c r="C2277" s="6"/>
      <c r="D2277" s="6" t="s">
        <v>2239</v>
      </c>
      <c r="E2277" s="12" t="s">
        <v>2240</v>
      </c>
    </row>
    <row r="2278">
      <c r="A2278" s="4" t="s">
        <v>2298</v>
      </c>
      <c r="B2278" s="5" t="str">
        <f>IFERROR(__xludf.DUMMYFUNCTION("IF(A2278="""","""",INDEX(SPLIT(A2278,"" ""),COUNTA(SPLIT(A2278,"" ""))))"),"Erbognone")</f>
        <v>Erbognone</v>
      </c>
      <c r="C2278" s="6"/>
      <c r="D2278" s="6" t="s">
        <v>2239</v>
      </c>
      <c r="E2278" s="12" t="s">
        <v>2240</v>
      </c>
    </row>
    <row r="2279">
      <c r="A2279" s="4" t="s">
        <v>2299</v>
      </c>
      <c r="B2279" s="5" t="str">
        <f>IFERROR(__xludf.DUMMYFUNCTION("IF(A2279="""","""",INDEX(SPLIT(A2279,"" ""),COUNTA(SPLIT(A2279,"" ""))))"),"Filighera")</f>
        <v>Filighera</v>
      </c>
      <c r="C2279" s="6"/>
      <c r="D2279" s="6" t="s">
        <v>2239</v>
      </c>
      <c r="E2279" s="12" t="s">
        <v>2240</v>
      </c>
    </row>
    <row r="2280">
      <c r="A2280" s="4" t="s">
        <v>2300</v>
      </c>
      <c r="B2280" s="5" t="str">
        <f>IFERROR(__xludf.DUMMYFUNCTION("IF(A2280="""","""",INDEX(SPLIT(A2280,"" ""),COUNTA(SPLIT(A2280,"" ""))))"),"Fortunago")</f>
        <v>Fortunago</v>
      </c>
      <c r="C2280" s="6"/>
      <c r="D2280" s="6" t="s">
        <v>2239</v>
      </c>
      <c r="E2280" s="12" t="s">
        <v>2240</v>
      </c>
    </row>
    <row r="2281">
      <c r="A2281" s="4" t="s">
        <v>2301</v>
      </c>
      <c r="B2281" s="5" t="str">
        <f>IFERROR(__xludf.DUMMYFUNCTION("IF(A2281="""","""",INDEX(SPLIT(A2281,"" ""),COUNTA(SPLIT(A2281,"" ""))))"),"Frascarolo")</f>
        <v>Frascarolo</v>
      </c>
      <c r="C2281" s="6"/>
      <c r="D2281" s="6" t="s">
        <v>2239</v>
      </c>
      <c r="E2281" s="12" t="s">
        <v>2240</v>
      </c>
    </row>
    <row r="2282">
      <c r="A2282" s="4" t="s">
        <v>2302</v>
      </c>
      <c r="B2282" s="5" t="str">
        <f>IFERROR(__xludf.DUMMYFUNCTION("IF(A2282="""","""",INDEX(SPLIT(A2282,"" ""),COUNTA(SPLIT(A2282,"" ""))))"),"Galliavola")</f>
        <v>Galliavola</v>
      </c>
      <c r="C2282" s="6"/>
      <c r="D2282" s="6" t="s">
        <v>2239</v>
      </c>
      <c r="E2282" s="12" t="s">
        <v>2240</v>
      </c>
    </row>
    <row r="2283">
      <c r="A2283" s="4" t="s">
        <v>2303</v>
      </c>
      <c r="B2283" s="5" t="str">
        <f>IFERROR(__xludf.DUMMYFUNCTION("IF(A2283="""","""",INDEX(SPLIT(A2283,"" ""),COUNTA(SPLIT(A2283,"" ""))))"),"Gambarana")</f>
        <v>Gambarana</v>
      </c>
      <c r="C2283" s="6"/>
      <c r="D2283" s="6" t="s">
        <v>2239</v>
      </c>
      <c r="E2283" s="12" t="s">
        <v>2240</v>
      </c>
    </row>
    <row r="2284">
      <c r="A2284" s="4" t="s">
        <v>2304</v>
      </c>
      <c r="B2284" s="5" t="str">
        <f>IFERROR(__xludf.DUMMYFUNCTION("IF(A2284="""","""",INDEX(SPLIT(A2284,"" ""),COUNTA(SPLIT(A2284,"" ""))))"),"Gambolò")</f>
        <v>Gambolò</v>
      </c>
      <c r="C2284" s="6"/>
      <c r="D2284" s="6" t="s">
        <v>2239</v>
      </c>
      <c r="E2284" s="12" t="s">
        <v>2240</v>
      </c>
    </row>
    <row r="2285">
      <c r="A2285" s="4" t="s">
        <v>2305</v>
      </c>
      <c r="B2285" s="5" t="str">
        <f>IFERROR(__xludf.DUMMYFUNCTION("IF(A2285="""","""",INDEX(SPLIT(A2285,"" ""),COUNTA(SPLIT(A2285,"" ""))))"),"Garlasco")</f>
        <v>Garlasco</v>
      </c>
      <c r="C2285" s="6"/>
      <c r="D2285" s="6" t="s">
        <v>2239</v>
      </c>
      <c r="E2285" s="12" t="s">
        <v>2240</v>
      </c>
    </row>
    <row r="2286">
      <c r="A2286" s="4" t="s">
        <v>2306</v>
      </c>
      <c r="B2286" s="5" t="str">
        <f>IFERROR(__xludf.DUMMYFUNCTION("IF(A2286="""","""",INDEX(SPLIT(A2286,"" ""),COUNTA(SPLIT(A2286,"" ""))))"),"Gerenzago")</f>
        <v>Gerenzago</v>
      </c>
      <c r="C2286" s="6"/>
      <c r="D2286" s="6" t="s">
        <v>2239</v>
      </c>
      <c r="E2286" s="12" t="s">
        <v>2240</v>
      </c>
    </row>
    <row r="2287">
      <c r="A2287" s="4" t="s">
        <v>2307</v>
      </c>
      <c r="B2287" s="5" t="str">
        <f>IFERROR(__xludf.DUMMYFUNCTION("IF(A2287="""","""",INDEX(SPLIT(A2287,"" ""),COUNTA(SPLIT(A2287,"" ""))))"),"Giussago")</f>
        <v>Giussago</v>
      </c>
      <c r="C2287" s="6"/>
      <c r="D2287" s="6" t="s">
        <v>2239</v>
      </c>
      <c r="E2287" s="12" t="s">
        <v>2240</v>
      </c>
    </row>
    <row r="2288">
      <c r="A2288" s="4" t="s">
        <v>2308</v>
      </c>
      <c r="B2288" s="5" t="str">
        <f>IFERROR(__xludf.DUMMYFUNCTION("IF(A2288="""","""",INDEX(SPLIT(A2288,"" ""),COUNTA(SPLIT(A2288,"" ""))))"),"Terme")</f>
        <v>Terme</v>
      </c>
      <c r="C2288" s="6"/>
      <c r="D2288" s="6" t="s">
        <v>2239</v>
      </c>
      <c r="E2288" s="12" t="s">
        <v>2240</v>
      </c>
    </row>
    <row r="2289">
      <c r="A2289" s="4" t="s">
        <v>2309</v>
      </c>
      <c r="B2289" s="5" t="str">
        <f>IFERROR(__xludf.DUMMYFUNCTION("IF(A2289="""","""",INDEX(SPLIT(A2289,"" ""),COUNTA(SPLIT(A2289,"" ""))))"),"Golferenzo")</f>
        <v>Golferenzo</v>
      </c>
      <c r="C2289" s="6"/>
      <c r="D2289" s="6" t="s">
        <v>2239</v>
      </c>
      <c r="E2289" s="12" t="s">
        <v>2240</v>
      </c>
    </row>
    <row r="2290">
      <c r="A2290" s="4" t="s">
        <v>2310</v>
      </c>
      <c r="B2290" s="5" t="str">
        <f>IFERROR(__xludf.DUMMYFUNCTION("IF(A2290="""","""",INDEX(SPLIT(A2290,"" ""),COUNTA(SPLIT(A2290,"" ""))))"),"Lomellina")</f>
        <v>Lomellina</v>
      </c>
      <c r="C2290" s="6"/>
      <c r="D2290" s="6" t="s">
        <v>2239</v>
      </c>
      <c r="E2290" s="12" t="s">
        <v>2240</v>
      </c>
    </row>
    <row r="2291">
      <c r="A2291" s="4" t="s">
        <v>2311</v>
      </c>
      <c r="B2291" s="5" t="str">
        <f>IFERROR(__xludf.DUMMYFUNCTION("IF(A2291="""","""",INDEX(SPLIT(A2291,"" ""),COUNTA(SPLIT(A2291,"" ""))))"),"Cairoli")</f>
        <v>Cairoli</v>
      </c>
      <c r="C2291" s="6"/>
      <c r="D2291" s="6" t="s">
        <v>2239</v>
      </c>
      <c r="E2291" s="12" t="s">
        <v>2240</v>
      </c>
    </row>
    <row r="2292">
      <c r="A2292" s="4" t="s">
        <v>2312</v>
      </c>
      <c r="B2292" s="5" t="str">
        <f>IFERROR(__xludf.DUMMYFUNCTION("IF(A2292="""","""",INDEX(SPLIT(A2292,"" ""),COUNTA(SPLIT(A2292,"" ""))))"),"Monteleone")</f>
        <v>Monteleone</v>
      </c>
      <c r="C2292" s="6"/>
      <c r="D2292" s="6" t="s">
        <v>2239</v>
      </c>
      <c r="E2292" s="12" t="s">
        <v>2240</v>
      </c>
    </row>
    <row r="2293">
      <c r="A2293" s="4" t="s">
        <v>2313</v>
      </c>
      <c r="B2293" s="5" t="str">
        <f>IFERROR(__xludf.DUMMYFUNCTION("IF(A2293="""","""",INDEX(SPLIT(A2293,"" ""),COUNTA(SPLIT(A2293,"" ""))))"),"Landriano")</f>
        <v>Landriano</v>
      </c>
      <c r="C2293" s="6"/>
      <c r="D2293" s="6" t="s">
        <v>2239</v>
      </c>
      <c r="E2293" s="12" t="s">
        <v>2240</v>
      </c>
    </row>
    <row r="2294">
      <c r="A2294" s="4" t="s">
        <v>2314</v>
      </c>
      <c r="B2294" s="5" t="str">
        <f>IFERROR(__xludf.DUMMYFUNCTION("IF(A2294="""","""",INDEX(SPLIT(A2294,"" ""),COUNTA(SPLIT(A2294,"" ""))))"),"Langosco")</f>
        <v>Langosco</v>
      </c>
      <c r="C2294" s="6"/>
      <c r="D2294" s="6" t="s">
        <v>2239</v>
      </c>
      <c r="E2294" s="12" t="s">
        <v>2240</v>
      </c>
    </row>
    <row r="2295">
      <c r="A2295" s="4" t="s">
        <v>2315</v>
      </c>
      <c r="B2295" s="5" t="str">
        <f>IFERROR(__xludf.DUMMYFUNCTION("IF(A2295="""","""",INDEX(SPLIT(A2295,"" ""),COUNTA(SPLIT(A2295,"" ""))))"),"Lardirago")</f>
        <v>Lardirago</v>
      </c>
      <c r="C2295" s="6"/>
      <c r="D2295" s="6" t="s">
        <v>2239</v>
      </c>
      <c r="E2295" s="12" t="s">
        <v>2240</v>
      </c>
    </row>
    <row r="2296">
      <c r="A2296" s="4" t="s">
        <v>2316</v>
      </c>
      <c r="B2296" s="5" t="str">
        <f>IFERROR(__xludf.DUMMYFUNCTION("IF(A2296="""","""",INDEX(SPLIT(A2296,"" ""),COUNTA(SPLIT(A2296,"" ""))))"),"Linarolo")</f>
        <v>Linarolo</v>
      </c>
      <c r="C2296" s="6"/>
      <c r="D2296" s="6" t="s">
        <v>2239</v>
      </c>
      <c r="E2296" s="12" t="s">
        <v>2240</v>
      </c>
    </row>
    <row r="2297">
      <c r="A2297" s="4" t="s">
        <v>2317</v>
      </c>
      <c r="B2297" s="5" t="str">
        <f>IFERROR(__xludf.DUMMYFUNCTION("IF(A2297="""","""",INDEX(SPLIT(A2297,"" ""),COUNTA(SPLIT(A2297,"" ""))))"),"Lirio")</f>
        <v>Lirio</v>
      </c>
      <c r="C2297" s="6"/>
      <c r="D2297" s="6" t="s">
        <v>2239</v>
      </c>
      <c r="E2297" s="12" t="s">
        <v>2240</v>
      </c>
    </row>
    <row r="2298">
      <c r="A2298" s="4" t="s">
        <v>2318</v>
      </c>
      <c r="B2298" s="5" t="str">
        <f>IFERROR(__xludf.DUMMYFUNCTION("IF(A2298="""","""",INDEX(SPLIT(A2298,"" ""),COUNTA(SPLIT(A2298,"" ""))))"),"Lomello")</f>
        <v>Lomello</v>
      </c>
      <c r="C2298" s="6"/>
      <c r="D2298" s="6" t="s">
        <v>2239</v>
      </c>
      <c r="E2298" s="12" t="s">
        <v>2240</v>
      </c>
    </row>
    <row r="2299">
      <c r="A2299" s="4" t="s">
        <v>2319</v>
      </c>
      <c r="B2299" s="5" t="str">
        <f>IFERROR(__xludf.DUMMYFUNCTION("IF(A2299="""","""",INDEX(SPLIT(A2299,"" ""),COUNTA(SPLIT(A2299,"" ""))))"),"Lungavilla")</f>
        <v>Lungavilla</v>
      </c>
      <c r="C2299" s="6"/>
      <c r="D2299" s="6" t="s">
        <v>2239</v>
      </c>
      <c r="E2299" s="12" t="s">
        <v>2240</v>
      </c>
    </row>
    <row r="2300">
      <c r="A2300" s="4" t="s">
        <v>2320</v>
      </c>
      <c r="B2300" s="5" t="str">
        <f>IFERROR(__xludf.DUMMYFUNCTION("IF(A2300="""","""",INDEX(SPLIT(A2300,"" ""),COUNTA(SPLIT(A2300,"" ""))))"),"Magherno")</f>
        <v>Magherno</v>
      </c>
      <c r="C2300" s="6"/>
      <c r="D2300" s="6" t="s">
        <v>2239</v>
      </c>
      <c r="E2300" s="12" t="s">
        <v>2240</v>
      </c>
    </row>
    <row r="2301">
      <c r="A2301" s="4" t="s">
        <v>2321</v>
      </c>
      <c r="B2301" s="5" t="str">
        <f>IFERROR(__xludf.DUMMYFUNCTION("IF(A2301="""","""",INDEX(SPLIT(A2301,"" ""),COUNTA(SPLIT(A2301,"" ""))))"),"Marcignago")</f>
        <v>Marcignago</v>
      </c>
      <c r="C2301" s="6"/>
      <c r="D2301" s="6" t="s">
        <v>2239</v>
      </c>
      <c r="E2301" s="12" t="s">
        <v>2240</v>
      </c>
    </row>
    <row r="2302">
      <c r="A2302" s="4" t="s">
        <v>2322</v>
      </c>
      <c r="B2302" s="5" t="str">
        <f>IFERROR(__xludf.DUMMYFUNCTION("IF(A2302="""","""",INDEX(SPLIT(A2302,"" ""),COUNTA(SPLIT(A2302,"" ""))))"),"Marzano")</f>
        <v>Marzano</v>
      </c>
      <c r="C2302" s="6"/>
      <c r="D2302" s="6" t="s">
        <v>2239</v>
      </c>
      <c r="E2302" s="12" t="s">
        <v>2240</v>
      </c>
    </row>
    <row r="2303">
      <c r="A2303" s="4" t="s">
        <v>2323</v>
      </c>
      <c r="B2303" s="5" t="str">
        <f>IFERROR(__xludf.DUMMYFUNCTION("IF(A2303="""","""",INDEX(SPLIT(A2303,"" ""),COUNTA(SPLIT(A2303,"" ""))))"),"Mede")</f>
        <v>Mede</v>
      </c>
      <c r="C2303" s="6"/>
      <c r="D2303" s="6" t="s">
        <v>2239</v>
      </c>
      <c r="E2303" s="12" t="s">
        <v>2240</v>
      </c>
    </row>
    <row r="2304">
      <c r="A2304" s="4" t="s">
        <v>2324</v>
      </c>
      <c r="B2304" s="5" t="str">
        <f>IFERROR(__xludf.DUMMYFUNCTION("IF(A2304="""","""",INDEX(SPLIT(A2304,"" ""),COUNTA(SPLIT(A2304,"" ""))))"),"Menconico")</f>
        <v>Menconico</v>
      </c>
      <c r="C2304" s="6"/>
      <c r="D2304" s="6" t="s">
        <v>2239</v>
      </c>
      <c r="E2304" s="12" t="s">
        <v>2240</v>
      </c>
    </row>
    <row r="2305">
      <c r="A2305" s="4" t="s">
        <v>2325</v>
      </c>
      <c r="B2305" s="5" t="str">
        <f>IFERROR(__xludf.DUMMYFUNCTION("IF(A2305="""","""",INDEX(SPLIT(A2305,"" ""),COUNTA(SPLIT(A2305,"" ""))))"),"Bigli")</f>
        <v>Bigli</v>
      </c>
      <c r="C2305" s="6"/>
      <c r="D2305" s="6" t="s">
        <v>2239</v>
      </c>
      <c r="E2305" s="12" t="s">
        <v>2240</v>
      </c>
    </row>
    <row r="2306">
      <c r="A2306" s="4" t="s">
        <v>2326</v>
      </c>
      <c r="B2306" s="5" t="str">
        <f>IFERROR(__xludf.DUMMYFUNCTION("IF(A2306="""","""",INDEX(SPLIT(A2306,"" ""),COUNTA(SPLIT(A2306,"" ""))))"),"Rabattone")</f>
        <v>Rabattone</v>
      </c>
      <c r="C2306" s="6"/>
      <c r="D2306" s="6" t="s">
        <v>2239</v>
      </c>
      <c r="E2306" s="12" t="s">
        <v>2240</v>
      </c>
    </row>
    <row r="2307">
      <c r="A2307" s="4" t="s">
        <v>2327</v>
      </c>
      <c r="B2307" s="5" t="str">
        <f>IFERROR(__xludf.DUMMYFUNCTION("IF(A2307="""","""",INDEX(SPLIT(A2307,"" ""),COUNTA(SPLIT(A2307,"" ""))))"),"Mezzanino")</f>
        <v>Mezzanino</v>
      </c>
      <c r="C2307" s="6"/>
      <c r="D2307" s="6" t="s">
        <v>2239</v>
      </c>
      <c r="E2307" s="12" t="s">
        <v>2240</v>
      </c>
    </row>
    <row r="2308">
      <c r="A2308" s="4" t="s">
        <v>2328</v>
      </c>
      <c r="B2308" s="5" t="str">
        <f>IFERROR(__xludf.DUMMYFUNCTION("IF(A2308="""","""",INDEX(SPLIT(A2308,"" ""),COUNTA(SPLIT(A2308,"" ""))))"),"Terme")</f>
        <v>Terme</v>
      </c>
      <c r="C2308" s="6"/>
      <c r="D2308" s="6" t="s">
        <v>2239</v>
      </c>
      <c r="E2308" s="12" t="s">
        <v>2240</v>
      </c>
    </row>
    <row r="2309">
      <c r="A2309" s="4" t="s">
        <v>2329</v>
      </c>
      <c r="B2309" s="5" t="str">
        <f>IFERROR(__xludf.DUMMYFUNCTION("IF(A2309="""","""",INDEX(SPLIT(A2309,"" ""),COUNTA(SPLIT(A2309,"" ""))))"),"Pavese")</f>
        <v>Pavese</v>
      </c>
      <c r="C2309" s="6"/>
      <c r="D2309" s="6" t="s">
        <v>2239</v>
      </c>
      <c r="E2309" s="12" t="s">
        <v>2240</v>
      </c>
    </row>
    <row r="2310">
      <c r="A2310" s="4" t="s">
        <v>2330</v>
      </c>
      <c r="B2310" s="5" t="str">
        <f>IFERROR(__xludf.DUMMYFUNCTION("IF(A2310="""","""",INDEX(SPLIT(A2310,"" ""),COUNTA(SPLIT(A2310,"" ""))))"),"Battaglia")</f>
        <v>Battaglia</v>
      </c>
      <c r="C2310" s="6"/>
      <c r="D2310" s="6" t="s">
        <v>2239</v>
      </c>
      <c r="E2310" s="12" t="s">
        <v>2240</v>
      </c>
    </row>
    <row r="2311">
      <c r="A2311" s="4" t="s">
        <v>2331</v>
      </c>
      <c r="B2311" s="5" t="str">
        <f>IFERROR(__xludf.DUMMYFUNCTION("IF(A2311="""","""",INDEX(SPLIT(A2311,"" ""),COUNTA(SPLIT(A2311,"" ""))))"),"Versiggia")</f>
        <v>Versiggia</v>
      </c>
      <c r="C2311" s="6"/>
      <c r="D2311" s="6" t="s">
        <v>2239</v>
      </c>
      <c r="E2311" s="12" t="s">
        <v>2240</v>
      </c>
    </row>
    <row r="2312">
      <c r="A2312" s="4" t="s">
        <v>2332</v>
      </c>
      <c r="B2312" s="5" t="str">
        <f>IFERROR(__xludf.DUMMYFUNCTION("IF(A2312="""","""",INDEX(SPLIT(A2312,"" ""),COUNTA(SPLIT(A2312,"" ""))))"),"Montescano")</f>
        <v>Montescano</v>
      </c>
      <c r="C2312" s="6"/>
      <c r="D2312" s="6" t="s">
        <v>2239</v>
      </c>
      <c r="E2312" s="12" t="s">
        <v>2240</v>
      </c>
    </row>
    <row r="2313">
      <c r="A2313" s="4" t="s">
        <v>2333</v>
      </c>
      <c r="B2313" s="5" t="str">
        <f>IFERROR(__xludf.DUMMYFUNCTION("IF(A2313="""","""",INDEX(SPLIT(A2313,"" ""),COUNTA(SPLIT(A2313,"" ""))))"),"Montesegale")</f>
        <v>Montesegale</v>
      </c>
      <c r="C2313" s="6"/>
      <c r="D2313" s="6" t="s">
        <v>2239</v>
      </c>
      <c r="E2313" s="12" t="s">
        <v>2240</v>
      </c>
    </row>
    <row r="2314">
      <c r="A2314" s="4" t="s">
        <v>2334</v>
      </c>
      <c r="B2314" s="5" t="str">
        <f>IFERROR(__xludf.DUMMYFUNCTION("IF(A2314="""","""",INDEX(SPLIT(A2314,"" ""),COUNTA(SPLIT(A2314,"" ""))))"),"Pavese")</f>
        <v>Pavese</v>
      </c>
      <c r="C2314" s="6"/>
      <c r="D2314" s="6" t="s">
        <v>2239</v>
      </c>
      <c r="E2314" s="12" t="s">
        <v>2240</v>
      </c>
    </row>
    <row r="2315">
      <c r="A2315" s="4" t="s">
        <v>2335</v>
      </c>
      <c r="B2315" s="5" t="str">
        <f>IFERROR(__xludf.DUMMYFUNCTION("IF(A2315="""","""",INDEX(SPLIT(A2315,"" ""),COUNTA(SPLIT(A2315,"" ""))))"),"Beccaria")</f>
        <v>Beccaria</v>
      </c>
      <c r="C2315" s="6"/>
      <c r="D2315" s="6" t="s">
        <v>2239</v>
      </c>
      <c r="E2315" s="12" t="s">
        <v>2240</v>
      </c>
    </row>
    <row r="2316">
      <c r="A2316" s="4" t="s">
        <v>2336</v>
      </c>
      <c r="B2316" s="5" t="str">
        <f>IFERROR(__xludf.DUMMYFUNCTION("IF(A2316="""","""",INDEX(SPLIT(A2316,"" ""),COUNTA(SPLIT(A2316,"" ""))))"),"Losana")</f>
        <v>Losana</v>
      </c>
      <c r="C2316" s="6"/>
      <c r="D2316" s="6" t="s">
        <v>2239</v>
      </c>
      <c r="E2316" s="12" t="s">
        <v>2240</v>
      </c>
    </row>
    <row r="2317">
      <c r="A2317" s="4" t="s">
        <v>2337</v>
      </c>
      <c r="B2317" s="5" t="str">
        <f>IFERROR(__xludf.DUMMYFUNCTION("IF(A2317="""","""",INDEX(SPLIT(A2317,"" ""),COUNTA(SPLIT(A2317,"" ""))))"),"Mortara")</f>
        <v>Mortara</v>
      </c>
      <c r="C2317" s="6"/>
      <c r="D2317" s="6" t="s">
        <v>2239</v>
      </c>
      <c r="E2317" s="12" t="s">
        <v>2240</v>
      </c>
    </row>
    <row r="2318">
      <c r="A2318" s="4" t="s">
        <v>2338</v>
      </c>
      <c r="B2318" s="5" t="str">
        <f>IFERROR(__xludf.DUMMYFUNCTION("IF(A2318="""","""",INDEX(SPLIT(A2318,"" ""),COUNTA(SPLIT(A2318,"" ""))))"),"Nicorvo")</f>
        <v>Nicorvo</v>
      </c>
      <c r="C2318" s="6"/>
      <c r="D2318" s="6" t="s">
        <v>2239</v>
      </c>
      <c r="E2318" s="12" t="s">
        <v>2240</v>
      </c>
    </row>
    <row r="2319">
      <c r="A2319" s="4" t="s">
        <v>2339</v>
      </c>
      <c r="B2319" s="5" t="str">
        <f>IFERROR(__xludf.DUMMYFUNCTION("IF(A2319="""","""",INDEX(SPLIT(A2319,"" ""),COUNTA(SPLIT(A2319,"" ""))))"),"Lomellina")</f>
        <v>Lomellina</v>
      </c>
      <c r="C2319" s="6"/>
      <c r="D2319" s="6" t="s">
        <v>2239</v>
      </c>
      <c r="E2319" s="12" t="s">
        <v>2240</v>
      </c>
    </row>
    <row r="2320">
      <c r="A2320" s="4" t="s">
        <v>2340</v>
      </c>
      <c r="B2320" s="5" t="str">
        <f>IFERROR(__xludf.DUMMYFUNCTION("IF(A2320="""","""",INDEX(SPLIT(A2320,"" ""),COUNTA(SPLIT(A2320,"" ""))))"),"Gessi")</f>
        <v>Gessi</v>
      </c>
      <c r="C2320" s="6"/>
      <c r="D2320" s="6" t="s">
        <v>2239</v>
      </c>
      <c r="E2320" s="12" t="s">
        <v>2240</v>
      </c>
    </row>
    <row r="2321">
      <c r="A2321" s="4" t="s">
        <v>2341</v>
      </c>
      <c r="B2321" s="5" t="str">
        <f>IFERROR(__xludf.DUMMYFUNCTION("IF(A2321="""","""",INDEX(SPLIT(A2321,"" ""),COUNTA(SPLIT(A2321,"" ""))))"),"Ottobiano")</f>
        <v>Ottobiano</v>
      </c>
      <c r="C2321" s="6"/>
      <c r="D2321" s="6" t="s">
        <v>2239</v>
      </c>
      <c r="E2321" s="12" t="s">
        <v>2240</v>
      </c>
    </row>
    <row r="2322">
      <c r="A2322" s="4" t="s">
        <v>2342</v>
      </c>
      <c r="B2322" s="5" t="str">
        <f>IFERROR(__xludf.DUMMYFUNCTION("IF(A2322="""","""",INDEX(SPLIT(A2322,"" ""),COUNTA(SPLIT(A2322,"" ""))))"),"Palestro")</f>
        <v>Palestro</v>
      </c>
      <c r="C2322" s="6"/>
      <c r="D2322" s="6" t="s">
        <v>2239</v>
      </c>
      <c r="E2322" s="12" t="s">
        <v>2240</v>
      </c>
    </row>
    <row r="2323">
      <c r="A2323" s="4" t="s">
        <v>2343</v>
      </c>
      <c r="B2323" s="5" t="str">
        <f>IFERROR(__xludf.DUMMYFUNCTION("IF(A2323="""","""",INDEX(SPLIT(A2323,"" ""),COUNTA(SPLIT(A2323,"" ""))))"),"Pancarana")</f>
        <v>Pancarana</v>
      </c>
      <c r="C2323" s="6"/>
      <c r="D2323" s="6" t="s">
        <v>2239</v>
      </c>
      <c r="E2323" s="12" t="s">
        <v>2240</v>
      </c>
    </row>
    <row r="2324">
      <c r="A2324" s="4" t="s">
        <v>2344</v>
      </c>
      <c r="B2324" s="5" t="str">
        <f>IFERROR(__xludf.DUMMYFUNCTION("IF(A2324="""","""",INDEX(SPLIT(A2324,"" ""),COUNTA(SPLIT(A2324,"" ""))))"),"Parona")</f>
        <v>Parona</v>
      </c>
      <c r="C2324" s="6"/>
      <c r="D2324" s="6" t="s">
        <v>2239</v>
      </c>
      <c r="E2324" s="12" t="s">
        <v>2240</v>
      </c>
    </row>
    <row r="2325">
      <c r="A2325" s="4" t="s">
        <v>2239</v>
      </c>
      <c r="B2325" s="5" t="str">
        <f>IFERROR(__xludf.DUMMYFUNCTION("IF(A2325="""","""",INDEX(SPLIT(A2325,"" ""),COUNTA(SPLIT(A2325,"" ""))))"),"Pavia")</f>
        <v>Pavia</v>
      </c>
      <c r="C2325" s="6"/>
      <c r="D2325" s="6" t="s">
        <v>2239</v>
      </c>
      <c r="E2325" s="12" t="s">
        <v>2240</v>
      </c>
    </row>
    <row r="2326">
      <c r="A2326" s="4" t="s">
        <v>2345</v>
      </c>
      <c r="B2326" s="5" t="str">
        <f>IFERROR(__xludf.DUMMYFUNCTION("IF(A2326="""","""",INDEX(SPLIT(A2326,"" ""),COUNTA(SPLIT(A2326,"" ""))))"),"Giorgi")</f>
        <v>Giorgi</v>
      </c>
      <c r="C2326" s="6"/>
      <c r="D2326" s="6" t="s">
        <v>2239</v>
      </c>
      <c r="E2326" s="12" t="s">
        <v>2240</v>
      </c>
    </row>
    <row r="2327">
      <c r="A2327" s="4" t="s">
        <v>2346</v>
      </c>
      <c r="B2327" s="5" t="str">
        <f>IFERROR(__xludf.DUMMYFUNCTION("IF(A2327="""","""",INDEX(SPLIT(A2327,"" ""),COUNTA(SPLIT(A2327,"" ""))))"),"Albignola")</f>
        <v>Albignola</v>
      </c>
      <c r="C2327" s="6"/>
      <c r="D2327" s="6" t="s">
        <v>2239</v>
      </c>
      <c r="E2327" s="12" t="s">
        <v>2240</v>
      </c>
    </row>
    <row r="2328">
      <c r="A2328" s="4" t="s">
        <v>2347</v>
      </c>
      <c r="B2328" s="5" t="str">
        <f>IFERROR(__xludf.DUMMYFUNCTION("IF(A2328="""","""",INDEX(SPLIT(A2328,"" ""),COUNTA(SPLIT(A2328,"" ""))))"),"Cairo")</f>
        <v>Cairo</v>
      </c>
      <c r="C2328" s="6"/>
      <c r="D2328" s="6" t="s">
        <v>2239</v>
      </c>
      <c r="E2328" s="12" t="s">
        <v>2240</v>
      </c>
    </row>
    <row r="2329">
      <c r="A2329" s="4" t="s">
        <v>2348</v>
      </c>
      <c r="B2329" s="5" t="str">
        <f>IFERROR(__xludf.DUMMYFUNCTION("IF(A2329="""","""",INDEX(SPLIT(A2329,"" ""),COUNTA(SPLIT(A2329,"" ""))))"),"Morone")</f>
        <v>Morone</v>
      </c>
      <c r="C2329" s="6"/>
      <c r="D2329" s="6" t="s">
        <v>2239</v>
      </c>
      <c r="E2329" s="12" t="s">
        <v>2240</v>
      </c>
    </row>
    <row r="2330">
      <c r="A2330" s="4" t="s">
        <v>2349</v>
      </c>
      <c r="B2330" s="5" t="str">
        <f>IFERROR(__xludf.DUMMYFUNCTION("IF(A2330="""","""",INDEX(SPLIT(A2330,"" ""),COUNTA(SPLIT(A2330,"" ""))))"),"Po")</f>
        <v>Po</v>
      </c>
      <c r="C2330" s="6"/>
      <c r="D2330" s="6" t="s">
        <v>2239</v>
      </c>
      <c r="E2330" s="12" t="s">
        <v>2240</v>
      </c>
    </row>
    <row r="2331">
      <c r="A2331" s="4" t="s">
        <v>2350</v>
      </c>
      <c r="B2331" s="5" t="str">
        <f>IFERROR(__xludf.DUMMYFUNCTION("IF(A2331="""","""",INDEX(SPLIT(A2331,"" ""),COUNTA(SPLIT(A2331,"" ""))))"),"Pizzale")</f>
        <v>Pizzale</v>
      </c>
      <c r="C2331" s="6"/>
      <c r="D2331" s="6" t="s">
        <v>2239</v>
      </c>
      <c r="E2331" s="12" t="s">
        <v>2240</v>
      </c>
    </row>
    <row r="2332">
      <c r="A2332" s="4" t="s">
        <v>2351</v>
      </c>
      <c r="B2332" s="5" t="str">
        <f>IFERROR(__xludf.DUMMYFUNCTION("IF(A2332="""","""",INDEX(SPLIT(A2332,"" ""),COUNTA(SPLIT(A2332,"" ""))))"),"Nizza")</f>
        <v>Nizza</v>
      </c>
      <c r="C2332" s="6"/>
      <c r="D2332" s="6" t="s">
        <v>2239</v>
      </c>
      <c r="E2332" s="12" t="s">
        <v>2240</v>
      </c>
    </row>
    <row r="2333">
      <c r="A2333" s="4" t="s">
        <v>2352</v>
      </c>
      <c r="B2333" s="5" t="str">
        <f>IFERROR(__xludf.DUMMYFUNCTION("IF(A2333="""","""",INDEX(SPLIT(A2333,"" ""),COUNTA(SPLIT(A2333,"" ""))))"),"Portalbera")</f>
        <v>Portalbera</v>
      </c>
      <c r="C2333" s="6"/>
      <c r="D2333" s="6" t="s">
        <v>2239</v>
      </c>
      <c r="E2333" s="12" t="s">
        <v>2240</v>
      </c>
    </row>
    <row r="2334">
      <c r="A2334" s="4" t="s">
        <v>2353</v>
      </c>
      <c r="B2334" s="5" t="str">
        <f>IFERROR(__xludf.DUMMYFUNCTION("IF(A2334="""","""",INDEX(SPLIT(A2334,"" ""),COUNTA(SPLIT(A2334,"" ""))))"),"Rea")</f>
        <v>Rea</v>
      </c>
      <c r="C2334" s="6"/>
      <c r="D2334" s="6" t="s">
        <v>2239</v>
      </c>
      <c r="E2334" s="12" t="s">
        <v>2240</v>
      </c>
    </row>
    <row r="2335">
      <c r="A2335" s="4" t="s">
        <v>2354</v>
      </c>
      <c r="B2335" s="5" t="str">
        <f>IFERROR(__xludf.DUMMYFUNCTION("IF(A2335="""","""",INDEX(SPLIT(A2335,"" ""),COUNTA(SPLIT(A2335,"" ""))))"),"Redavalle")</f>
        <v>Redavalle</v>
      </c>
      <c r="C2335" s="6"/>
      <c r="D2335" s="6" t="s">
        <v>2239</v>
      </c>
      <c r="E2335" s="12" t="s">
        <v>2240</v>
      </c>
    </row>
    <row r="2336">
      <c r="A2336" s="4" t="s">
        <v>2355</v>
      </c>
      <c r="B2336" s="5" t="str">
        <f>IFERROR(__xludf.DUMMYFUNCTION("IF(A2336="""","""",INDEX(SPLIT(A2336,"" ""),COUNTA(SPLIT(A2336,"" ""))))"),"Retorbido")</f>
        <v>Retorbido</v>
      </c>
      <c r="C2336" s="6"/>
      <c r="D2336" s="6" t="s">
        <v>2239</v>
      </c>
      <c r="E2336" s="12" t="s">
        <v>2240</v>
      </c>
    </row>
    <row r="2337">
      <c r="A2337" s="4" t="s">
        <v>2356</v>
      </c>
      <c r="B2337" s="5" t="str">
        <f>IFERROR(__xludf.DUMMYFUNCTION("IF(A2337="""","""",INDEX(SPLIT(A2337,"" ""),COUNTA(SPLIT(A2337,"" ""))))"),"Terme")</f>
        <v>Terme</v>
      </c>
      <c r="C2337" s="6"/>
      <c r="D2337" s="6" t="s">
        <v>2239</v>
      </c>
      <c r="E2337" s="12" t="s">
        <v>2240</v>
      </c>
    </row>
    <row r="2338">
      <c r="A2338" s="4" t="s">
        <v>2357</v>
      </c>
      <c r="B2338" s="5" t="str">
        <f>IFERROR(__xludf.DUMMYFUNCTION("IF(A2338="""","""",INDEX(SPLIT(A2338,"" ""),COUNTA(SPLIT(A2338,"" ""))))"),"Robbio")</f>
        <v>Robbio</v>
      </c>
      <c r="C2338" s="6"/>
      <c r="D2338" s="6" t="s">
        <v>2239</v>
      </c>
      <c r="E2338" s="12" t="s">
        <v>2240</v>
      </c>
    </row>
    <row r="2339">
      <c r="A2339" s="4" t="s">
        <v>2358</v>
      </c>
      <c r="B2339" s="5" t="str">
        <f>IFERROR(__xludf.DUMMYFUNCTION("IF(A2339="""","""",INDEX(SPLIT(A2339,"" ""),COUNTA(SPLIT(A2339,"" ""))))"),"Pavese")</f>
        <v>Pavese</v>
      </c>
      <c r="C2339" s="6"/>
      <c r="D2339" s="6" t="s">
        <v>2239</v>
      </c>
      <c r="E2339" s="12" t="s">
        <v>2240</v>
      </c>
    </row>
    <row r="2340">
      <c r="A2340" s="4" t="s">
        <v>2359</v>
      </c>
      <c r="B2340" s="5" t="str">
        <f>IFERROR(__xludf.DUMMYFUNCTION("IF(A2340="""","""",INDEX(SPLIT(A2340,"" ""),COUNTA(SPLIT(A2340,"" ""))))"),"Giorgi")</f>
        <v>Giorgi</v>
      </c>
      <c r="C2340" s="6"/>
      <c r="D2340" s="6" t="s">
        <v>2239</v>
      </c>
      <c r="E2340" s="12" t="s">
        <v>2240</v>
      </c>
    </row>
    <row r="2341">
      <c r="A2341" s="4" t="s">
        <v>2360</v>
      </c>
      <c r="B2341" s="5" t="str">
        <f>IFERROR(__xludf.DUMMYFUNCTION("IF(A2341="""","""",INDEX(SPLIT(A2341,"" ""),COUNTA(SPLIT(A2341,"" ""))))"),"Susella")</f>
        <v>Susella</v>
      </c>
      <c r="C2341" s="6"/>
      <c r="D2341" s="6" t="s">
        <v>2239</v>
      </c>
      <c r="E2341" s="12" t="s">
        <v>2240</v>
      </c>
    </row>
    <row r="2342">
      <c r="A2342" s="4" t="s">
        <v>2361</v>
      </c>
      <c r="B2342" s="5" t="str">
        <f>IFERROR(__xludf.DUMMYFUNCTION("IF(A2342="""","""",INDEX(SPLIT(A2342,"" ""),COUNTA(SPLIT(A2342,"" ""))))"),"Rognano")</f>
        <v>Rognano</v>
      </c>
      <c r="C2342" s="6"/>
      <c r="D2342" s="6" t="s">
        <v>2239</v>
      </c>
      <c r="E2342" s="12" t="s">
        <v>2240</v>
      </c>
    </row>
    <row r="2343">
      <c r="A2343" s="4" t="s">
        <v>2362</v>
      </c>
      <c r="B2343" s="5" t="str">
        <f>IFERROR(__xludf.DUMMYFUNCTION("IF(A2343="""","""",INDEX(SPLIT(A2343,"" ""),COUNTA(SPLIT(A2343,"" ""))))"),"Romagnese")</f>
        <v>Romagnese</v>
      </c>
      <c r="C2343" s="6"/>
      <c r="D2343" s="6" t="s">
        <v>2239</v>
      </c>
      <c r="E2343" s="12" t="s">
        <v>2240</v>
      </c>
    </row>
    <row r="2344">
      <c r="A2344" s="4" t="s">
        <v>2363</v>
      </c>
      <c r="B2344" s="5" t="str">
        <f>IFERROR(__xludf.DUMMYFUNCTION("IF(A2344="""","""",INDEX(SPLIT(A2344,"" ""),COUNTA(SPLIT(A2344,"" ""))))"),"Roncaro")</f>
        <v>Roncaro</v>
      </c>
      <c r="C2344" s="6"/>
      <c r="D2344" s="6" t="s">
        <v>2239</v>
      </c>
      <c r="E2344" s="12" t="s">
        <v>2240</v>
      </c>
    </row>
    <row r="2345">
      <c r="A2345" s="4" t="s">
        <v>2364</v>
      </c>
      <c r="B2345" s="5" t="str">
        <f>IFERROR(__xludf.DUMMYFUNCTION("IF(A2345="""","""",INDEX(SPLIT(A2345,"" ""),COUNTA(SPLIT(A2345,"" ""))))"),"Rosasco")</f>
        <v>Rosasco</v>
      </c>
      <c r="C2345" s="6"/>
      <c r="D2345" s="6" t="s">
        <v>2239</v>
      </c>
      <c r="E2345" s="12" t="s">
        <v>2240</v>
      </c>
    </row>
    <row r="2346">
      <c r="A2346" s="4" t="s">
        <v>2365</v>
      </c>
      <c r="B2346" s="5" t="str">
        <f>IFERROR(__xludf.DUMMYFUNCTION("IF(A2346="""","""",INDEX(SPLIT(A2346,"" ""),COUNTA(SPLIT(A2346,"" ""))))"),"Rovescala")</f>
        <v>Rovescala</v>
      </c>
      <c r="C2346" s="6"/>
      <c r="D2346" s="6" t="s">
        <v>2239</v>
      </c>
      <c r="E2346" s="12" t="s">
        <v>2240</v>
      </c>
    </row>
    <row r="2347">
      <c r="A2347" s="4" t="s">
        <v>2366</v>
      </c>
      <c r="B2347" s="5" t="str">
        <f>IFERROR(__xludf.DUMMYFUNCTION("IF(A2347="""","""",INDEX(SPLIT(A2347,"" ""),COUNTA(SPLIT(A2347,"" ""))))"),"Ruino")</f>
        <v>Ruino</v>
      </c>
      <c r="C2347" s="6"/>
      <c r="D2347" s="6" t="s">
        <v>2239</v>
      </c>
      <c r="E2347" s="12" t="s">
        <v>2240</v>
      </c>
    </row>
    <row r="2348">
      <c r="A2348" s="4" t="s">
        <v>2367</v>
      </c>
      <c r="B2348" s="5" t="str">
        <f>IFERROR(__xludf.DUMMYFUNCTION("IF(A2348="""","""",INDEX(SPLIT(A2348,"" ""),COUNTA(SPLIT(A2348,"" ""))))"),"Po")</f>
        <v>Po</v>
      </c>
      <c r="C2348" s="6"/>
      <c r="D2348" s="6" t="s">
        <v>2239</v>
      </c>
      <c r="E2348" s="12" t="s">
        <v>2240</v>
      </c>
    </row>
    <row r="2349">
      <c r="A2349" s="4" t="s">
        <v>2368</v>
      </c>
      <c r="B2349" s="5" t="str">
        <f>IFERROR(__xludf.DUMMYFUNCTION("IF(A2349="""","""",INDEX(SPLIT(A2349,"" ""),COUNTA(SPLIT(A2349,"" ""))))"),"Colle")</f>
        <v>Colle</v>
      </c>
      <c r="C2349" s="6"/>
      <c r="D2349" s="6" t="s">
        <v>2239</v>
      </c>
      <c r="E2349" s="12" t="s">
        <v>2240</v>
      </c>
    </row>
    <row r="2350">
      <c r="A2350" s="4" t="s">
        <v>2369</v>
      </c>
      <c r="B2350" s="5" t="str">
        <f>IFERROR(__xludf.DUMMYFUNCTION("IF(A2350="""","""",INDEX(SPLIT(A2350,"" ""),COUNTA(SPLIT(A2350,"" ""))))"),"Uniti")</f>
        <v>Uniti</v>
      </c>
      <c r="C2350" s="6"/>
      <c r="D2350" s="6" t="s">
        <v>2239</v>
      </c>
      <c r="E2350" s="12" t="s">
        <v>2240</v>
      </c>
    </row>
    <row r="2351">
      <c r="A2351" s="4" t="s">
        <v>2370</v>
      </c>
      <c r="B2351" s="5" t="str">
        <f>IFERROR(__xludf.DUMMYFUNCTION("IF(A2351="""","""",INDEX(SPLIT(A2351,"" ""),COUNTA(SPLIT(A2351,"" ""))))"),"Lomellina")</f>
        <v>Lomellina</v>
      </c>
      <c r="C2351" s="6"/>
      <c r="D2351" s="6" t="s">
        <v>2239</v>
      </c>
      <c r="E2351" s="12" t="s">
        <v>2240</v>
      </c>
    </row>
    <row r="2352">
      <c r="A2352" s="4" t="s">
        <v>2371</v>
      </c>
      <c r="B2352" s="5" t="str">
        <f>IFERROR(__xludf.DUMMYFUNCTION("IF(A2352="""","""",INDEX(SPLIT(A2352,"" ""),COUNTA(SPLIT(A2352,"" ""))))"),"Siccomario")</f>
        <v>Siccomario</v>
      </c>
      <c r="C2352" s="6"/>
      <c r="D2352" s="6" t="s">
        <v>2239</v>
      </c>
      <c r="E2352" s="12" t="s">
        <v>2240</v>
      </c>
    </row>
    <row r="2353">
      <c r="A2353" s="4" t="s">
        <v>2372</v>
      </c>
      <c r="B2353" s="5" t="str">
        <f>IFERROR(__xludf.DUMMYFUNCTION("IF(A2353="""","""",INDEX(SPLIT(A2353,"" ""),COUNTA(SPLIT(A2353,"" ""))))"),"Burgondi")</f>
        <v>Burgondi</v>
      </c>
      <c r="C2353" s="6"/>
      <c r="D2353" s="6" t="s">
        <v>2239</v>
      </c>
      <c r="E2353" s="12" t="s">
        <v>2240</v>
      </c>
    </row>
    <row r="2354">
      <c r="A2354" s="4" t="s">
        <v>2373</v>
      </c>
      <c r="B2354" s="5" t="str">
        <f>IFERROR(__xludf.DUMMYFUNCTION("IF(A2354="""","""",INDEX(SPLIT(A2354,"" ""),COUNTA(SPLIT(A2354,"" ""))))"),"Bissone")</f>
        <v>Bissone</v>
      </c>
      <c r="C2354" s="6"/>
      <c r="D2354" s="6" t="s">
        <v>2239</v>
      </c>
      <c r="E2354" s="12" t="s">
        <v>2240</v>
      </c>
    </row>
    <row r="2355">
      <c r="A2355" s="4" t="s">
        <v>2374</v>
      </c>
      <c r="B2355" s="5" t="str">
        <f>IFERROR(__xludf.DUMMYFUNCTION("IF(A2355="""","""",INDEX(SPLIT(A2355,"" ""),COUNTA(SPLIT(A2355,"" ""))))"),"Giuletta")</f>
        <v>Giuletta</v>
      </c>
      <c r="C2355" s="6"/>
      <c r="D2355" s="6" t="s">
        <v>2239</v>
      </c>
      <c r="E2355" s="12" t="s">
        <v>2240</v>
      </c>
    </row>
    <row r="2356">
      <c r="A2356" s="4" t="s">
        <v>2375</v>
      </c>
      <c r="B2356" s="5" t="str">
        <f>IFERROR(__xludf.DUMMYFUNCTION("IF(A2356="""","""",INDEX(SPLIT(A2356,"" ""),COUNTA(SPLIT(A2356,"" ""))))"),"Vialone")</f>
        <v>Vialone</v>
      </c>
      <c r="C2356" s="6"/>
      <c r="D2356" s="6" t="s">
        <v>2239</v>
      </c>
      <c r="E2356" s="12" t="s">
        <v>2240</v>
      </c>
    </row>
    <row r="2357">
      <c r="A2357" s="4" t="s">
        <v>2376</v>
      </c>
      <c r="B2357" s="5" t="str">
        <f>IFERROR(__xludf.DUMMYFUNCTION("IF(A2357="""","""",INDEX(SPLIT(A2357,"" ""),COUNTA(SPLIT(A2357,"" ""))))"),"Staffora")</f>
        <v>Staffora</v>
      </c>
      <c r="C2357" s="6"/>
      <c r="D2357" s="6" t="s">
        <v>2239</v>
      </c>
      <c r="E2357" s="12" t="s">
        <v>2240</v>
      </c>
    </row>
    <row r="2358">
      <c r="A2358" s="4" t="s">
        <v>2377</v>
      </c>
      <c r="B2358" s="5" t="str">
        <f>IFERROR(__xludf.DUMMYFUNCTION("IF(A2358="""","""",INDEX(SPLIT(A2358,"" ""),COUNTA(SPLIT(A2358,"" ""))))"),"Versa")</f>
        <v>Versa</v>
      </c>
      <c r="C2358" s="6"/>
      <c r="D2358" s="6" t="s">
        <v>2239</v>
      </c>
      <c r="E2358" s="12" t="s">
        <v>2240</v>
      </c>
    </row>
    <row r="2359">
      <c r="A2359" s="4" t="s">
        <v>2378</v>
      </c>
      <c r="B2359" s="5" t="str">
        <f>IFERROR(__xludf.DUMMYFUNCTION("IF(A2359="""","""",INDEX(SPLIT(A2359,"" ""),COUNTA(SPLIT(A2359,"" ""))))"),"Lomellina")</f>
        <v>Lomellina</v>
      </c>
      <c r="C2359" s="6"/>
      <c r="D2359" s="6" t="s">
        <v>2239</v>
      </c>
      <c r="E2359" s="12" t="s">
        <v>2240</v>
      </c>
    </row>
    <row r="2360">
      <c r="A2360" s="4" t="s">
        <v>2379</v>
      </c>
      <c r="B2360" s="5" t="str">
        <f>IFERROR(__xludf.DUMMYFUNCTION("IF(A2360="""","""",INDEX(SPLIT(A2360,"" ""),COUNTA(SPLIT(A2360,"" ""))))"),"Po")</f>
        <v>Po</v>
      </c>
      <c r="C2360" s="6"/>
      <c r="D2360" s="6" t="s">
        <v>2239</v>
      </c>
      <c r="E2360" s="12" t="s">
        <v>2240</v>
      </c>
    </row>
    <row r="2361">
      <c r="A2361" s="4" t="s">
        <v>2380</v>
      </c>
      <c r="B2361" s="5" t="str">
        <f>IFERROR(__xludf.DUMMYFUNCTION("IF(A2361="""","""",INDEX(SPLIT(A2361,"" ""),COUNTA(SPLIT(A2361,"" ""))))"),"Lomellina")</f>
        <v>Lomellina</v>
      </c>
      <c r="C2361" s="6"/>
      <c r="D2361" s="6" t="s">
        <v>2239</v>
      </c>
      <c r="E2361" s="12" t="s">
        <v>2240</v>
      </c>
    </row>
    <row r="2362">
      <c r="A2362" s="4" t="s">
        <v>2381</v>
      </c>
      <c r="B2362" s="5" t="str">
        <f>IFERROR(__xludf.DUMMYFUNCTION("IF(A2362="""","""",INDEX(SPLIT(A2362,"" ""),COUNTA(SPLIT(A2362,"" ""))))"),"Scaldasole")</f>
        <v>Scaldasole</v>
      </c>
      <c r="C2362" s="6"/>
      <c r="D2362" s="6" t="s">
        <v>2239</v>
      </c>
      <c r="E2362" s="12" t="s">
        <v>2240</v>
      </c>
    </row>
    <row r="2363">
      <c r="A2363" s="4" t="s">
        <v>2382</v>
      </c>
      <c r="B2363" s="5" t="str">
        <f>IFERROR(__xludf.DUMMYFUNCTION("IF(A2363="""","""",INDEX(SPLIT(A2363,"" ""),COUNTA(SPLIT(A2363,"" ""))))"),"Semiana")</f>
        <v>Semiana</v>
      </c>
      <c r="C2363" s="6"/>
      <c r="D2363" s="6" t="s">
        <v>2239</v>
      </c>
      <c r="E2363" s="12" t="s">
        <v>2240</v>
      </c>
    </row>
    <row r="2364">
      <c r="A2364" s="4" t="s">
        <v>2383</v>
      </c>
      <c r="B2364" s="5" t="str">
        <f>IFERROR(__xludf.DUMMYFUNCTION("IF(A2364="""","""",INDEX(SPLIT(A2364,"" ""),COUNTA(SPLIT(A2364,"" ""))))"),"Pietra")</f>
        <v>Pietra</v>
      </c>
      <c r="C2364" s="6"/>
      <c r="D2364" s="6" t="s">
        <v>2239</v>
      </c>
      <c r="E2364" s="12" t="s">
        <v>2240</v>
      </c>
    </row>
    <row r="2365">
      <c r="A2365" s="4" t="s">
        <v>2384</v>
      </c>
      <c r="B2365" s="5" t="str">
        <f>IFERROR(__xludf.DUMMYFUNCTION("IF(A2365="""","""",INDEX(SPLIT(A2365,"" ""),COUNTA(SPLIT(A2365,"" ""))))"),"Siziano")</f>
        <v>Siziano</v>
      </c>
      <c r="C2365" s="6"/>
      <c r="D2365" s="6" t="s">
        <v>2239</v>
      </c>
      <c r="E2365" s="12" t="s">
        <v>2240</v>
      </c>
    </row>
    <row r="2366">
      <c r="A2366" s="4" t="s">
        <v>2385</v>
      </c>
      <c r="B2366" s="5" t="str">
        <f>IFERROR(__xludf.DUMMYFUNCTION("IF(A2366="""","""",INDEX(SPLIT(A2366,"" ""),COUNTA(SPLIT(A2366,"" ""))))"),"Sommo")</f>
        <v>Sommo</v>
      </c>
      <c r="C2366" s="6"/>
      <c r="D2366" s="6" t="s">
        <v>2239</v>
      </c>
      <c r="E2366" s="12" t="s">
        <v>2240</v>
      </c>
    </row>
    <row r="2367">
      <c r="A2367" s="4" t="s">
        <v>2386</v>
      </c>
      <c r="B2367" s="5" t="str">
        <f>IFERROR(__xludf.DUMMYFUNCTION("IF(A2367="""","""",INDEX(SPLIT(A2367,"" ""),COUNTA(SPLIT(A2367,"" ""))))"),"Spessa")</f>
        <v>Spessa</v>
      </c>
      <c r="C2367" s="6"/>
      <c r="D2367" s="6" t="s">
        <v>2239</v>
      </c>
      <c r="E2367" s="12" t="s">
        <v>2240</v>
      </c>
    </row>
    <row r="2368">
      <c r="A2368" s="4" t="s">
        <v>2387</v>
      </c>
      <c r="B2368" s="5" t="str">
        <f>IFERROR(__xludf.DUMMYFUNCTION("IF(A2368="""","""",INDEX(SPLIT(A2368,"" ""),COUNTA(SPLIT(A2368,"" ""))))"),"Stradella")</f>
        <v>Stradella</v>
      </c>
      <c r="C2368" s="6"/>
      <c r="D2368" s="6" t="s">
        <v>2239</v>
      </c>
      <c r="E2368" s="12" t="s">
        <v>2240</v>
      </c>
    </row>
    <row r="2369">
      <c r="A2369" s="4" t="s">
        <v>2388</v>
      </c>
      <c r="B2369" s="5" t="str">
        <f>IFERROR(__xludf.DUMMYFUNCTION("IF(A2369="""","""",INDEX(SPLIT(A2369,"" ""),COUNTA(SPLIT(A2369,"" ""))))"),"Suardi")</f>
        <v>Suardi</v>
      </c>
      <c r="C2369" s="6"/>
      <c r="D2369" s="6" t="s">
        <v>2239</v>
      </c>
      <c r="E2369" s="12" t="s">
        <v>2240</v>
      </c>
    </row>
    <row r="2370">
      <c r="A2370" s="4" t="s">
        <v>2389</v>
      </c>
      <c r="B2370" s="5" t="str">
        <f>IFERROR(__xludf.DUMMYFUNCTION("IF(A2370="""","""",INDEX(SPLIT(A2370,"" ""),COUNTA(SPLIT(A2370,"" ""))))"),"Coste")</f>
        <v>Coste</v>
      </c>
      <c r="C2370" s="6"/>
      <c r="D2370" s="6" t="s">
        <v>2239</v>
      </c>
      <c r="E2370" s="12" t="s">
        <v>2240</v>
      </c>
    </row>
    <row r="2371">
      <c r="A2371" s="4" t="s">
        <v>2390</v>
      </c>
      <c r="B2371" s="5" t="str">
        <f>IFERROR(__xludf.DUMMYFUNCTION("IF(A2371="""","""",INDEX(SPLIT(A2371,"" ""),COUNTA(SPLIT(A2371,"" ""))))"),"Castellaro")</f>
        <v>Castellaro</v>
      </c>
      <c r="C2371" s="6"/>
      <c r="D2371" s="6" t="s">
        <v>2239</v>
      </c>
      <c r="E2371" s="12" t="s">
        <v>2240</v>
      </c>
    </row>
    <row r="2372">
      <c r="A2372" s="4" t="s">
        <v>2391</v>
      </c>
      <c r="B2372" s="5" t="str">
        <f>IFERROR(__xludf.DUMMYFUNCTION("IF(A2372="""","""",INDEX(SPLIT(A2372,"" ""),COUNTA(SPLIT(A2372,"" ""))))"),"d'Arese")</f>
        <v>d'Arese</v>
      </c>
      <c r="C2372" s="6"/>
      <c r="D2372" s="6" t="s">
        <v>2239</v>
      </c>
      <c r="E2372" s="12" t="s">
        <v>2240</v>
      </c>
    </row>
    <row r="2373">
      <c r="A2373" s="4" t="s">
        <v>2392</v>
      </c>
      <c r="B2373" s="5" t="str">
        <f>IFERROR(__xludf.DUMMYFUNCTION("IF(A2373="""","""",INDEX(SPLIT(A2373,"" ""),COUNTA(SPLIT(A2373,"" ""))))"),"Negri")</f>
        <v>Negri</v>
      </c>
      <c r="C2373" s="6"/>
      <c r="D2373" s="6" t="s">
        <v>2239</v>
      </c>
      <c r="E2373" s="12" t="s">
        <v>2240</v>
      </c>
    </row>
    <row r="2374">
      <c r="A2374" s="4" t="s">
        <v>2393</v>
      </c>
      <c r="B2374" s="5" t="str">
        <f>IFERROR(__xludf.DUMMYFUNCTION("IF(A2374="""","""",INDEX(SPLIT(A2374,"" ""),COUNTA(SPLIT(A2374,"" ""))))"),"d'Isola")</f>
        <v>d'Isola</v>
      </c>
      <c r="C2374" s="6"/>
      <c r="D2374" s="6" t="s">
        <v>2239</v>
      </c>
      <c r="E2374" s="12" t="s">
        <v>2240</v>
      </c>
    </row>
    <row r="2375">
      <c r="A2375" s="4" t="s">
        <v>2394</v>
      </c>
      <c r="B2375" s="5" t="str">
        <f>IFERROR(__xludf.DUMMYFUNCTION("IF(A2375="""","""",INDEX(SPLIT(A2375,"" ""),COUNTA(SPLIT(A2375,"" ""))))"),"Pia")</f>
        <v>Pia</v>
      </c>
      <c r="C2375" s="6"/>
      <c r="D2375" s="6" t="s">
        <v>2239</v>
      </c>
      <c r="E2375" s="12" t="s">
        <v>2240</v>
      </c>
    </row>
    <row r="2376">
      <c r="A2376" s="4" t="s">
        <v>2395</v>
      </c>
      <c r="B2376" s="5" t="str">
        <f>IFERROR(__xludf.DUMMYFUNCTION("IF(A2376="""","""",INDEX(SPLIT(A2376,"" ""),COUNTA(SPLIT(A2376,"" ""))))"),"Verzate")</f>
        <v>Verzate</v>
      </c>
      <c r="C2376" s="6"/>
      <c r="D2376" s="6" t="s">
        <v>2239</v>
      </c>
      <c r="E2376" s="12" t="s">
        <v>2240</v>
      </c>
    </row>
    <row r="2377">
      <c r="A2377" s="4" t="s">
        <v>2396</v>
      </c>
      <c r="B2377" s="5" t="str">
        <f>IFERROR(__xludf.DUMMYFUNCTION("IF(A2377="""","""",INDEX(SPLIT(A2377,"" ""),COUNTA(SPLIT(A2377,"" ""))))"),"Siccomario")</f>
        <v>Siccomario</v>
      </c>
      <c r="C2377" s="6"/>
      <c r="D2377" s="6" t="s">
        <v>2239</v>
      </c>
      <c r="E2377" s="12" t="s">
        <v>2240</v>
      </c>
    </row>
    <row r="2378">
      <c r="A2378" s="4" t="s">
        <v>2397</v>
      </c>
      <c r="B2378" s="5" t="str">
        <f>IFERROR(__xludf.DUMMYFUNCTION("IF(A2378="""","""",INDEX(SPLIT(A2378,"" ""),COUNTA(SPLIT(A2378,"" ""))))"),"Trivolzio")</f>
        <v>Trivolzio</v>
      </c>
      <c r="C2378" s="6"/>
      <c r="D2378" s="6" t="s">
        <v>2239</v>
      </c>
      <c r="E2378" s="12" t="s">
        <v>2240</v>
      </c>
    </row>
    <row r="2379">
      <c r="A2379" s="4" t="s">
        <v>2398</v>
      </c>
      <c r="B2379" s="5" t="str">
        <f>IFERROR(__xludf.DUMMYFUNCTION("IF(A2379="""","""",INDEX(SPLIT(A2379,"" ""),COUNTA(SPLIT(A2379,"" ""))))"),"Tromello")</f>
        <v>Tromello</v>
      </c>
      <c r="C2379" s="6"/>
      <c r="D2379" s="6" t="s">
        <v>2239</v>
      </c>
      <c r="E2379" s="12" t="s">
        <v>2240</v>
      </c>
    </row>
    <row r="2380">
      <c r="A2380" s="4" t="s">
        <v>2399</v>
      </c>
      <c r="B2380" s="5" t="str">
        <f>IFERROR(__xludf.DUMMYFUNCTION("IF(A2380="""","""",INDEX(SPLIT(A2380,"" ""),COUNTA(SPLIT(A2380,"" ""))))"),"Trovo")</f>
        <v>Trovo</v>
      </c>
      <c r="C2380" s="6"/>
      <c r="D2380" s="6" t="s">
        <v>2239</v>
      </c>
      <c r="E2380" s="12" t="s">
        <v>2240</v>
      </c>
    </row>
    <row r="2381">
      <c r="A2381" s="4" t="s">
        <v>2400</v>
      </c>
      <c r="B2381" s="5" t="str">
        <f>IFERROR(__xludf.DUMMYFUNCTION("IF(A2381="""","""",INDEX(SPLIT(A2381,"" ""),COUNTA(SPLIT(A2381,"" ""))))"),"Nizza")</f>
        <v>Nizza</v>
      </c>
      <c r="C2381" s="6"/>
      <c r="D2381" s="6" t="s">
        <v>2239</v>
      </c>
      <c r="E2381" s="12" t="s">
        <v>2240</v>
      </c>
    </row>
    <row r="2382">
      <c r="A2382" s="4" t="s">
        <v>2401</v>
      </c>
      <c r="B2382" s="5" t="str">
        <f>IFERROR(__xludf.DUMMYFUNCTION("IF(A2382="""","""",INDEX(SPLIT(A2382,"" ""),COUNTA(SPLIT(A2382,"" ""))))"),"Valeggio")</f>
        <v>Valeggio</v>
      </c>
      <c r="C2382" s="6"/>
      <c r="D2382" s="6" t="s">
        <v>2239</v>
      </c>
      <c r="E2382" s="12" t="s">
        <v>2240</v>
      </c>
    </row>
    <row r="2383">
      <c r="A2383" s="4" t="s">
        <v>2402</v>
      </c>
      <c r="B2383" s="5" t="str">
        <f>IFERROR(__xludf.DUMMYFUNCTION("IF(A2383="""","""",INDEX(SPLIT(A2383,"" ""),COUNTA(SPLIT(A2383,"" ""))))"),"Lomellina")</f>
        <v>Lomellina</v>
      </c>
      <c r="C2383" s="6"/>
      <c r="D2383" s="6" t="s">
        <v>2239</v>
      </c>
      <c r="E2383" s="12" t="s">
        <v>2240</v>
      </c>
    </row>
    <row r="2384">
      <c r="A2384" s="4" t="s">
        <v>2403</v>
      </c>
      <c r="B2384" s="5" t="str">
        <f>IFERROR(__xludf.DUMMYFUNCTION("IF(A2384="""","""",INDEX(SPLIT(A2384,"" ""),COUNTA(SPLIT(A2384,"" ""))))"),"Salimbene")</f>
        <v>Salimbene</v>
      </c>
      <c r="C2384" s="6"/>
      <c r="D2384" s="6" t="s">
        <v>2239</v>
      </c>
      <c r="E2384" s="12" t="s">
        <v>2240</v>
      </c>
    </row>
    <row r="2385">
      <c r="A2385" s="4" t="s">
        <v>2404</v>
      </c>
      <c r="B2385" s="5" t="str">
        <f>IFERROR(__xludf.DUMMYFUNCTION("IF(A2385="""","""",INDEX(SPLIT(A2385,"" ""),COUNTA(SPLIT(A2385,"" ""))))"),"Valverde")</f>
        <v>Valverde</v>
      </c>
      <c r="C2385" s="6"/>
      <c r="D2385" s="6" t="s">
        <v>2239</v>
      </c>
      <c r="E2385" s="12" t="s">
        <v>2240</v>
      </c>
    </row>
    <row r="2386">
      <c r="A2386" s="4" t="s">
        <v>2405</v>
      </c>
      <c r="B2386" s="5" t="str">
        <f>IFERROR(__xludf.DUMMYFUNCTION("IF(A2386="""","""",INDEX(SPLIT(A2386,"" ""),COUNTA(SPLIT(A2386,"" ""))))"),"Varzi")</f>
        <v>Varzi</v>
      </c>
      <c r="C2386" s="6"/>
      <c r="D2386" s="6" t="s">
        <v>2239</v>
      </c>
      <c r="E2386" s="12" t="s">
        <v>2240</v>
      </c>
    </row>
    <row r="2387">
      <c r="A2387" s="4" t="s">
        <v>2406</v>
      </c>
      <c r="B2387" s="5" t="str">
        <f>IFERROR(__xludf.DUMMYFUNCTION("IF(A2387="""","""",INDEX(SPLIT(A2387,"" ""),COUNTA(SPLIT(A2387,"" ""))))"),"Lomellina")</f>
        <v>Lomellina</v>
      </c>
      <c r="C2387" s="6"/>
      <c r="D2387" s="6" t="s">
        <v>2239</v>
      </c>
      <c r="E2387" s="12" t="s">
        <v>2240</v>
      </c>
    </row>
    <row r="2388">
      <c r="A2388" s="4" t="s">
        <v>2407</v>
      </c>
      <c r="B2388" s="5" t="str">
        <f>IFERROR(__xludf.DUMMYFUNCTION("IF(A2388="""","""",INDEX(SPLIT(A2388,"" ""),COUNTA(SPLIT(A2388,"" ""))))"),"Bellini")</f>
        <v>Bellini</v>
      </c>
      <c r="C2388" s="6"/>
      <c r="D2388" s="6" t="s">
        <v>2239</v>
      </c>
      <c r="E2388" s="12" t="s">
        <v>2240</v>
      </c>
    </row>
    <row r="2389">
      <c r="A2389" s="4" t="s">
        <v>2408</v>
      </c>
      <c r="B2389" s="5" t="str">
        <f>IFERROR(__xludf.DUMMYFUNCTION("IF(A2389="""","""",INDEX(SPLIT(A2389,"" ""),COUNTA(SPLIT(A2389,"" ""))))"),"Verretto")</f>
        <v>Verretto</v>
      </c>
      <c r="C2389" s="6"/>
      <c r="D2389" s="6" t="s">
        <v>2239</v>
      </c>
      <c r="E2389" s="12" t="s">
        <v>2240</v>
      </c>
    </row>
    <row r="2390">
      <c r="A2390" s="4" t="s">
        <v>2409</v>
      </c>
      <c r="B2390" s="5" t="str">
        <f>IFERROR(__xludf.DUMMYFUNCTION("IF(A2390="""","""",INDEX(SPLIT(A2390,"" ""),COUNTA(SPLIT(A2390,"" ""))))"),"Po")</f>
        <v>Po</v>
      </c>
      <c r="C2390" s="6"/>
      <c r="D2390" s="6" t="s">
        <v>2239</v>
      </c>
      <c r="E2390" s="12" t="s">
        <v>2240</v>
      </c>
    </row>
    <row r="2391">
      <c r="A2391" s="4" t="s">
        <v>2410</v>
      </c>
      <c r="B2391" s="5" t="str">
        <f>IFERROR(__xludf.DUMMYFUNCTION("IF(A2391="""","""",INDEX(SPLIT(A2391,"" ""),COUNTA(SPLIT(A2391,"" ""))))"),"Vidigulfo")</f>
        <v>Vidigulfo</v>
      </c>
      <c r="C2391" s="6"/>
      <c r="D2391" s="6" t="s">
        <v>2239</v>
      </c>
      <c r="E2391" s="12" t="s">
        <v>2240</v>
      </c>
    </row>
    <row r="2392">
      <c r="A2392" s="4" t="s">
        <v>2411</v>
      </c>
      <c r="B2392" s="5" t="str">
        <f>IFERROR(__xludf.DUMMYFUNCTION("IF(A2392="""","""",INDEX(SPLIT(A2392,"" ""),COUNTA(SPLIT(A2392,"" ""))))"),"Vigevano")</f>
        <v>Vigevano</v>
      </c>
      <c r="C2392" s="6"/>
      <c r="D2392" s="6" t="s">
        <v>2239</v>
      </c>
      <c r="E2392" s="12" t="s">
        <v>2240</v>
      </c>
    </row>
    <row r="2393">
      <c r="A2393" s="4" t="s">
        <v>2412</v>
      </c>
      <c r="B2393" s="5" t="str">
        <f>IFERROR(__xludf.DUMMYFUNCTION("IF(A2393="""","""",INDEX(SPLIT(A2393,"" ""),COUNTA(SPLIT(A2393,"" ""))))"),"Biscossi")</f>
        <v>Biscossi</v>
      </c>
      <c r="C2393" s="6"/>
      <c r="D2393" s="6" t="s">
        <v>2239</v>
      </c>
      <c r="E2393" s="12" t="s">
        <v>2240</v>
      </c>
    </row>
    <row r="2394">
      <c r="A2394" s="4" t="s">
        <v>2413</v>
      </c>
      <c r="B2394" s="5" t="str">
        <f>IFERROR(__xludf.DUMMYFUNCTION("IF(A2394="""","""",INDEX(SPLIT(A2394,"" ""),COUNTA(SPLIT(A2394,"" ""))))"),"d'Ardenghi")</f>
        <v>d'Ardenghi</v>
      </c>
      <c r="C2394" s="6"/>
      <c r="D2394" s="6" t="s">
        <v>2239</v>
      </c>
      <c r="E2394" s="12" t="s">
        <v>2240</v>
      </c>
    </row>
    <row r="2395">
      <c r="A2395" s="4" t="s">
        <v>2414</v>
      </c>
      <c r="B2395" s="5" t="str">
        <f>IFERROR(__xludf.DUMMYFUNCTION("IF(A2395="""","""",INDEX(SPLIT(A2395,"" ""),COUNTA(SPLIT(A2395,"" ""))))"),"Villanterio")</f>
        <v>Villanterio</v>
      </c>
      <c r="C2395" s="6"/>
      <c r="D2395" s="6" t="s">
        <v>2239</v>
      </c>
      <c r="E2395" s="12" t="s">
        <v>2240</v>
      </c>
    </row>
    <row r="2396">
      <c r="A2396" s="4" t="s">
        <v>2415</v>
      </c>
      <c r="B2396" s="5" t="str">
        <f>IFERROR(__xludf.DUMMYFUNCTION("IF(A2396="""","""",INDEX(SPLIT(A2396,"" ""),COUNTA(SPLIT(A2396,"" ""))))"),"Vistarino")</f>
        <v>Vistarino</v>
      </c>
      <c r="C2396" s="6"/>
      <c r="D2396" s="6" t="s">
        <v>2239</v>
      </c>
      <c r="E2396" s="12" t="s">
        <v>2240</v>
      </c>
    </row>
    <row r="2397">
      <c r="A2397" s="4" t="s">
        <v>2416</v>
      </c>
      <c r="B2397" s="5" t="str">
        <f>IFERROR(__xludf.DUMMYFUNCTION("IF(A2397="""","""",INDEX(SPLIT(A2397,"" ""),COUNTA(SPLIT(A2397,"" ""))))"),"Voghera")</f>
        <v>Voghera</v>
      </c>
      <c r="C2397" s="6"/>
      <c r="D2397" s="6" t="s">
        <v>2239</v>
      </c>
      <c r="E2397" s="12" t="s">
        <v>2240</v>
      </c>
    </row>
    <row r="2398">
      <c r="A2398" s="4" t="s">
        <v>2417</v>
      </c>
      <c r="B2398" s="5" t="str">
        <f>IFERROR(__xludf.DUMMYFUNCTION("IF(A2398="""","""",INDEX(SPLIT(A2398,"" ""),COUNTA(SPLIT(A2398,"" ""))))"),"Volpara")</f>
        <v>Volpara</v>
      </c>
      <c r="C2398" s="6"/>
      <c r="D2398" s="6" t="s">
        <v>2239</v>
      </c>
      <c r="E2398" s="12" t="s">
        <v>2240</v>
      </c>
    </row>
    <row r="2399">
      <c r="A2399" s="4" t="s">
        <v>2418</v>
      </c>
      <c r="B2399" s="5" t="str">
        <f>IFERROR(__xludf.DUMMYFUNCTION("IF(A2399="""","""",INDEX(SPLIT(A2399,"" ""),COUNTA(SPLIT(A2399,"" ""))))"),"Zavattarello")</f>
        <v>Zavattarello</v>
      </c>
      <c r="C2399" s="6"/>
      <c r="D2399" s="6" t="s">
        <v>2239</v>
      </c>
      <c r="E2399" s="12" t="s">
        <v>2240</v>
      </c>
    </row>
    <row r="2400">
      <c r="A2400" s="4" t="s">
        <v>2419</v>
      </c>
      <c r="B2400" s="5" t="str">
        <f>IFERROR(__xludf.DUMMYFUNCTION("IF(A2400="""","""",INDEX(SPLIT(A2400,"" ""),COUNTA(SPLIT(A2400,"" ""))))"),"Zeccone")</f>
        <v>Zeccone</v>
      </c>
      <c r="C2400" s="6"/>
      <c r="D2400" s="6" t="s">
        <v>2239</v>
      </c>
      <c r="E2400" s="12" t="s">
        <v>2240</v>
      </c>
    </row>
    <row r="2401">
      <c r="A2401" s="4" t="s">
        <v>2420</v>
      </c>
      <c r="B2401" s="5" t="str">
        <f>IFERROR(__xludf.DUMMYFUNCTION("IF(A2401="""","""",INDEX(SPLIT(A2401,"" ""),COUNTA(SPLIT(A2401,"" ""))))"),"Zeme")</f>
        <v>Zeme</v>
      </c>
      <c r="C2401" s="6"/>
      <c r="D2401" s="6" t="s">
        <v>2239</v>
      </c>
      <c r="E2401" s="12" t="s">
        <v>2240</v>
      </c>
    </row>
    <row r="2402">
      <c r="A2402" s="4" t="s">
        <v>2421</v>
      </c>
      <c r="B2402" s="5" t="str">
        <f>IFERROR(__xludf.DUMMYFUNCTION("IF(A2402="""","""",INDEX(SPLIT(A2402,"" ""),COUNTA(SPLIT(A2402,"" ""))))"),"Zenevredo")</f>
        <v>Zenevredo</v>
      </c>
      <c r="C2402" s="6"/>
      <c r="D2402" s="6" t="s">
        <v>2239</v>
      </c>
      <c r="E2402" s="12" t="s">
        <v>2240</v>
      </c>
    </row>
    <row r="2403">
      <c r="A2403" s="4" t="s">
        <v>2422</v>
      </c>
      <c r="B2403" s="5" t="str">
        <f>IFERROR(__xludf.DUMMYFUNCTION("IF(A2403="""","""",INDEX(SPLIT(A2403,"" ""),COUNTA(SPLIT(A2403,"" ""))))"),"Zerbo")</f>
        <v>Zerbo</v>
      </c>
      <c r="C2403" s="6"/>
      <c r="D2403" s="6" t="s">
        <v>2239</v>
      </c>
      <c r="E2403" s="12" t="s">
        <v>2240</v>
      </c>
    </row>
    <row r="2404">
      <c r="A2404" s="4" t="s">
        <v>2423</v>
      </c>
      <c r="B2404" s="5" t="str">
        <f>IFERROR(__xludf.DUMMYFUNCTION("IF(A2404="""","""",INDEX(SPLIT(A2404,"" ""),COUNTA(SPLIT(A2404,"" ""))))"),"Zerbolò")</f>
        <v>Zerbolò</v>
      </c>
      <c r="C2404" s="6"/>
      <c r="D2404" s="6" t="s">
        <v>2239</v>
      </c>
      <c r="E2404" s="12" t="s">
        <v>2240</v>
      </c>
    </row>
    <row r="2405">
      <c r="A2405" s="4" t="s">
        <v>2424</v>
      </c>
      <c r="B2405" s="5" t="str">
        <f>IFERROR(__xludf.DUMMYFUNCTION("IF(A2405="""","""",INDEX(SPLIT(A2405,"" ""),COUNTA(SPLIT(A2405,"" ""))))"),"Zinasco")</f>
        <v>Zinasco</v>
      </c>
      <c r="C2405" s="6"/>
      <c r="D2405" s="6" t="s">
        <v>2239</v>
      </c>
      <c r="E2405" s="12" t="s">
        <v>2240</v>
      </c>
    </row>
    <row r="2406">
      <c r="A2406" s="4" t="s">
        <v>2425</v>
      </c>
      <c r="B2406" s="5" t="str">
        <f>IFERROR(__xludf.DUMMYFUNCTION("IF(A2406="""","""",INDEX(SPLIT(A2406,"" ""),COUNTA(SPLIT(A2406,"" ""))))"),"Bastida")</f>
        <v>Bastida</v>
      </c>
      <c r="C2406" s="6"/>
      <c r="D2406" s="6" t="s">
        <v>2239</v>
      </c>
      <c r="E2406" s="12" t="s">
        <v>2240</v>
      </c>
    </row>
    <row r="2407">
      <c r="A2407" s="4" t="s">
        <v>2426</v>
      </c>
      <c r="B2407" s="5" t="str">
        <f>IFERROR(__xludf.DUMMYFUNCTION("IF(A2407="""","""",INDEX(SPLIT(A2407,"" ""),COUNTA(SPLIT(A2407,"" ""))))"),"Genzone")</f>
        <v>Genzone</v>
      </c>
      <c r="C2407" s="6"/>
      <c r="D2407" s="6" t="s">
        <v>2239</v>
      </c>
      <c r="E2407" s="12" t="s">
        <v>2240</v>
      </c>
    </row>
    <row r="2408">
      <c r="A2408" s="4" t="s">
        <v>2427</v>
      </c>
      <c r="B2408" s="5" t="str">
        <f>IFERROR(__xludf.DUMMYFUNCTION("IF(A2408="""","""",INDEX(SPLIT(A2408,"" ""),COUNTA(SPLIT(A2408,"" ""))))"),"Cremonese")</f>
        <v>Cremonese</v>
      </c>
      <c r="C2408" s="6"/>
      <c r="D2408" s="6" t="s">
        <v>2428</v>
      </c>
      <c r="E2408" s="12" t="s">
        <v>2429</v>
      </c>
    </row>
    <row r="2409">
      <c r="A2409" s="4" t="s">
        <v>2430</v>
      </c>
      <c r="B2409" s="5" t="str">
        <f>IFERROR(__xludf.DUMMYFUNCTION("IF(A2409="""","""",INDEX(SPLIT(A2409,"" ""),COUNTA(SPLIT(A2409,"" ""))))"),"Agnadello")</f>
        <v>Agnadello</v>
      </c>
      <c r="C2409" s="6"/>
      <c r="D2409" s="6" t="s">
        <v>2428</v>
      </c>
      <c r="E2409" s="12" t="s">
        <v>2429</v>
      </c>
    </row>
    <row r="2410">
      <c r="A2410" s="4" t="s">
        <v>2431</v>
      </c>
      <c r="B2410" s="5" t="str">
        <f>IFERROR(__xludf.DUMMYFUNCTION("IF(A2410="""","""",INDEX(SPLIT(A2410,"" ""),COUNTA(SPLIT(A2410,"" ""))))"),"Annicco")</f>
        <v>Annicco</v>
      </c>
      <c r="C2410" s="6"/>
      <c r="D2410" s="6" t="s">
        <v>2428</v>
      </c>
      <c r="E2410" s="12" t="s">
        <v>2429</v>
      </c>
    </row>
    <row r="2411">
      <c r="A2411" s="4" t="s">
        <v>2432</v>
      </c>
      <c r="B2411" s="5" t="str">
        <f>IFERROR(__xludf.DUMMYFUNCTION("IF(A2411="""","""",INDEX(SPLIT(A2411,"" ""),COUNTA(SPLIT(A2411,"" ""))))"),"Azzanello")</f>
        <v>Azzanello</v>
      </c>
      <c r="C2411" s="6"/>
      <c r="D2411" s="6" t="s">
        <v>2428</v>
      </c>
      <c r="E2411" s="12" t="s">
        <v>2429</v>
      </c>
    </row>
    <row r="2412">
      <c r="A2412" s="4" t="s">
        <v>2433</v>
      </c>
      <c r="B2412" s="5" t="str">
        <f>IFERROR(__xludf.DUMMYFUNCTION("IF(A2412="""","""",INDEX(SPLIT(A2412,"" ""),COUNTA(SPLIT(A2412,"" ""))))"),"Cremasco")</f>
        <v>Cremasco</v>
      </c>
      <c r="C2412" s="6"/>
      <c r="D2412" s="6" t="s">
        <v>2428</v>
      </c>
      <c r="E2412" s="12" t="s">
        <v>2429</v>
      </c>
    </row>
    <row r="2413">
      <c r="A2413" s="4" t="s">
        <v>2434</v>
      </c>
      <c r="B2413" s="5" t="str">
        <f>IFERROR(__xludf.DUMMYFUNCTION("IF(A2413="""","""",INDEX(SPLIT(A2413,"" ""),COUNTA(SPLIT(A2413,"" ""))))"),"Bonemerse")</f>
        <v>Bonemerse</v>
      </c>
      <c r="C2413" s="6"/>
      <c r="D2413" s="6" t="s">
        <v>2428</v>
      </c>
      <c r="E2413" s="12" t="s">
        <v>2429</v>
      </c>
    </row>
    <row r="2414">
      <c r="A2414" s="4" t="s">
        <v>2435</v>
      </c>
      <c r="B2414" s="5" t="str">
        <f>IFERROR(__xludf.DUMMYFUNCTION("IF(A2414="""","""",INDEX(SPLIT(A2414,"" ""),COUNTA(SPLIT(A2414,"" ""))))"),"Bordolano")</f>
        <v>Bordolano</v>
      </c>
      <c r="C2414" s="6"/>
      <c r="D2414" s="6" t="s">
        <v>2428</v>
      </c>
      <c r="E2414" s="12" t="s">
        <v>2429</v>
      </c>
    </row>
    <row r="2415">
      <c r="A2415" s="4" t="s">
        <v>2436</v>
      </c>
      <c r="B2415" s="5" t="str">
        <f>IFERROR(__xludf.DUMMYFUNCTION("IF(A2415="""","""",INDEX(SPLIT(A2415,"" ""),COUNTA(SPLIT(A2415,"" ""))))"),"d'Andrea")</f>
        <v>d'Andrea</v>
      </c>
      <c r="C2415" s="6"/>
      <c r="D2415" s="6" t="s">
        <v>2428</v>
      </c>
      <c r="E2415" s="12" t="s">
        <v>2429</v>
      </c>
    </row>
    <row r="2416">
      <c r="A2416" s="4" t="s">
        <v>2437</v>
      </c>
      <c r="B2416" s="5" t="str">
        <f>IFERROR(__xludf.DUMMYFUNCTION("IF(A2416="""","""",INDEX(SPLIT(A2416,"" ""),COUNTA(SPLIT(A2416,"" ""))))"),"Calvatone")</f>
        <v>Calvatone</v>
      </c>
      <c r="C2416" s="6"/>
      <c r="D2416" s="6" t="s">
        <v>2428</v>
      </c>
      <c r="E2416" s="12" t="s">
        <v>2429</v>
      </c>
    </row>
    <row r="2417">
      <c r="A2417" s="4" t="s">
        <v>2438</v>
      </c>
      <c r="B2417" s="5" t="str">
        <f>IFERROR(__xludf.DUMMYFUNCTION("IF(A2417="""","""",INDEX(SPLIT(A2417,"" ""),COUNTA(SPLIT(A2417,"" ""))))"),"Camisano")</f>
        <v>Camisano</v>
      </c>
      <c r="C2417" s="6"/>
      <c r="D2417" s="6" t="s">
        <v>2428</v>
      </c>
      <c r="E2417" s="12" t="s">
        <v>2429</v>
      </c>
    </row>
    <row r="2418">
      <c r="A2418" s="4" t="s">
        <v>2439</v>
      </c>
      <c r="B2418" s="5" t="str">
        <f>IFERROR(__xludf.DUMMYFUNCTION("IF(A2418="""","""",INDEX(SPLIT(A2418,"" ""),COUNTA(SPLIT(A2418,"" ""))))"),"Cremasca")</f>
        <v>Cremasca</v>
      </c>
      <c r="C2418" s="6"/>
      <c r="D2418" s="6" t="s">
        <v>2428</v>
      </c>
      <c r="E2418" s="12" t="s">
        <v>2429</v>
      </c>
    </row>
    <row r="2419">
      <c r="A2419" s="4" t="s">
        <v>2440</v>
      </c>
      <c r="B2419" s="5" t="str">
        <f>IFERROR(__xludf.DUMMYFUNCTION("IF(A2419="""","""",INDEX(SPLIT(A2419,"" ""),COUNTA(SPLIT(A2419,"" ""))))"),"Capergnanica")</f>
        <v>Capergnanica</v>
      </c>
      <c r="C2419" s="6"/>
      <c r="D2419" s="6" t="s">
        <v>2428</v>
      </c>
      <c r="E2419" s="12" t="s">
        <v>2429</v>
      </c>
    </row>
    <row r="2420">
      <c r="A2420" s="4" t="s">
        <v>2441</v>
      </c>
      <c r="B2420" s="5" t="str">
        <f>IFERROR(__xludf.DUMMYFUNCTION("IF(A2420="""","""",INDEX(SPLIT(A2420,"" ""),COUNTA(SPLIT(A2420,"" ""))))"),"Cantone")</f>
        <v>Cantone</v>
      </c>
      <c r="C2420" s="6"/>
      <c r="D2420" s="6" t="s">
        <v>2428</v>
      </c>
      <c r="E2420" s="12" t="s">
        <v>2429</v>
      </c>
    </row>
    <row r="2421">
      <c r="A2421" s="4" t="s">
        <v>2442</v>
      </c>
      <c r="B2421" s="5" t="str">
        <f>IFERROR(__xludf.DUMMYFUNCTION("IF(A2421="""","""",INDEX(SPLIT(A2421,"" ""),COUNTA(SPLIT(A2421,"" ""))))"),"Picenardi")</f>
        <v>Picenardi</v>
      </c>
      <c r="C2421" s="6"/>
      <c r="D2421" s="6" t="s">
        <v>2428</v>
      </c>
      <c r="E2421" s="12" t="s">
        <v>2429</v>
      </c>
    </row>
    <row r="2422">
      <c r="A2422" s="4" t="s">
        <v>2443</v>
      </c>
      <c r="B2422" s="5" t="str">
        <f>IFERROR(__xludf.DUMMYFUNCTION("IF(A2422="""","""",INDEX(SPLIT(A2422,"" ""),COUNTA(SPLIT(A2422,"" ""))))"),"Capralba")</f>
        <v>Capralba</v>
      </c>
      <c r="C2422" s="6"/>
      <c r="D2422" s="6" t="s">
        <v>2428</v>
      </c>
      <c r="E2422" s="12" t="s">
        <v>2429</v>
      </c>
    </row>
    <row r="2423">
      <c r="A2423" s="4" t="s">
        <v>2444</v>
      </c>
      <c r="B2423" s="5" t="str">
        <f>IFERROR(__xludf.DUMMYFUNCTION("IF(A2423="""","""",INDEX(SPLIT(A2423,"" ""),COUNTA(SPLIT(A2423,"" ""))))"),"Uniti")</f>
        <v>Uniti</v>
      </c>
      <c r="C2423" s="6"/>
      <c r="D2423" s="6" t="s">
        <v>2428</v>
      </c>
      <c r="E2423" s="12" t="s">
        <v>2429</v>
      </c>
    </row>
    <row r="2424">
      <c r="A2424" s="4" t="s">
        <v>2445</v>
      </c>
      <c r="B2424" s="5" t="str">
        <f>IFERROR(__xludf.DUMMYFUNCTION("IF(A2424="""","""",INDEX(SPLIT(A2424,"" ""),COUNTA(SPLIT(A2424,"" ""))))"),"CremascoVidolasco")</f>
        <v>CremascoVidolasco</v>
      </c>
      <c r="C2424" s="6"/>
      <c r="D2424" s="6" t="s">
        <v>2428</v>
      </c>
      <c r="E2424" s="12" t="s">
        <v>2429</v>
      </c>
    </row>
    <row r="2425">
      <c r="A2425" s="4" t="s">
        <v>2446</v>
      </c>
      <c r="B2425" s="5" t="str">
        <f>IFERROR(__xludf.DUMMYFUNCTION("IF(A2425="""","""",INDEX(SPLIT(A2425,"" ""),COUNTA(SPLIT(A2425,"" ""))))"),"Ceredano")</f>
        <v>Ceredano</v>
      </c>
      <c r="C2425" s="6"/>
      <c r="D2425" s="6" t="s">
        <v>2428</v>
      </c>
      <c r="E2425" s="12" t="s">
        <v>2429</v>
      </c>
    </row>
    <row r="2426">
      <c r="A2426" s="4" t="s">
        <v>2447</v>
      </c>
      <c r="B2426" s="5" t="str">
        <f>IFERROR(__xludf.DUMMYFUNCTION("IF(A2426="""","""",INDEX(SPLIT(A2426,"" ""),COUNTA(SPLIT(A2426,"" ""))))"),"Sopra")</f>
        <v>Sopra</v>
      </c>
      <c r="C2426" s="6"/>
      <c r="D2426" s="6" t="s">
        <v>2428</v>
      </c>
      <c r="E2426" s="12" t="s">
        <v>2429</v>
      </c>
    </row>
    <row r="2427">
      <c r="A2427" s="4" t="s">
        <v>2448</v>
      </c>
      <c r="B2427" s="5" t="str">
        <f>IFERROR(__xludf.DUMMYFUNCTION("IF(A2427="""","""",INDEX(SPLIT(A2427,"" ""),COUNTA(SPLIT(A2427,"" ""))))"),"Vaprio")</f>
        <v>Vaprio</v>
      </c>
      <c r="C2427" s="6"/>
      <c r="D2427" s="6" t="s">
        <v>2428</v>
      </c>
      <c r="E2427" s="12" t="s">
        <v>2429</v>
      </c>
    </row>
    <row r="2428">
      <c r="A2428" s="4" t="s">
        <v>2449</v>
      </c>
      <c r="B2428" s="5" t="str">
        <f>IFERROR(__xludf.DUMMYFUNCTION("IF(A2428="""","""",INDEX(SPLIT(A2428,"" ""),COUNTA(SPLIT(A2428,"" ""))))"),"Casalmaggiore")</f>
        <v>Casalmaggiore</v>
      </c>
      <c r="C2428" s="6"/>
      <c r="D2428" s="6" t="s">
        <v>2428</v>
      </c>
      <c r="E2428" s="12" t="s">
        <v>2429</v>
      </c>
    </row>
    <row r="2429">
      <c r="A2429" s="4" t="s">
        <v>2450</v>
      </c>
      <c r="B2429" s="5" t="str">
        <f>IFERROR(__xludf.DUMMYFUNCTION("IF(A2429="""","""",INDEX(SPLIT(A2429,"" ""),COUNTA(SPLIT(A2429,"" ""))))"),"Casalmorano")</f>
        <v>Casalmorano</v>
      </c>
      <c r="C2429" s="6"/>
      <c r="D2429" s="6" t="s">
        <v>2428</v>
      </c>
      <c r="E2429" s="12" t="s">
        <v>2429</v>
      </c>
    </row>
    <row r="2430">
      <c r="A2430" s="4" t="s">
        <v>2451</v>
      </c>
      <c r="B2430" s="5" t="str">
        <f>IFERROR(__xludf.DUMMYFUNCTION("IF(A2430="""","""",INDEX(SPLIT(A2430,"" ""),COUNTA(SPLIT(A2430,"" ""))))"),"Casteldidone")</f>
        <v>Casteldidone</v>
      </c>
      <c r="C2430" s="6"/>
      <c r="D2430" s="6" t="s">
        <v>2428</v>
      </c>
      <c r="E2430" s="12" t="s">
        <v>2429</v>
      </c>
    </row>
    <row r="2431">
      <c r="A2431" s="4" t="s">
        <v>2452</v>
      </c>
      <c r="B2431" s="5" t="str">
        <f>IFERROR(__xludf.DUMMYFUNCTION("IF(A2431="""","""",INDEX(SPLIT(A2431,"" ""),COUNTA(SPLIT(A2431,"" ""))))"),"Gabbiano")</f>
        <v>Gabbiano</v>
      </c>
      <c r="C2431" s="6"/>
      <c r="D2431" s="6" t="s">
        <v>2428</v>
      </c>
      <c r="E2431" s="12" t="s">
        <v>2429</v>
      </c>
    </row>
    <row r="2432">
      <c r="A2432" s="4" t="s">
        <v>2453</v>
      </c>
      <c r="B2432" s="5" t="str">
        <f>IFERROR(__xludf.DUMMYFUNCTION("IF(A2432="""","""",INDEX(SPLIT(A2432,"" ""),COUNTA(SPLIT(A2432,"" ""))))"),"Castelleone")</f>
        <v>Castelleone</v>
      </c>
      <c r="C2432" s="6"/>
      <c r="D2432" s="6" t="s">
        <v>2428</v>
      </c>
      <c r="E2432" s="12" t="s">
        <v>2429</v>
      </c>
    </row>
    <row r="2433">
      <c r="A2433" s="4" t="s">
        <v>2454</v>
      </c>
      <c r="B2433" s="5" t="str">
        <f>IFERROR(__xludf.DUMMYFUNCTION("IF(A2433="""","""",INDEX(SPLIT(A2433,"" ""),COUNTA(SPLIT(A2433,"" ""))))"),"Castelverde")</f>
        <v>Castelverde</v>
      </c>
      <c r="C2433" s="6"/>
      <c r="D2433" s="6" t="s">
        <v>2428</v>
      </c>
      <c r="E2433" s="12" t="s">
        <v>2429</v>
      </c>
    </row>
    <row r="2434">
      <c r="A2434" s="4" t="s">
        <v>2455</v>
      </c>
      <c r="B2434" s="5" t="str">
        <f>IFERROR(__xludf.DUMMYFUNCTION("IF(A2434="""","""",INDEX(SPLIT(A2434,"" ""),COUNTA(SPLIT(A2434,"" ""))))"),"Castelvisconti")</f>
        <v>Castelvisconti</v>
      </c>
      <c r="C2434" s="6"/>
      <c r="D2434" s="6" t="s">
        <v>2428</v>
      </c>
      <c r="E2434" s="12" t="s">
        <v>2429</v>
      </c>
    </row>
    <row r="2435">
      <c r="A2435" s="4" t="s">
        <v>2456</v>
      </c>
      <c r="B2435" s="5" t="str">
        <f>IFERROR(__xludf.DUMMYFUNCTION("IF(A2435="""","""",INDEX(SPLIT(A2435,"" ""),COUNTA(SPLIT(A2435,"" ""))))"),"Dati")</f>
        <v>Dati</v>
      </c>
      <c r="C2435" s="6"/>
      <c r="D2435" s="6" t="s">
        <v>2428</v>
      </c>
      <c r="E2435" s="12" t="s">
        <v>2429</v>
      </c>
    </row>
    <row r="2436">
      <c r="A2436" s="4" t="s">
        <v>2457</v>
      </c>
      <c r="B2436" s="5" t="str">
        <f>IFERROR(__xludf.DUMMYFUNCTION("IF(A2436="""","""",INDEX(SPLIT(A2436,"" ""),COUNTA(SPLIT(A2436,"" ""))))"),"Chieve")</f>
        <v>Chieve</v>
      </c>
      <c r="C2436" s="6"/>
      <c r="D2436" s="6" t="s">
        <v>2428</v>
      </c>
      <c r="E2436" s="12" t="s">
        <v>2429</v>
      </c>
    </row>
    <row r="2437">
      <c r="A2437" s="4" t="s">
        <v>2458</v>
      </c>
      <c r="B2437" s="5" t="str">
        <f>IFERROR(__xludf.DUMMYFUNCTION("IF(A2437="""","""",INDEX(SPLIT(A2437,"" ""),COUNTA(SPLIT(A2437,"" ""))))"),"Cicognolo")</f>
        <v>Cicognolo</v>
      </c>
      <c r="C2437" s="6"/>
      <c r="D2437" s="6" t="s">
        <v>2428</v>
      </c>
      <c r="E2437" s="12" t="s">
        <v>2429</v>
      </c>
    </row>
    <row r="2438">
      <c r="A2438" s="4" t="s">
        <v>2459</v>
      </c>
      <c r="B2438" s="5" t="str">
        <f>IFERROR(__xludf.DUMMYFUNCTION("IF(A2438="""","""",INDEX(SPLIT(A2438,"" ""),COUNTA(SPLIT(A2438,"" ""))))"),"Botti")</f>
        <v>Botti</v>
      </c>
      <c r="C2438" s="6"/>
      <c r="D2438" s="6" t="s">
        <v>2428</v>
      </c>
      <c r="E2438" s="12" t="s">
        <v>2429</v>
      </c>
    </row>
    <row r="2439">
      <c r="A2439" s="4" t="s">
        <v>2460</v>
      </c>
      <c r="B2439" s="5" t="str">
        <f>IFERROR(__xludf.DUMMYFUNCTION("IF(A2439="""","""",INDEX(SPLIT(A2439,"" ""),COUNTA(SPLIT(A2439,"" ""))))"),"Cignone")</f>
        <v>Cignone</v>
      </c>
      <c r="C2439" s="6"/>
      <c r="D2439" s="6" t="s">
        <v>2428</v>
      </c>
      <c r="E2439" s="12" t="s">
        <v>2429</v>
      </c>
    </row>
    <row r="2440">
      <c r="A2440" s="4" t="s">
        <v>2461</v>
      </c>
      <c r="B2440" s="5" t="str">
        <f>IFERROR(__xludf.DUMMYFUNCTION("IF(A2440="""","""",INDEX(SPLIT(A2440,"" ""),COUNTA(SPLIT(A2440,"" ""))))"),"Frati")</f>
        <v>Frati</v>
      </c>
      <c r="C2440" s="6"/>
      <c r="D2440" s="6" t="s">
        <v>2428</v>
      </c>
      <c r="E2440" s="12" t="s">
        <v>2429</v>
      </c>
    </row>
    <row r="2441">
      <c r="A2441" s="4" t="s">
        <v>2462</v>
      </c>
      <c r="B2441" s="5" t="str">
        <f>IFERROR(__xludf.DUMMYFUNCTION("IF(A2441="""","""",INDEX(SPLIT(A2441,"" ""),COUNTA(SPLIT(A2441,"" ""))))"),"Rubbiano")</f>
        <v>Rubbiano</v>
      </c>
      <c r="C2441" s="6"/>
      <c r="D2441" s="6" t="s">
        <v>2428</v>
      </c>
      <c r="E2441" s="12" t="s">
        <v>2429</v>
      </c>
    </row>
    <row r="2442">
      <c r="A2442" s="4" t="s">
        <v>2463</v>
      </c>
      <c r="B2442" s="5" t="str">
        <f>IFERROR(__xludf.DUMMYFUNCTION("IF(A2442="""","""",INDEX(SPLIT(A2442,"" ""),COUNTA(SPLIT(A2442,"" ""))))"),"Crema")</f>
        <v>Crema</v>
      </c>
      <c r="C2442" s="6"/>
      <c r="D2442" s="6" t="s">
        <v>2428</v>
      </c>
      <c r="E2442" s="12" t="s">
        <v>2429</v>
      </c>
    </row>
    <row r="2443">
      <c r="A2443" s="4" t="s">
        <v>2428</v>
      </c>
      <c r="B2443" s="5" t="str">
        <f>IFERROR(__xludf.DUMMYFUNCTION("IF(A2443="""","""",INDEX(SPLIT(A2443,"" ""),COUNTA(SPLIT(A2443,"" ""))))"),"Cremona")</f>
        <v>Cremona</v>
      </c>
      <c r="C2443" s="6"/>
      <c r="D2443" s="6" t="s">
        <v>2428</v>
      </c>
      <c r="E2443" s="12" t="s">
        <v>2429</v>
      </c>
    </row>
    <row r="2444">
      <c r="A2444" s="4" t="s">
        <v>2464</v>
      </c>
      <c r="B2444" s="5" t="str">
        <f>IFERROR(__xludf.DUMMYFUNCTION("IF(A2444="""","""",INDEX(SPLIT(A2444,"" ""),COUNTA(SPLIT(A2444,"" ""))))"),"Cremosano")</f>
        <v>Cremosano</v>
      </c>
      <c r="C2444" s="6"/>
      <c r="D2444" s="6" t="s">
        <v>2428</v>
      </c>
      <c r="E2444" s="12" t="s">
        <v>2429</v>
      </c>
    </row>
    <row r="2445">
      <c r="A2445" s="4" t="s">
        <v>2465</v>
      </c>
      <c r="B2445" s="5" t="str">
        <f>IFERROR(__xludf.DUMMYFUNCTION("IF(A2445="""","""",INDEX(SPLIT(A2445,"" ""),COUNTA(SPLIT(A2445,"" ""))))"),"d'Adda")</f>
        <v>d'Adda</v>
      </c>
      <c r="C2445" s="6"/>
      <c r="D2445" s="6" t="s">
        <v>2428</v>
      </c>
      <c r="E2445" s="12" t="s">
        <v>2429</v>
      </c>
    </row>
    <row r="2446">
      <c r="A2446" s="4" t="s">
        <v>2466</v>
      </c>
      <c r="B2446" s="5" t="str">
        <f>IFERROR(__xludf.DUMMYFUNCTION("IF(A2446="""","""",INDEX(SPLIT(A2446,"" ""),COUNTA(SPLIT(A2446,"" ""))))"),"Naviglio")</f>
        <v>Naviglio</v>
      </c>
      <c r="C2446" s="6"/>
      <c r="D2446" s="6" t="s">
        <v>2428</v>
      </c>
      <c r="E2446" s="12" t="s">
        <v>2429</v>
      </c>
    </row>
    <row r="2447">
      <c r="A2447" s="4" t="s">
        <v>2467</v>
      </c>
      <c r="B2447" s="5" t="str">
        <f>IFERROR(__xludf.DUMMYFUNCTION("IF(A2447="""","""",INDEX(SPLIT(A2447,"" ""),COUNTA(SPLIT(A2447,"" ""))))"),"Derovere")</f>
        <v>Derovere</v>
      </c>
      <c r="C2447" s="6"/>
      <c r="D2447" s="6" t="s">
        <v>2428</v>
      </c>
      <c r="E2447" s="12" t="s">
        <v>2429</v>
      </c>
    </row>
    <row r="2448">
      <c r="A2448" s="4" t="s">
        <v>2468</v>
      </c>
      <c r="B2448" s="5" t="str">
        <f>IFERROR(__xludf.DUMMYFUNCTION("IF(A2448="""","""",INDEX(SPLIT(A2448,"" ""),COUNTA(SPLIT(A2448,"" ""))))"),"Dovera")</f>
        <v>Dovera</v>
      </c>
      <c r="C2448" s="6"/>
      <c r="D2448" s="6" t="s">
        <v>2428</v>
      </c>
      <c r="E2448" s="12" t="s">
        <v>2429</v>
      </c>
    </row>
    <row r="2449">
      <c r="A2449" s="4" t="s">
        <v>2469</v>
      </c>
      <c r="B2449" s="5" t="str">
        <f>IFERROR(__xludf.DUMMYFUNCTION("IF(A2449="""","""",INDEX(SPLIT(A2449,"" ""),COUNTA(SPLIT(A2449,"" ""))))"),"Drizzona")</f>
        <v>Drizzona</v>
      </c>
      <c r="C2449" s="6"/>
      <c r="D2449" s="6" t="s">
        <v>2428</v>
      </c>
      <c r="E2449" s="12" t="s">
        <v>2429</v>
      </c>
    </row>
    <row r="2450">
      <c r="A2450" s="4" t="s">
        <v>2470</v>
      </c>
      <c r="B2450" s="5" t="str">
        <f>IFERROR(__xludf.DUMMYFUNCTION("IF(A2450="""","""",INDEX(SPLIT(A2450,"" ""),COUNTA(SPLIT(A2450,"" ""))))"),"Fiesco")</f>
        <v>Fiesco</v>
      </c>
      <c r="C2450" s="6"/>
      <c r="D2450" s="6" t="s">
        <v>2428</v>
      </c>
      <c r="E2450" s="12" t="s">
        <v>2429</v>
      </c>
    </row>
    <row r="2451">
      <c r="A2451" s="4" t="s">
        <v>2471</v>
      </c>
      <c r="B2451" s="5" t="str">
        <f>IFERROR(__xludf.DUMMYFUNCTION("IF(A2451="""","""",INDEX(SPLIT(A2451,"" ""),COUNTA(SPLIT(A2451,"" ""))))"),"Formigara")</f>
        <v>Formigara</v>
      </c>
      <c r="C2451" s="6"/>
      <c r="D2451" s="6" t="s">
        <v>2428</v>
      </c>
      <c r="E2451" s="12" t="s">
        <v>2429</v>
      </c>
    </row>
    <row r="2452">
      <c r="A2452" s="4" t="s">
        <v>2472</v>
      </c>
      <c r="B2452" s="5" t="str">
        <f>IFERROR(__xludf.DUMMYFUNCTION("IF(A2452="""","""",INDEX(SPLIT(A2452,"" ""),COUNTA(SPLIT(A2452,"" ""))))"),"GabbionetaBinanuova")</f>
        <v>GabbionetaBinanuova</v>
      </c>
      <c r="C2452" s="6"/>
      <c r="D2452" s="6" t="s">
        <v>2428</v>
      </c>
      <c r="E2452" s="12" t="s">
        <v>2429</v>
      </c>
    </row>
    <row r="2453">
      <c r="A2453" s="4" t="s">
        <v>2473</v>
      </c>
      <c r="B2453" s="5" t="str">
        <f>IFERROR(__xludf.DUMMYFUNCTION("IF(A2453="""","""",INDEX(SPLIT(A2453,"" ""),COUNTA(SPLIT(A2453,"" ""))))"),"Delmona")</f>
        <v>Delmona</v>
      </c>
      <c r="C2453" s="6"/>
      <c r="D2453" s="6" t="s">
        <v>2428</v>
      </c>
      <c r="E2453" s="12" t="s">
        <v>2429</v>
      </c>
    </row>
    <row r="2454">
      <c r="A2454" s="4" t="s">
        <v>2474</v>
      </c>
      <c r="B2454" s="5" t="str">
        <f>IFERROR(__xludf.DUMMYFUNCTION("IF(A2454="""","""",INDEX(SPLIT(A2454,"" ""),COUNTA(SPLIT(A2454,"" ""))))"),"Genivolta")</f>
        <v>Genivolta</v>
      </c>
      <c r="C2454" s="6"/>
      <c r="D2454" s="6" t="s">
        <v>2428</v>
      </c>
      <c r="E2454" s="12" t="s">
        <v>2429</v>
      </c>
    </row>
    <row r="2455">
      <c r="A2455" s="4" t="s">
        <v>2475</v>
      </c>
      <c r="B2455" s="5" t="str">
        <f>IFERROR(__xludf.DUMMYFUNCTION("IF(A2455="""","""",INDEX(SPLIT(A2455,"" ""),COUNTA(SPLIT(A2455,"" ""))))"),"Caprioli")</f>
        <v>Caprioli</v>
      </c>
      <c r="C2455" s="6"/>
      <c r="D2455" s="6" t="s">
        <v>2428</v>
      </c>
      <c r="E2455" s="12" t="s">
        <v>2429</v>
      </c>
    </row>
    <row r="2456">
      <c r="A2456" s="4" t="s">
        <v>2476</v>
      </c>
      <c r="B2456" s="5" t="str">
        <f>IFERROR(__xludf.DUMMYFUNCTION("IF(A2456="""","""",INDEX(SPLIT(A2456,"" ""),COUNTA(SPLIT(A2456,"" ""))))"),"Gombito")</f>
        <v>Gombito</v>
      </c>
      <c r="C2456" s="6"/>
      <c r="D2456" s="6" t="s">
        <v>2428</v>
      </c>
      <c r="E2456" s="12" t="s">
        <v>2429</v>
      </c>
    </row>
    <row r="2457">
      <c r="A2457" s="4" t="s">
        <v>2477</v>
      </c>
      <c r="B2457" s="5" t="str">
        <f>IFERROR(__xludf.DUMMYFUNCTION("IF(A2457="""","""",INDEX(SPLIT(A2457,"" ""),COUNTA(SPLIT(A2457,"" ""))))"),"Grontardo")</f>
        <v>Grontardo</v>
      </c>
      <c r="C2457" s="6"/>
      <c r="D2457" s="6" t="s">
        <v>2428</v>
      </c>
      <c r="E2457" s="12" t="s">
        <v>2429</v>
      </c>
    </row>
    <row r="2458">
      <c r="A2458" s="4" t="s">
        <v>2478</v>
      </c>
      <c r="B2458" s="5" t="str">
        <f>IFERROR(__xludf.DUMMYFUNCTION("IF(A2458="""","""",INDEX(SPLIT(A2458,"" ""),COUNTA(SPLIT(A2458,"" ""))))"),"Uniti")</f>
        <v>Uniti</v>
      </c>
      <c r="C2458" s="6"/>
      <c r="D2458" s="6" t="s">
        <v>2428</v>
      </c>
      <c r="E2458" s="12" t="s">
        <v>2429</v>
      </c>
    </row>
    <row r="2459">
      <c r="A2459" s="4" t="s">
        <v>2479</v>
      </c>
      <c r="B2459" s="5" t="str">
        <f>IFERROR(__xludf.DUMMYFUNCTION("IF(A2459="""","""",INDEX(SPLIT(A2459,"" ""),COUNTA(SPLIT(A2459,"" ""))))"),"Gussola")</f>
        <v>Gussola</v>
      </c>
      <c r="C2459" s="6"/>
      <c r="D2459" s="6" t="s">
        <v>2428</v>
      </c>
      <c r="E2459" s="12" t="s">
        <v>2429</v>
      </c>
    </row>
    <row r="2460">
      <c r="A2460" s="4" t="s">
        <v>2480</v>
      </c>
      <c r="B2460" s="5" t="str">
        <f>IFERROR(__xludf.DUMMYFUNCTION("IF(A2460="""","""",INDEX(SPLIT(A2460,"" ""),COUNTA(SPLIT(A2460,"" ""))))"),"Dovarese")</f>
        <v>Dovarese</v>
      </c>
      <c r="C2460" s="6"/>
      <c r="D2460" s="6" t="s">
        <v>2428</v>
      </c>
      <c r="E2460" s="12" t="s">
        <v>2429</v>
      </c>
    </row>
    <row r="2461">
      <c r="A2461" s="4" t="s">
        <v>2481</v>
      </c>
      <c r="B2461" s="5" t="str">
        <f>IFERROR(__xludf.DUMMYFUNCTION("IF(A2461="""","""",INDEX(SPLIT(A2461,"" ""),COUNTA(SPLIT(A2461,"" ""))))"),"Izano")</f>
        <v>Izano</v>
      </c>
      <c r="C2461" s="6"/>
      <c r="D2461" s="6" t="s">
        <v>2428</v>
      </c>
      <c r="E2461" s="12" t="s">
        <v>2429</v>
      </c>
    </row>
    <row r="2462">
      <c r="A2462" s="4" t="s">
        <v>2482</v>
      </c>
      <c r="B2462" s="5" t="str">
        <f>IFERROR(__xludf.DUMMYFUNCTION("IF(A2462="""","""",INDEX(SPLIT(A2462,"" ""),COUNTA(SPLIT(A2462,"" ""))))"),"Madignano")</f>
        <v>Madignano</v>
      </c>
      <c r="C2462" s="6"/>
      <c r="D2462" s="6" t="s">
        <v>2428</v>
      </c>
      <c r="E2462" s="12" t="s">
        <v>2429</v>
      </c>
    </row>
    <row r="2463">
      <c r="A2463" s="4" t="s">
        <v>2483</v>
      </c>
      <c r="B2463" s="5" t="str">
        <f>IFERROR(__xludf.DUMMYFUNCTION("IF(A2463="""","""",INDEX(SPLIT(A2463,"" ""),COUNTA(SPLIT(A2463,"" ""))))"),"Malagnino")</f>
        <v>Malagnino</v>
      </c>
      <c r="C2463" s="6"/>
      <c r="D2463" s="6" t="s">
        <v>2428</v>
      </c>
      <c r="E2463" s="12" t="s">
        <v>2429</v>
      </c>
    </row>
    <row r="2464">
      <c r="A2464" s="4" t="s">
        <v>2484</v>
      </c>
      <c r="B2464" s="5" t="str">
        <f>IFERROR(__xludf.DUMMYFUNCTION("IF(A2464="""","""",INDEX(SPLIT(A2464,"" ""),COUNTA(SPLIT(A2464,"" ""))))"),"Po")</f>
        <v>Po</v>
      </c>
      <c r="C2464" s="6"/>
      <c r="D2464" s="6" t="s">
        <v>2428</v>
      </c>
      <c r="E2464" s="12" t="s">
        <v>2429</v>
      </c>
    </row>
    <row r="2465">
      <c r="A2465" s="4" t="s">
        <v>2485</v>
      </c>
      <c r="B2465" s="5" t="str">
        <f>IFERROR(__xludf.DUMMYFUNCTION("IF(A2465="""","""",INDEX(SPLIT(A2465,"" ""),COUNTA(SPLIT(A2465,"" ""))))"),"Cremasco")</f>
        <v>Cremasco</v>
      </c>
      <c r="C2465" s="6"/>
      <c r="D2465" s="6" t="s">
        <v>2428</v>
      </c>
      <c r="E2465" s="12" t="s">
        <v>2429</v>
      </c>
    </row>
    <row r="2466">
      <c r="A2466" s="4" t="s">
        <v>2486</v>
      </c>
      <c r="B2466" s="5" t="str">
        <f>IFERROR(__xludf.DUMMYFUNCTION("IF(A2466="""","""",INDEX(SPLIT(A2466,"" ""),COUNTA(SPLIT(A2466,"" ""))))"),"Montodine")</f>
        <v>Montodine</v>
      </c>
      <c r="C2466" s="6"/>
      <c r="D2466" s="6" t="s">
        <v>2428</v>
      </c>
      <c r="E2466" s="12" t="s">
        <v>2429</v>
      </c>
    </row>
    <row r="2467">
      <c r="A2467" s="4" t="s">
        <v>2487</v>
      </c>
      <c r="B2467" s="5" t="str">
        <f>IFERROR(__xludf.DUMMYFUNCTION("IF(A2467="""","""",INDEX(SPLIT(A2467,"" ""),COUNTA(SPLIT(A2467,"" ""))))"),"Moscazzano")</f>
        <v>Moscazzano</v>
      </c>
      <c r="C2467" s="6"/>
      <c r="D2467" s="6" t="s">
        <v>2428</v>
      </c>
      <c r="E2467" s="12" t="s">
        <v>2429</v>
      </c>
    </row>
    <row r="2468">
      <c r="A2468" s="4" t="s">
        <v>2488</v>
      </c>
      <c r="B2468" s="5" t="str">
        <f>IFERROR(__xludf.DUMMYFUNCTION("IF(A2468="""","""",INDEX(SPLIT(A2468,"" ""),COUNTA(SPLIT(A2468,"" ""))))"),"Baluffi")</f>
        <v>Baluffi</v>
      </c>
      <c r="C2468" s="6"/>
      <c r="D2468" s="6" t="s">
        <v>2428</v>
      </c>
      <c r="E2468" s="12" t="s">
        <v>2429</v>
      </c>
    </row>
    <row r="2469">
      <c r="A2469" s="4" t="s">
        <v>2489</v>
      </c>
      <c r="B2469" s="5" t="str">
        <f>IFERROR(__xludf.DUMMYFUNCTION("IF(A2469="""","""",INDEX(SPLIT(A2469,"" ""),COUNTA(SPLIT(A2469,"" ""))))"),"Offanengo")</f>
        <v>Offanengo</v>
      </c>
      <c r="C2469" s="6"/>
      <c r="D2469" s="6" t="s">
        <v>2428</v>
      </c>
      <c r="E2469" s="12" t="s">
        <v>2429</v>
      </c>
    </row>
    <row r="2470">
      <c r="A2470" s="4" t="s">
        <v>2490</v>
      </c>
      <c r="B2470" s="5" t="str">
        <f>IFERROR(__xludf.DUMMYFUNCTION("IF(A2470="""","""",INDEX(SPLIT(A2470,"" ""),COUNTA(SPLIT(A2470,"" ""))))"),"Olmeneta")</f>
        <v>Olmeneta</v>
      </c>
      <c r="C2470" s="6"/>
      <c r="D2470" s="6" t="s">
        <v>2428</v>
      </c>
      <c r="E2470" s="12" t="s">
        <v>2429</v>
      </c>
    </row>
    <row r="2471">
      <c r="A2471" s="4" t="s">
        <v>2491</v>
      </c>
      <c r="B2471" s="5" t="str">
        <f>IFERROR(__xludf.DUMMYFUNCTION("IF(A2471="""","""",INDEX(SPLIT(A2471,"" ""),COUNTA(SPLIT(A2471,"" ""))))"),"Ostiano")</f>
        <v>Ostiano</v>
      </c>
      <c r="C2471" s="6"/>
      <c r="D2471" s="6" t="s">
        <v>2428</v>
      </c>
      <c r="E2471" s="12" t="s">
        <v>2429</v>
      </c>
    </row>
    <row r="2472">
      <c r="A2472" s="4" t="s">
        <v>2492</v>
      </c>
      <c r="B2472" s="5" t="str">
        <f>IFERROR(__xludf.DUMMYFUNCTION("IF(A2472="""","""",INDEX(SPLIT(A2472,"" ""),COUNTA(SPLIT(A2472,"" ""))))"),"Ponchielli")</f>
        <v>Ponchielli</v>
      </c>
      <c r="C2472" s="6"/>
      <c r="D2472" s="6" t="s">
        <v>2428</v>
      </c>
      <c r="E2472" s="12" t="s">
        <v>2429</v>
      </c>
    </row>
    <row r="2473">
      <c r="A2473" s="4" t="s">
        <v>2493</v>
      </c>
      <c r="B2473" s="5" t="str">
        <f>IFERROR(__xludf.DUMMYFUNCTION("IF(A2473="""","""",INDEX(SPLIT(A2473,"" ""),COUNTA(SPLIT(A2473,"" ""))))"),"Pignano")</f>
        <v>Pignano</v>
      </c>
      <c r="C2473" s="6"/>
      <c r="D2473" s="6" t="s">
        <v>2428</v>
      </c>
      <c r="E2473" s="12" t="s">
        <v>2429</v>
      </c>
    </row>
    <row r="2474">
      <c r="A2474" s="4" t="s">
        <v>2494</v>
      </c>
      <c r="B2474" s="5" t="str">
        <f>IFERROR(__xludf.DUMMYFUNCTION("IF(A2474="""","""",INDEX(SPLIT(A2474,"" ""),COUNTA(SPLIT(A2474,"" ""))))"),"Pandino")</f>
        <v>Pandino</v>
      </c>
      <c r="C2474" s="6"/>
      <c r="D2474" s="6" t="s">
        <v>2428</v>
      </c>
      <c r="E2474" s="12" t="s">
        <v>2429</v>
      </c>
    </row>
    <row r="2475">
      <c r="A2475" s="4" t="s">
        <v>2495</v>
      </c>
      <c r="B2475" s="5" t="str">
        <f>IFERROR(__xludf.DUMMYFUNCTION("IF(A2475="""","""",INDEX(SPLIT(A2475,"" ""),COUNTA(SPLIT(A2475,"" ""))))"),"Dosimo")</f>
        <v>Dosimo</v>
      </c>
      <c r="C2475" s="6"/>
      <c r="D2475" s="6" t="s">
        <v>2428</v>
      </c>
      <c r="E2475" s="12" t="s">
        <v>2429</v>
      </c>
    </row>
    <row r="2476">
      <c r="A2476" s="4" t="s">
        <v>2496</v>
      </c>
      <c r="B2476" s="5" t="str">
        <f>IFERROR(__xludf.DUMMYFUNCTION("IF(A2476="""","""",INDEX(SPLIT(A2476,"" ""),COUNTA(SPLIT(A2476,"" ""))))"),"Uniti")</f>
        <v>Uniti</v>
      </c>
      <c r="C2476" s="6"/>
      <c r="D2476" s="6" t="s">
        <v>2428</v>
      </c>
      <c r="E2476" s="12" t="s">
        <v>2429</v>
      </c>
    </row>
    <row r="2477">
      <c r="A2477" s="4" t="s">
        <v>2497</v>
      </c>
      <c r="B2477" s="5" t="str">
        <f>IFERROR(__xludf.DUMMYFUNCTION("IF(A2477="""","""",INDEX(SPLIT(A2477,"" ""),COUNTA(SPLIT(A2477,"" ""))))"),"Cremonese")</f>
        <v>Cremonese</v>
      </c>
      <c r="C2477" s="6"/>
      <c r="D2477" s="6" t="s">
        <v>2428</v>
      </c>
      <c r="E2477" s="12" t="s">
        <v>2429</v>
      </c>
    </row>
    <row r="2478">
      <c r="A2478" s="4" t="s">
        <v>2498</v>
      </c>
      <c r="B2478" s="5" t="str">
        <f>IFERROR(__xludf.DUMMYFUNCTION("IF(A2478="""","""",INDEX(SPLIT(A2478,"" ""),COUNTA(SPLIT(A2478,"" ""))))"),"Piadena")</f>
        <v>Piadena</v>
      </c>
      <c r="C2478" s="6"/>
      <c r="D2478" s="6" t="s">
        <v>2428</v>
      </c>
      <c r="E2478" s="12" t="s">
        <v>2429</v>
      </c>
    </row>
    <row r="2479">
      <c r="A2479" s="4" t="s">
        <v>2499</v>
      </c>
      <c r="B2479" s="5" t="str">
        <f>IFERROR(__xludf.DUMMYFUNCTION("IF(A2479="""","""",INDEX(SPLIT(A2479,"" ""),COUNTA(SPLIT(A2479,"" ""))))"),"Pianengo")</f>
        <v>Pianengo</v>
      </c>
      <c r="C2479" s="6"/>
      <c r="D2479" s="6" t="s">
        <v>2428</v>
      </c>
      <c r="E2479" s="12" t="s">
        <v>2429</v>
      </c>
    </row>
    <row r="2480">
      <c r="A2480" s="4" t="s">
        <v>2500</v>
      </c>
      <c r="B2480" s="5" t="str">
        <f>IFERROR(__xludf.DUMMYFUNCTION("IF(A2480="""","""",INDEX(SPLIT(A2480,"" ""),COUNTA(SPLIT(A2480,"" ""))))"),"Pieranica")</f>
        <v>Pieranica</v>
      </c>
      <c r="C2480" s="6"/>
      <c r="D2480" s="6" t="s">
        <v>2428</v>
      </c>
      <c r="E2480" s="12" t="s">
        <v>2429</v>
      </c>
    </row>
    <row r="2481">
      <c r="A2481" s="4" t="s">
        <v>2501</v>
      </c>
      <c r="B2481" s="5" t="str">
        <f>IFERROR(__xludf.DUMMYFUNCTION("IF(A2481="""","""",INDEX(SPLIT(A2481,"" ""),COUNTA(SPLIT(A2481,"" ""))))"),"d'Olmi")</f>
        <v>d'Olmi</v>
      </c>
      <c r="C2481" s="6"/>
      <c r="D2481" s="6" t="s">
        <v>2428</v>
      </c>
      <c r="E2481" s="12" t="s">
        <v>2429</v>
      </c>
    </row>
    <row r="2482">
      <c r="A2482" s="4" t="s">
        <v>2502</v>
      </c>
      <c r="B2482" s="5" t="str">
        <f>IFERROR(__xludf.DUMMYFUNCTION("IF(A2482="""","""",INDEX(SPLIT(A2482,"" ""),COUNTA(SPLIT(A2482,"" ""))))"),"Giacomo")</f>
        <v>Giacomo</v>
      </c>
      <c r="C2482" s="6"/>
      <c r="D2482" s="6" t="s">
        <v>2428</v>
      </c>
      <c r="E2482" s="12" t="s">
        <v>2429</v>
      </c>
    </row>
    <row r="2483">
      <c r="A2483" s="4" t="s">
        <v>2503</v>
      </c>
      <c r="B2483" s="5" t="str">
        <f>IFERROR(__xludf.DUMMYFUNCTION("IF(A2483="""","""",INDEX(SPLIT(A2483,"" ""),COUNTA(SPLIT(A2483,"" ""))))"),"Pizzighettone")</f>
        <v>Pizzighettone</v>
      </c>
      <c r="C2483" s="6"/>
      <c r="D2483" s="6" t="s">
        <v>2428</v>
      </c>
      <c r="E2483" s="12" t="s">
        <v>2429</v>
      </c>
    </row>
    <row r="2484">
      <c r="A2484" s="4" t="s">
        <v>2504</v>
      </c>
      <c r="B2484" s="5" t="str">
        <f>IFERROR(__xludf.DUMMYFUNCTION("IF(A2484="""","""",INDEX(SPLIT(A2484,"" ""),COUNTA(SPLIT(A2484,"" ""))))"),"Uniti")</f>
        <v>Uniti</v>
      </c>
      <c r="C2484" s="6"/>
      <c r="D2484" s="6" t="s">
        <v>2428</v>
      </c>
      <c r="E2484" s="12" t="s">
        <v>2429</v>
      </c>
    </row>
    <row r="2485">
      <c r="A2485" s="4" t="s">
        <v>2505</v>
      </c>
      <c r="B2485" s="5" t="str">
        <f>IFERROR(__xludf.DUMMYFUNCTION("IF(A2485="""","""",INDEX(SPLIT(A2485,"" ""),COUNTA(SPLIT(A2485,"" ""))))"),"Quintano")</f>
        <v>Quintano</v>
      </c>
      <c r="C2485" s="6"/>
      <c r="D2485" s="6" t="s">
        <v>2428</v>
      </c>
      <c r="E2485" s="12" t="s">
        <v>2429</v>
      </c>
    </row>
    <row r="2486">
      <c r="A2486" s="4" t="s">
        <v>2506</v>
      </c>
      <c r="B2486" s="5" t="str">
        <f>IFERROR(__xludf.DUMMYFUNCTION("IF(A2486="""","""",INDEX(SPLIT(A2486,"" ""),COUNTA(SPLIT(A2486,"" ""))))"),"Ricengo")</f>
        <v>Ricengo</v>
      </c>
      <c r="C2486" s="6"/>
      <c r="D2486" s="6" t="s">
        <v>2428</v>
      </c>
      <c r="E2486" s="12" t="s">
        <v>2429</v>
      </c>
    </row>
    <row r="2487">
      <c r="A2487" s="4" t="s">
        <v>2507</v>
      </c>
      <c r="B2487" s="5" t="str">
        <f>IFERROR(__xludf.DUMMYFUNCTION("IF(A2487="""","""",INDEX(SPLIT(A2487,"" ""),COUNTA(SPLIT(A2487,"" ""))))"),"Arpina")</f>
        <v>Arpina</v>
      </c>
      <c r="C2487" s="6"/>
      <c r="D2487" s="6" t="s">
        <v>2428</v>
      </c>
      <c r="E2487" s="12" t="s">
        <v>2429</v>
      </c>
    </row>
    <row r="2488">
      <c r="A2488" s="4" t="s">
        <v>2508</v>
      </c>
      <c r="B2488" s="5" t="str">
        <f>IFERROR(__xludf.DUMMYFUNCTION("IF(A2488="""","""",INDEX(SPLIT(A2488,"" ""),COUNTA(SPLIT(A2488,"" ""))))"),"Cremasca")</f>
        <v>Cremasca</v>
      </c>
      <c r="C2488" s="6"/>
      <c r="D2488" s="6" t="s">
        <v>2428</v>
      </c>
      <c r="E2488" s="12" t="s">
        <v>2429</v>
      </c>
    </row>
    <row r="2489">
      <c r="A2489" s="4" t="s">
        <v>2509</v>
      </c>
      <c r="B2489" s="5" t="str">
        <f>IFERROR(__xludf.DUMMYFUNCTION("IF(A2489="""","""",INDEX(SPLIT(A2489,"" ""),COUNTA(SPLIT(A2489,"" ""))))"),"Guerina")</f>
        <v>Guerina</v>
      </c>
      <c r="C2489" s="6"/>
      <c r="D2489" s="6" t="s">
        <v>2428</v>
      </c>
      <c r="E2489" s="12" t="s">
        <v>2429</v>
      </c>
    </row>
    <row r="2490">
      <c r="A2490" s="4" t="s">
        <v>2510</v>
      </c>
      <c r="B2490" s="5" t="str">
        <f>IFERROR(__xludf.DUMMYFUNCTION("IF(A2490="""","""",INDEX(SPLIT(A2490,"" ""),COUNTA(SPLIT(A2490,"" ""))))"),"Uniti")</f>
        <v>Uniti</v>
      </c>
      <c r="C2490" s="6"/>
      <c r="D2490" s="6" t="s">
        <v>2428</v>
      </c>
      <c r="E2490" s="12" t="s">
        <v>2429</v>
      </c>
    </row>
    <row r="2491">
      <c r="A2491" s="4" t="s">
        <v>2511</v>
      </c>
      <c r="B2491" s="5" t="str">
        <f>IFERROR(__xludf.DUMMYFUNCTION("IF(A2491="""","""",INDEX(SPLIT(A2491,"" ""),COUNTA(SPLIT(A2491,"" ""))))"),"d'Adda")</f>
        <v>d'Adda</v>
      </c>
      <c r="C2491" s="6"/>
      <c r="D2491" s="6" t="s">
        <v>2428</v>
      </c>
      <c r="E2491" s="12" t="s">
        <v>2429</v>
      </c>
    </row>
    <row r="2492">
      <c r="A2492" s="4" t="s">
        <v>2512</v>
      </c>
      <c r="B2492" s="5" t="str">
        <f>IFERROR(__xludf.DUMMYFUNCTION("IF(A2492="""","""",INDEX(SPLIT(A2492,"" ""),COUNTA(SPLIT(A2492,"" ""))))"),"d'Oglio")</f>
        <v>d'Oglio</v>
      </c>
      <c r="C2492" s="6"/>
      <c r="D2492" s="6" t="s">
        <v>2428</v>
      </c>
      <c r="E2492" s="12" t="s">
        <v>2429</v>
      </c>
    </row>
    <row r="2493">
      <c r="A2493" s="4" t="s">
        <v>2513</v>
      </c>
      <c r="B2493" s="5" t="str">
        <f>IFERROR(__xludf.DUMMYFUNCTION("IF(A2493="""","""",INDEX(SPLIT(A2493,"" ""),COUNTA(SPLIT(A2493,"" ""))))"),"Romanengo")</f>
        <v>Romanengo</v>
      </c>
      <c r="C2493" s="6"/>
      <c r="D2493" s="6" t="s">
        <v>2428</v>
      </c>
      <c r="E2493" s="12" t="s">
        <v>2429</v>
      </c>
    </row>
    <row r="2494">
      <c r="A2494" s="4" t="s">
        <v>2514</v>
      </c>
      <c r="B2494" s="5" t="str">
        <f>IFERROR(__xludf.DUMMYFUNCTION("IF(A2494="""","""",INDEX(SPLIT(A2494,"" ""),COUNTA(SPLIT(A2494,"" ""))))"),"Salvirola")</f>
        <v>Salvirola</v>
      </c>
      <c r="C2494" s="6"/>
      <c r="D2494" s="6" t="s">
        <v>2428</v>
      </c>
      <c r="E2494" s="12" t="s">
        <v>2429</v>
      </c>
    </row>
    <row r="2495">
      <c r="A2495" s="4" t="s">
        <v>2515</v>
      </c>
      <c r="B2495" s="5" t="str">
        <f>IFERROR(__xludf.DUMMYFUNCTION("IF(A2495="""","""",INDEX(SPLIT(A2495,"" ""),COUNTA(SPLIT(A2495,"" ""))))"),"Bassano")</f>
        <v>Bassano</v>
      </c>
      <c r="C2495" s="6"/>
      <c r="D2495" s="6" t="s">
        <v>2428</v>
      </c>
      <c r="E2495" s="12" t="s">
        <v>2429</v>
      </c>
    </row>
    <row r="2496">
      <c r="A2496" s="4" t="s">
        <v>2516</v>
      </c>
      <c r="B2496" s="5" t="str">
        <f>IFERROR(__xludf.DUMMYFUNCTION("IF(A2496="""","""",INDEX(SPLIT(A2496,"" ""),COUNTA(SPLIT(A2496,"" ""))))"),"Po")</f>
        <v>Po</v>
      </c>
      <c r="C2496" s="6"/>
      <c r="D2496" s="6" t="s">
        <v>2428</v>
      </c>
      <c r="E2496" s="12" t="s">
        <v>2429</v>
      </c>
    </row>
    <row r="2497">
      <c r="A2497" s="4" t="s">
        <v>2517</v>
      </c>
      <c r="B2497" s="5" t="str">
        <f>IFERROR(__xludf.DUMMYFUNCTION("IF(A2497="""","""",INDEX(SPLIT(A2497,"" ""),COUNTA(SPLIT(A2497,"" ""))))"),"Croce")</f>
        <v>Croce</v>
      </c>
      <c r="C2497" s="6"/>
      <c r="D2497" s="6" t="s">
        <v>2428</v>
      </c>
      <c r="E2497" s="12" t="s">
        <v>2429</v>
      </c>
    </row>
    <row r="2498">
      <c r="A2498" s="4" t="s">
        <v>2518</v>
      </c>
      <c r="B2498" s="5" t="str">
        <f>IFERROR(__xludf.DUMMYFUNCTION("IF(A2498="""","""",INDEX(SPLIT(A2498,"" ""),COUNTA(SPLIT(A2498,"" ""))))"),"Lago")</f>
        <v>Lago</v>
      </c>
      <c r="C2498" s="6"/>
      <c r="D2498" s="6" t="s">
        <v>2428</v>
      </c>
      <c r="E2498" s="12" t="s">
        <v>2429</v>
      </c>
    </row>
    <row r="2499">
      <c r="A2499" s="4" t="s">
        <v>2519</v>
      </c>
      <c r="B2499" s="5" t="str">
        <f>IFERROR(__xludf.DUMMYFUNCTION("IF(A2499="""","""",INDEX(SPLIT(A2499,"" ""),COUNTA(SPLIT(A2499,"" ""))))"),"Ravara")</f>
        <v>Ravara</v>
      </c>
      <c r="C2499" s="6"/>
      <c r="D2499" s="6" t="s">
        <v>2428</v>
      </c>
      <c r="E2499" s="12" t="s">
        <v>2429</v>
      </c>
    </row>
    <row r="2500">
      <c r="A2500" s="4" t="s">
        <v>2520</v>
      </c>
      <c r="B2500" s="5" t="str">
        <f>IFERROR(__xludf.DUMMYFUNCTION("IF(A2500="""","""",INDEX(SPLIT(A2500,"" ""),COUNTA(SPLIT(A2500,"" ""))))"),"d'Oglio")</f>
        <v>d'Oglio</v>
      </c>
      <c r="C2500" s="6"/>
      <c r="D2500" s="6" t="s">
        <v>2428</v>
      </c>
      <c r="E2500" s="12" t="s">
        <v>2429</v>
      </c>
    </row>
    <row r="2501">
      <c r="A2501" s="4" t="s">
        <v>2521</v>
      </c>
      <c r="B2501" s="5" t="str">
        <f>IFERROR(__xludf.DUMMYFUNCTION("IF(A2501="""","""",INDEX(SPLIT(A2501,"" ""),COUNTA(SPLIT(A2501,"" ""))))"),"Sergnano")</f>
        <v>Sergnano</v>
      </c>
      <c r="C2501" s="6"/>
      <c r="D2501" s="6" t="s">
        <v>2428</v>
      </c>
      <c r="E2501" s="12" t="s">
        <v>2429</v>
      </c>
    </row>
    <row r="2502">
      <c r="A2502" s="4" t="s">
        <v>2522</v>
      </c>
      <c r="B2502" s="5" t="str">
        <f>IFERROR(__xludf.DUMMYFUNCTION("IF(A2502="""","""",INDEX(SPLIT(A2502,"" ""),COUNTA(SPLIT(A2502,"" ""))))"),"Uniti")</f>
        <v>Uniti</v>
      </c>
      <c r="C2502" s="6"/>
      <c r="D2502" s="6" t="s">
        <v>2428</v>
      </c>
      <c r="E2502" s="12" t="s">
        <v>2429</v>
      </c>
    </row>
    <row r="2503">
      <c r="A2503" s="4" t="s">
        <v>2523</v>
      </c>
      <c r="B2503" s="5" t="str">
        <f>IFERROR(__xludf.DUMMYFUNCTION("IF(A2503="""","""",INDEX(SPLIT(A2503,"" ""),COUNTA(SPLIT(A2503,"" ""))))"),"Rainerio")</f>
        <v>Rainerio</v>
      </c>
      <c r="C2503" s="6"/>
      <c r="D2503" s="6" t="s">
        <v>2428</v>
      </c>
      <c r="E2503" s="12" t="s">
        <v>2429</v>
      </c>
    </row>
    <row r="2504">
      <c r="A2504" s="4" t="s">
        <v>2524</v>
      </c>
      <c r="B2504" s="5" t="str">
        <f>IFERROR(__xludf.DUMMYFUNCTION("IF(A2504="""","""",INDEX(SPLIT(A2504,"" ""),COUNTA(SPLIT(A2504,"" ""))))"),"Soncino")</f>
        <v>Soncino</v>
      </c>
      <c r="C2504" s="6"/>
      <c r="D2504" s="6" t="s">
        <v>2428</v>
      </c>
      <c r="E2504" s="12" t="s">
        <v>2429</v>
      </c>
    </row>
    <row r="2505">
      <c r="A2505" s="4" t="s">
        <v>2525</v>
      </c>
      <c r="B2505" s="5" t="str">
        <f>IFERROR(__xludf.DUMMYFUNCTION("IF(A2505="""","""",INDEX(SPLIT(A2505,"" ""),COUNTA(SPLIT(A2505,"" ""))))"),"Soresina")</f>
        <v>Soresina</v>
      </c>
      <c r="C2505" s="6"/>
      <c r="D2505" s="6" t="s">
        <v>2428</v>
      </c>
      <c r="E2505" s="12" t="s">
        <v>2429</v>
      </c>
    </row>
    <row r="2506">
      <c r="A2506" s="4" t="s">
        <v>2526</v>
      </c>
      <c r="B2506" s="5" t="str">
        <f>IFERROR(__xludf.DUMMYFUNCTION("IF(A2506="""","""",INDEX(SPLIT(A2506,"" ""),COUNTA(SPLIT(A2506,"" ""))))"),"Sospiro")</f>
        <v>Sospiro</v>
      </c>
      <c r="C2506" s="6"/>
      <c r="D2506" s="6" t="s">
        <v>2428</v>
      </c>
      <c r="E2506" s="12" t="s">
        <v>2429</v>
      </c>
    </row>
    <row r="2507">
      <c r="A2507" s="4" t="s">
        <v>2527</v>
      </c>
      <c r="B2507" s="5" t="str">
        <f>IFERROR(__xludf.DUMMYFUNCTION("IF(A2507="""","""",INDEX(SPLIT(A2507,"" ""),COUNTA(SPLIT(A2507,"" ""))))"),"Spinadesco")</f>
        <v>Spinadesco</v>
      </c>
      <c r="C2507" s="6"/>
      <c r="D2507" s="6" t="s">
        <v>2428</v>
      </c>
      <c r="E2507" s="12" t="s">
        <v>2429</v>
      </c>
    </row>
    <row r="2508">
      <c r="A2508" s="4" t="s">
        <v>2528</v>
      </c>
      <c r="B2508" s="5" t="str">
        <f>IFERROR(__xludf.DUMMYFUNCTION("IF(A2508="""","""",INDEX(SPLIT(A2508,"" ""),COUNTA(SPLIT(A2508,"" ""))))"),"Spineda")</f>
        <v>Spineda</v>
      </c>
      <c r="C2508" s="6"/>
      <c r="D2508" s="6" t="s">
        <v>2428</v>
      </c>
      <c r="E2508" s="12" t="s">
        <v>2429</v>
      </c>
    </row>
    <row r="2509">
      <c r="A2509" s="4" t="s">
        <v>2529</v>
      </c>
      <c r="B2509" s="5" t="str">
        <f>IFERROR(__xludf.DUMMYFUNCTION("IF(A2509="""","""",INDEX(SPLIT(A2509,"" ""),COUNTA(SPLIT(A2509,"" ""))))"),"d'Adda")</f>
        <v>d'Adda</v>
      </c>
      <c r="C2509" s="6"/>
      <c r="D2509" s="6" t="s">
        <v>2428</v>
      </c>
      <c r="E2509" s="12" t="s">
        <v>2429</v>
      </c>
    </row>
    <row r="2510">
      <c r="A2510" s="4" t="s">
        <v>2530</v>
      </c>
      <c r="B2510" s="5" t="str">
        <f>IFERROR(__xludf.DUMMYFUNCTION("IF(A2510="""","""",INDEX(SPLIT(A2510,"" ""),COUNTA(SPLIT(A2510,"" ""))))"),"Lombardo")</f>
        <v>Lombardo</v>
      </c>
      <c r="C2510" s="6"/>
      <c r="D2510" s="6" t="s">
        <v>2428</v>
      </c>
      <c r="E2510" s="12" t="s">
        <v>2429</v>
      </c>
    </row>
    <row r="2511">
      <c r="A2511" s="4" t="s">
        <v>2531</v>
      </c>
      <c r="B2511" s="5" t="str">
        <f>IFERROR(__xludf.DUMMYFUNCTION("IF(A2511="""","""",INDEX(SPLIT(A2511,"" ""),COUNTA(SPLIT(A2511,"" ""))))"),"Ticengo")</f>
        <v>Ticengo</v>
      </c>
      <c r="C2511" s="6"/>
      <c r="D2511" s="6" t="s">
        <v>2428</v>
      </c>
      <c r="E2511" s="12" t="s">
        <v>2429</v>
      </c>
    </row>
    <row r="2512">
      <c r="A2512" s="4" t="s">
        <v>2532</v>
      </c>
      <c r="B2512" s="5" t="str">
        <f>IFERROR(__xludf.DUMMYFUNCTION("IF(A2512="""","""",INDEX(SPLIT(A2512,"" ""),COUNTA(SPLIT(A2512,"" ""))))"),"Vimercati")</f>
        <v>Vimercati</v>
      </c>
      <c r="C2512" s="6"/>
      <c r="D2512" s="6" t="s">
        <v>2428</v>
      </c>
      <c r="E2512" s="12" t="s">
        <v>2429</v>
      </c>
    </row>
    <row r="2513">
      <c r="A2513" s="4" t="s">
        <v>2533</v>
      </c>
      <c r="B2513" s="5" t="str">
        <f>IFERROR(__xludf.DUMMYFUNCTION("IF(A2513="""","""",INDEX(SPLIT(A2513,"" ""),COUNTA(SPLIT(A2513,"" ""))))"),"Tornata")</f>
        <v>Tornata</v>
      </c>
      <c r="C2513" s="6"/>
      <c r="D2513" s="6" t="s">
        <v>2428</v>
      </c>
      <c r="E2513" s="12" t="s">
        <v>2429</v>
      </c>
    </row>
    <row r="2514">
      <c r="A2514" s="4" t="s">
        <v>2534</v>
      </c>
      <c r="B2514" s="5" t="str">
        <f>IFERROR(__xludf.DUMMYFUNCTION("IF(A2514="""","""",INDEX(SPLIT(A2514,"" ""),COUNTA(SPLIT(A2514,"" ""))))"),"Picenardi")</f>
        <v>Picenardi</v>
      </c>
      <c r="C2514" s="6"/>
      <c r="D2514" s="6" t="s">
        <v>2428</v>
      </c>
      <c r="E2514" s="12" t="s">
        <v>2429</v>
      </c>
    </row>
    <row r="2515">
      <c r="A2515" s="4" t="s">
        <v>2535</v>
      </c>
      <c r="B2515" s="5" t="str">
        <f>IFERROR(__xludf.DUMMYFUNCTION("IF(A2515="""","""",INDEX(SPLIT(A2515,"" ""),COUNTA(SPLIT(A2515,"" ""))))"),"Pizzo")</f>
        <v>Pizzo</v>
      </c>
      <c r="C2515" s="6"/>
      <c r="D2515" s="6" t="s">
        <v>2428</v>
      </c>
      <c r="E2515" s="12" t="s">
        <v>2429</v>
      </c>
    </row>
    <row r="2516">
      <c r="A2516" s="4" t="s">
        <v>2536</v>
      </c>
      <c r="B2516" s="5" t="str">
        <f>IFERROR(__xludf.DUMMYFUNCTION("IF(A2516="""","""",INDEX(SPLIT(A2516,"" ""),COUNTA(SPLIT(A2516,"" ""))))"),"Cremasco")</f>
        <v>Cremasco</v>
      </c>
      <c r="C2516" s="6"/>
      <c r="D2516" s="6" t="s">
        <v>2428</v>
      </c>
      <c r="E2516" s="12" t="s">
        <v>2429</v>
      </c>
    </row>
    <row r="2517">
      <c r="A2517" s="4" t="s">
        <v>2537</v>
      </c>
      <c r="B2517" s="5" t="str">
        <f>IFERROR(__xludf.DUMMYFUNCTION("IF(A2517="""","""",INDEX(SPLIT(A2517,"" ""),COUNTA(SPLIT(A2517,"" ""))))"),"Trigolo")</f>
        <v>Trigolo</v>
      </c>
      <c r="C2517" s="6"/>
      <c r="D2517" s="6" t="s">
        <v>2428</v>
      </c>
      <c r="E2517" s="12" t="s">
        <v>2429</v>
      </c>
    </row>
    <row r="2518">
      <c r="A2518" s="4" t="s">
        <v>2538</v>
      </c>
      <c r="B2518" s="5" t="str">
        <f>IFERROR(__xludf.DUMMYFUNCTION("IF(A2518="""","""",INDEX(SPLIT(A2518,"" ""),COUNTA(SPLIT(A2518,"" ""))))"),"Cremasco")</f>
        <v>Cremasco</v>
      </c>
      <c r="C2518" s="6"/>
      <c r="D2518" s="6" t="s">
        <v>2428</v>
      </c>
      <c r="E2518" s="12" t="s">
        <v>2429</v>
      </c>
    </row>
    <row r="2519">
      <c r="A2519" s="4" t="s">
        <v>2539</v>
      </c>
      <c r="B2519" s="5" t="str">
        <f>IFERROR(__xludf.DUMMYFUNCTION("IF(A2519="""","""",INDEX(SPLIT(A2519,"" ""),COUNTA(SPLIT(A2519,"" ""))))"),"Vailate")</f>
        <v>Vailate</v>
      </c>
      <c r="C2519" s="6"/>
      <c r="D2519" s="6" t="s">
        <v>2428</v>
      </c>
      <c r="E2519" s="12" t="s">
        <v>2429</v>
      </c>
    </row>
    <row r="2520">
      <c r="A2520" s="4" t="s">
        <v>2540</v>
      </c>
      <c r="B2520" s="5" t="str">
        <f>IFERROR(__xludf.DUMMYFUNCTION("IF(A2520="""","""",INDEX(SPLIT(A2520,"" ""),COUNTA(SPLIT(A2520,"" ""))))"),"Vescovato")</f>
        <v>Vescovato</v>
      </c>
      <c r="C2520" s="6"/>
      <c r="D2520" s="6" t="s">
        <v>2428</v>
      </c>
      <c r="E2520" s="12" t="s">
        <v>2429</v>
      </c>
    </row>
    <row r="2521">
      <c r="A2521" s="4" t="s">
        <v>2541</v>
      </c>
      <c r="B2521" s="5" t="str">
        <f>IFERROR(__xludf.DUMMYFUNCTION("IF(A2521="""","""",INDEX(SPLIT(A2521,"" ""),COUNTA(SPLIT(A2521,"" ""))))"),"Volongo")</f>
        <v>Volongo</v>
      </c>
      <c r="C2521" s="6"/>
      <c r="D2521" s="6" t="s">
        <v>2428</v>
      </c>
      <c r="E2521" s="12" t="s">
        <v>2429</v>
      </c>
    </row>
    <row r="2522">
      <c r="A2522" s="4" t="s">
        <v>2542</v>
      </c>
      <c r="B2522" s="5" t="str">
        <f>IFERROR(__xludf.DUMMYFUNCTION("IF(A2522="""","""",INDEX(SPLIT(A2522,"" ""),COUNTA(SPLIT(A2522,"" ""))))"),"Voltido")</f>
        <v>Voltido</v>
      </c>
      <c r="C2522" s="6"/>
      <c r="D2522" s="6" t="s">
        <v>2428</v>
      </c>
      <c r="E2522" s="12" t="s">
        <v>2429</v>
      </c>
    </row>
    <row r="2523">
      <c r="A2523" s="4" t="s">
        <v>2543</v>
      </c>
      <c r="B2523" s="5" t="str">
        <f>IFERROR(__xludf.DUMMYFUNCTION("IF(A2523="""","""",INDEX(SPLIT(A2523,"" ""),COUNTA(SPLIT(A2523,"" ""))))"),"Chiese")</f>
        <v>Chiese</v>
      </c>
      <c r="C2523" s="6"/>
      <c r="D2523" s="6" t="s">
        <v>2544</v>
      </c>
      <c r="E2523" s="12" t="s">
        <v>2545</v>
      </c>
    </row>
    <row r="2524">
      <c r="A2524" s="4" t="s">
        <v>2546</v>
      </c>
      <c r="B2524" s="5" t="str">
        <f>IFERROR(__xludf.DUMMYFUNCTION("IF(A2524="""","""",INDEX(SPLIT(A2524,"" ""),COUNTA(SPLIT(A2524,"" ""))))"),"Asola")</f>
        <v>Asola</v>
      </c>
      <c r="C2524" s="6"/>
      <c r="D2524" s="6" t="s">
        <v>2544</v>
      </c>
      <c r="E2524" s="12" t="s">
        <v>2545</v>
      </c>
    </row>
    <row r="2525">
      <c r="A2525" s="4" t="s">
        <v>2547</v>
      </c>
      <c r="B2525" s="5" t="str">
        <f>IFERROR(__xludf.DUMMYFUNCTION("IF(A2525="""","""",INDEX(SPLIT(A2525,"" ""),COUNTA(SPLIT(A2525,"" ""))))"),"Vito")</f>
        <v>Vito</v>
      </c>
      <c r="C2525" s="6"/>
      <c r="D2525" s="6" t="s">
        <v>2544</v>
      </c>
      <c r="E2525" s="12" t="s">
        <v>2545</v>
      </c>
    </row>
    <row r="2526">
      <c r="A2526" s="4" t="s">
        <v>2548</v>
      </c>
      <c r="B2526" s="5" t="str">
        <f>IFERROR(__xludf.DUMMYFUNCTION("IF(A2526="""","""",INDEX(SPLIT(A2526,"" ""),COUNTA(SPLIT(A2526,"" ""))))"),"Bigarello")</f>
        <v>Bigarello</v>
      </c>
      <c r="C2526" s="6"/>
      <c r="D2526" s="6" t="s">
        <v>2544</v>
      </c>
      <c r="E2526" s="12" t="s">
        <v>2545</v>
      </c>
    </row>
    <row r="2527">
      <c r="A2527" s="4" t="s">
        <v>2549</v>
      </c>
      <c r="B2527" s="5" t="str">
        <f>IFERROR(__xludf.DUMMYFUNCTION("IF(A2527="""","""",INDEX(SPLIT(A2527,"" ""),COUNTA(SPLIT(A2527,"" ""))))"),"Po")</f>
        <v>Po</v>
      </c>
      <c r="C2527" s="6"/>
      <c r="D2527" s="6" t="s">
        <v>2544</v>
      </c>
      <c r="E2527" s="12" t="s">
        <v>2545</v>
      </c>
    </row>
    <row r="2528">
      <c r="A2528" s="4" t="s">
        <v>2550</v>
      </c>
      <c r="B2528" s="5" t="str">
        <f>IFERROR(__xludf.DUMMYFUNCTION("IF(A2528="""","""",INDEX(SPLIT(A2528,"" ""),COUNTA(SPLIT(A2528,"" ""))))"),"Bozzolo")</f>
        <v>Bozzolo</v>
      </c>
      <c r="C2528" s="6"/>
      <c r="D2528" s="6" t="s">
        <v>2544</v>
      </c>
      <c r="E2528" s="12" t="s">
        <v>2545</v>
      </c>
    </row>
    <row r="2529">
      <c r="A2529" s="4" t="s">
        <v>2551</v>
      </c>
      <c r="B2529" s="5" t="str">
        <f>IFERROR(__xludf.DUMMYFUNCTION("IF(A2529="""","""",INDEX(SPLIT(A2529,"" ""),COUNTA(SPLIT(A2529,"" ""))))"),"sull'Oglio")</f>
        <v>sull'Oglio</v>
      </c>
      <c r="C2529" s="6"/>
      <c r="D2529" s="6" t="s">
        <v>2544</v>
      </c>
      <c r="E2529" s="12" t="s">
        <v>2545</v>
      </c>
    </row>
    <row r="2530">
      <c r="A2530" s="4" t="s">
        <v>2552</v>
      </c>
      <c r="B2530" s="5" t="str">
        <f>IFERROR(__xludf.DUMMYFUNCTION("IF(A2530="""","""",INDEX(SPLIT(A2530,"" ""),COUNTA(SPLIT(A2530,"" ""))))"),"Po")</f>
        <v>Po</v>
      </c>
      <c r="C2530" s="6"/>
      <c r="D2530" s="6" t="s">
        <v>2544</v>
      </c>
      <c r="E2530" s="12" t="s">
        <v>2545</v>
      </c>
    </row>
    <row r="2531">
      <c r="A2531" s="4" t="s">
        <v>2553</v>
      </c>
      <c r="B2531" s="5" t="str">
        <f>IFERROR(__xludf.DUMMYFUNCTION("IF(A2531="""","""",INDEX(SPLIT(A2531,"" ""),COUNTA(SPLIT(A2531,"" ""))))"),"Casalmoro")</f>
        <v>Casalmoro</v>
      </c>
      <c r="C2531" s="6"/>
      <c r="D2531" s="6" t="s">
        <v>2544</v>
      </c>
      <c r="E2531" s="12" t="s">
        <v>2545</v>
      </c>
    </row>
    <row r="2532">
      <c r="A2532" s="4" t="s">
        <v>2554</v>
      </c>
      <c r="B2532" s="5" t="str">
        <f>IFERROR(__xludf.DUMMYFUNCTION("IF(A2532="""","""",INDEX(SPLIT(A2532,"" ""),COUNTA(SPLIT(A2532,"" ""))))"),"Casaloldo")</f>
        <v>Casaloldo</v>
      </c>
      <c r="C2532" s="6"/>
      <c r="D2532" s="6" t="s">
        <v>2544</v>
      </c>
      <c r="E2532" s="12" t="s">
        <v>2545</v>
      </c>
    </row>
    <row r="2533">
      <c r="A2533" s="4" t="s">
        <v>2555</v>
      </c>
      <c r="B2533" s="5" t="str">
        <f>IFERROR(__xludf.DUMMYFUNCTION("IF(A2533="""","""",INDEX(SPLIT(A2533,"" ""),COUNTA(SPLIT(A2533,"" ""))))"),"Casalromano")</f>
        <v>Casalromano</v>
      </c>
      <c r="C2533" s="6"/>
      <c r="D2533" s="6" t="s">
        <v>2544</v>
      </c>
      <c r="E2533" s="12" t="s">
        <v>2545</v>
      </c>
    </row>
    <row r="2534">
      <c r="A2534" s="4" t="s">
        <v>2556</v>
      </c>
      <c r="B2534" s="5" t="str">
        <f>IFERROR(__xludf.DUMMYFUNCTION("IF(A2534="""","""",INDEX(SPLIT(A2534,"" ""),COUNTA(SPLIT(A2534,"" ""))))"),"Castelbelforte")</f>
        <v>Castelbelforte</v>
      </c>
      <c r="C2534" s="6"/>
      <c r="D2534" s="6" t="s">
        <v>2544</v>
      </c>
      <c r="E2534" s="12" t="s">
        <v>2545</v>
      </c>
    </row>
    <row r="2535">
      <c r="A2535" s="4" t="s">
        <v>2557</v>
      </c>
      <c r="B2535" s="5" t="str">
        <f>IFERROR(__xludf.DUMMYFUNCTION("IF(A2535="""","""",INDEX(SPLIT(A2535,"" ""),COUNTA(SPLIT(A2535,"" ""))))"),"d'Ario")</f>
        <v>d'Ario</v>
      </c>
      <c r="C2535" s="6"/>
      <c r="D2535" s="6" t="s">
        <v>2544</v>
      </c>
      <c r="E2535" s="12" t="s">
        <v>2545</v>
      </c>
    </row>
    <row r="2536">
      <c r="A2536" s="4" t="s">
        <v>2558</v>
      </c>
      <c r="B2536" s="5" t="str">
        <f>IFERROR(__xludf.DUMMYFUNCTION("IF(A2536="""","""",INDEX(SPLIT(A2536,"" ""),COUNTA(SPLIT(A2536,"" ""))))"),"Goffredo")</f>
        <v>Goffredo</v>
      </c>
      <c r="C2536" s="6"/>
      <c r="D2536" s="6" t="s">
        <v>2544</v>
      </c>
      <c r="E2536" s="12" t="s">
        <v>2545</v>
      </c>
    </row>
    <row r="2537">
      <c r="A2537" s="4" t="s">
        <v>2559</v>
      </c>
      <c r="B2537" s="5" t="str">
        <f>IFERROR(__xludf.DUMMYFUNCTION("IF(A2537="""","""",INDEX(SPLIT(A2537,"" ""),COUNTA(SPLIT(A2537,"" ""))))"),"Castellucchio")</f>
        <v>Castellucchio</v>
      </c>
      <c r="C2537" s="6"/>
      <c r="D2537" s="6" t="s">
        <v>2544</v>
      </c>
      <c r="E2537" s="12" t="s">
        <v>2545</v>
      </c>
    </row>
    <row r="2538">
      <c r="A2538" s="4" t="s">
        <v>2560</v>
      </c>
      <c r="B2538" s="5" t="str">
        <f>IFERROR(__xludf.DUMMYFUNCTION("IF(A2538="""","""",INDEX(SPLIT(A2538,"" ""),COUNTA(SPLIT(A2538,"" ""))))"),"Stiviere")</f>
        <v>Stiviere</v>
      </c>
      <c r="C2538" s="6"/>
      <c r="D2538" s="6" t="s">
        <v>2544</v>
      </c>
      <c r="E2538" s="12" t="s">
        <v>2545</v>
      </c>
    </row>
    <row r="2539">
      <c r="A2539" s="4" t="s">
        <v>2561</v>
      </c>
      <c r="B2539" s="5" t="str">
        <f>IFERROR(__xludf.DUMMYFUNCTION("IF(A2539="""","""",INDEX(SPLIT(A2539,"" ""),COUNTA(SPLIT(A2539,"" ""))))"),"Cavriana")</f>
        <v>Cavriana</v>
      </c>
      <c r="C2539" s="6"/>
      <c r="D2539" s="6" t="s">
        <v>2544</v>
      </c>
      <c r="E2539" s="12" t="s">
        <v>2545</v>
      </c>
    </row>
    <row r="2540">
      <c r="A2540" s="4" t="s">
        <v>2562</v>
      </c>
      <c r="B2540" s="5" t="str">
        <f>IFERROR(__xludf.DUMMYFUNCTION("IF(A2540="""","""",INDEX(SPLIT(A2540,"" ""),COUNTA(SPLIT(A2540,"" ""))))"),"Ceresara")</f>
        <v>Ceresara</v>
      </c>
      <c r="C2540" s="6"/>
      <c r="D2540" s="6" t="s">
        <v>2544</v>
      </c>
      <c r="E2540" s="12" t="s">
        <v>2545</v>
      </c>
    </row>
    <row r="2541">
      <c r="A2541" s="4" t="s">
        <v>2563</v>
      </c>
      <c r="B2541" s="5" t="str">
        <f>IFERROR(__xludf.DUMMYFUNCTION("IF(A2541="""","""",INDEX(SPLIT(A2541,"" ""),COUNTA(SPLIT(A2541,"" ""))))"),"Commessaggio")</f>
        <v>Commessaggio</v>
      </c>
      <c r="C2541" s="6"/>
      <c r="D2541" s="6" t="s">
        <v>2544</v>
      </c>
      <c r="E2541" s="12" t="s">
        <v>2545</v>
      </c>
    </row>
    <row r="2542">
      <c r="A2542" s="4" t="s">
        <v>2564</v>
      </c>
      <c r="B2542" s="5" t="str">
        <f>IFERROR(__xludf.DUMMYFUNCTION("IF(A2542="""","""",INDEX(SPLIT(A2542,"" ""),COUNTA(SPLIT(A2542,"" ""))))"),"Curtatone")</f>
        <v>Curtatone</v>
      </c>
      <c r="C2542" s="6"/>
      <c r="D2542" s="6" t="s">
        <v>2544</v>
      </c>
      <c r="E2542" s="12" t="s">
        <v>2545</v>
      </c>
    </row>
    <row r="2543">
      <c r="A2543" s="4" t="s">
        <v>2565</v>
      </c>
      <c r="B2543" s="5" t="str">
        <f>IFERROR(__xludf.DUMMYFUNCTION("IF(A2543="""","""",INDEX(SPLIT(A2543,"" ""),COUNTA(SPLIT(A2543,"" ""))))"),"Dosolo")</f>
        <v>Dosolo</v>
      </c>
      <c r="C2543" s="6"/>
      <c r="D2543" s="6" t="s">
        <v>2544</v>
      </c>
      <c r="E2543" s="12" t="s">
        <v>2545</v>
      </c>
    </row>
    <row r="2544">
      <c r="A2544" s="4" t="s">
        <v>2566</v>
      </c>
      <c r="B2544" s="5" t="str">
        <f>IFERROR(__xludf.DUMMYFUNCTION("IF(A2544="""","""",INDEX(SPLIT(A2544,"" ""),COUNTA(SPLIT(A2544,"" ""))))"),"Ippoliti")</f>
        <v>Ippoliti</v>
      </c>
      <c r="C2544" s="6"/>
      <c r="D2544" s="6" t="s">
        <v>2544</v>
      </c>
      <c r="E2544" s="12" t="s">
        <v>2545</v>
      </c>
    </row>
    <row r="2545">
      <c r="A2545" s="4" t="s">
        <v>2567</v>
      </c>
      <c r="B2545" s="5" t="str">
        <f>IFERROR(__xludf.DUMMYFUNCTION("IF(A2545="""","""",INDEX(SPLIT(A2545,"" ""),COUNTA(SPLIT(A2545,"" ""))))"),"Gazzuolo")</f>
        <v>Gazzuolo</v>
      </c>
      <c r="C2545" s="6"/>
      <c r="D2545" s="6" t="s">
        <v>2544</v>
      </c>
      <c r="E2545" s="12" t="s">
        <v>2545</v>
      </c>
    </row>
    <row r="2546">
      <c r="A2546" s="4" t="s">
        <v>2568</v>
      </c>
      <c r="B2546" s="5" t="str">
        <f>IFERROR(__xludf.DUMMYFUNCTION("IF(A2546="""","""",INDEX(SPLIT(A2546,"" ""),COUNTA(SPLIT(A2546,"" ""))))"),"Goito")</f>
        <v>Goito</v>
      </c>
      <c r="C2546" s="6"/>
      <c r="D2546" s="6" t="s">
        <v>2544</v>
      </c>
      <c r="E2546" s="12" t="s">
        <v>2545</v>
      </c>
    </row>
    <row r="2547">
      <c r="A2547" s="4" t="s">
        <v>2569</v>
      </c>
      <c r="B2547" s="5" t="str">
        <f>IFERROR(__xludf.DUMMYFUNCTION("IF(A2547="""","""",INDEX(SPLIT(A2547,"" ""),COUNTA(SPLIT(A2547,"" ""))))"),"Gonzaga")</f>
        <v>Gonzaga</v>
      </c>
      <c r="C2547" s="6"/>
      <c r="D2547" s="6" t="s">
        <v>2544</v>
      </c>
      <c r="E2547" s="12" t="s">
        <v>2545</v>
      </c>
    </row>
    <row r="2548">
      <c r="A2548" s="4" t="s">
        <v>2570</v>
      </c>
      <c r="B2548" s="5" t="str">
        <f>IFERROR(__xludf.DUMMYFUNCTION("IF(A2548="""","""",INDEX(SPLIT(A2548,"" ""),COUNTA(SPLIT(A2548,"" ""))))"),"Guidizzolo")</f>
        <v>Guidizzolo</v>
      </c>
      <c r="C2548" s="6"/>
      <c r="D2548" s="6" t="s">
        <v>2544</v>
      </c>
      <c r="E2548" s="12" t="s">
        <v>2545</v>
      </c>
    </row>
    <row r="2549">
      <c r="A2549" s="4" t="s">
        <v>2571</v>
      </c>
      <c r="B2549" s="5" t="str">
        <f>IFERROR(__xludf.DUMMYFUNCTION("IF(A2549="""","""",INDEX(SPLIT(A2549,"" ""),COUNTA(SPLIT(A2549,"" ""))))"),"Magnacavallo")</f>
        <v>Magnacavallo</v>
      </c>
      <c r="C2549" s="6"/>
      <c r="D2549" s="6" t="s">
        <v>2544</v>
      </c>
      <c r="E2549" s="12" t="s">
        <v>2545</v>
      </c>
    </row>
    <row r="2550">
      <c r="A2550" s="4" t="s">
        <v>2544</v>
      </c>
      <c r="B2550" s="5" t="str">
        <f>IFERROR(__xludf.DUMMYFUNCTION("IF(A2550="""","""",INDEX(SPLIT(A2550,"" ""),COUNTA(SPLIT(A2550,"" ""))))"),"Mantova")</f>
        <v>Mantova</v>
      </c>
      <c r="C2550" s="6"/>
      <c r="D2550" s="6" t="s">
        <v>2544</v>
      </c>
      <c r="E2550" s="12" t="s">
        <v>2545</v>
      </c>
    </row>
    <row r="2551">
      <c r="A2551" s="4" t="s">
        <v>2572</v>
      </c>
      <c r="B2551" s="5" t="str">
        <f>IFERROR(__xludf.DUMMYFUNCTION("IF(A2551="""","""",INDEX(SPLIT(A2551,"" ""),COUNTA(SPLIT(A2551,"" ""))))"),"Marcaria")</f>
        <v>Marcaria</v>
      </c>
      <c r="C2551" s="6"/>
      <c r="D2551" s="6" t="s">
        <v>2544</v>
      </c>
      <c r="E2551" s="12" t="s">
        <v>2545</v>
      </c>
    </row>
    <row r="2552">
      <c r="A2552" s="4" t="s">
        <v>2573</v>
      </c>
      <c r="B2552" s="5" t="str">
        <f>IFERROR(__xludf.DUMMYFUNCTION("IF(A2552="""","""",INDEX(SPLIT(A2552,"" ""),COUNTA(SPLIT(A2552,"" ""))))"),"Mantovana")</f>
        <v>Mantovana</v>
      </c>
      <c r="C2552" s="6"/>
      <c r="D2552" s="6" t="s">
        <v>2544</v>
      </c>
      <c r="E2552" s="12" t="s">
        <v>2545</v>
      </c>
    </row>
    <row r="2553">
      <c r="A2553" s="4" t="s">
        <v>2574</v>
      </c>
      <c r="B2553" s="5" t="str">
        <f>IFERROR(__xludf.DUMMYFUNCTION("IF(A2553="""","""",INDEX(SPLIT(A2553,"" ""),COUNTA(SPLIT(A2553,"" ""))))"),"Marmirolo")</f>
        <v>Marmirolo</v>
      </c>
      <c r="C2553" s="6"/>
      <c r="D2553" s="6" t="s">
        <v>2544</v>
      </c>
      <c r="E2553" s="12" t="s">
        <v>2545</v>
      </c>
    </row>
    <row r="2554">
      <c r="A2554" s="4" t="s">
        <v>2575</v>
      </c>
      <c r="B2554" s="5" t="str">
        <f>IFERROR(__xludf.DUMMYFUNCTION("IF(A2554="""","""",INDEX(SPLIT(A2554,"" ""),COUNTA(SPLIT(A2554,"" ""))))"),"Medole")</f>
        <v>Medole</v>
      </c>
      <c r="C2554" s="6"/>
      <c r="D2554" s="6" t="s">
        <v>2544</v>
      </c>
      <c r="E2554" s="12" t="s">
        <v>2545</v>
      </c>
    </row>
    <row r="2555">
      <c r="A2555" s="4" t="s">
        <v>2576</v>
      </c>
      <c r="B2555" s="5" t="str">
        <f>IFERROR(__xludf.DUMMYFUNCTION("IF(A2555="""","""",INDEX(SPLIT(A2555,"" ""),COUNTA(SPLIT(A2555,"" ""))))"),"Moglia")</f>
        <v>Moglia</v>
      </c>
      <c r="C2555" s="6"/>
      <c r="D2555" s="6" t="s">
        <v>2544</v>
      </c>
      <c r="E2555" s="12" t="s">
        <v>2545</v>
      </c>
    </row>
    <row r="2556">
      <c r="A2556" s="4" t="s">
        <v>2577</v>
      </c>
      <c r="B2556" s="5" t="str">
        <f>IFERROR(__xludf.DUMMYFUNCTION("IF(A2556="""","""",INDEX(SPLIT(A2556,"" ""),COUNTA(SPLIT(A2556,"" ""))))"),"Monzambano")</f>
        <v>Monzambano</v>
      </c>
      <c r="C2556" s="6"/>
      <c r="D2556" s="6" t="s">
        <v>2544</v>
      </c>
      <c r="E2556" s="12" t="s">
        <v>2545</v>
      </c>
    </row>
    <row r="2557">
      <c r="A2557" s="4" t="s">
        <v>2578</v>
      </c>
      <c r="B2557" s="5" t="str">
        <f>IFERROR(__xludf.DUMMYFUNCTION("IF(A2557="""","""",INDEX(SPLIT(A2557,"" ""),COUNTA(SPLIT(A2557,"" ""))))"),"Motteggiana")</f>
        <v>Motteggiana</v>
      </c>
      <c r="C2557" s="6"/>
      <c r="D2557" s="6" t="s">
        <v>2544</v>
      </c>
      <c r="E2557" s="12" t="s">
        <v>2545</v>
      </c>
    </row>
    <row r="2558">
      <c r="A2558" s="4" t="s">
        <v>2579</v>
      </c>
      <c r="B2558" s="5" t="str">
        <f>IFERROR(__xludf.DUMMYFUNCTION("IF(A2558="""","""",INDEX(SPLIT(A2558,"" ""),COUNTA(SPLIT(A2558,"" ""))))"),"Ostiglia")</f>
        <v>Ostiglia</v>
      </c>
      <c r="C2558" s="6"/>
      <c r="D2558" s="6" t="s">
        <v>2544</v>
      </c>
      <c r="E2558" s="12" t="s">
        <v>2545</v>
      </c>
    </row>
    <row r="2559">
      <c r="A2559" s="4" t="s">
        <v>2580</v>
      </c>
      <c r="B2559" s="5" t="str">
        <f>IFERROR(__xludf.DUMMYFUNCTION("IF(A2559="""","""",INDEX(SPLIT(A2559,"" ""),COUNTA(SPLIT(A2559,"" ""))))"),"Pegognaga")</f>
        <v>Pegognaga</v>
      </c>
      <c r="C2559" s="6"/>
      <c r="D2559" s="6" t="s">
        <v>2544</v>
      </c>
      <c r="E2559" s="12" t="s">
        <v>2545</v>
      </c>
    </row>
    <row r="2560">
      <c r="A2560" s="4" t="s">
        <v>2581</v>
      </c>
      <c r="B2560" s="5" t="str">
        <f>IFERROR(__xludf.DUMMYFUNCTION("IF(A2560="""","""",INDEX(SPLIT(A2560,"" ""),COUNTA(SPLIT(A2560,"" ""))))"),"Piubega")</f>
        <v>Piubega</v>
      </c>
      <c r="C2560" s="6"/>
      <c r="D2560" s="6" t="s">
        <v>2544</v>
      </c>
      <c r="E2560" s="12" t="s">
        <v>2545</v>
      </c>
    </row>
    <row r="2561">
      <c r="A2561" s="4" t="s">
        <v>2582</v>
      </c>
      <c r="B2561" s="5" t="str">
        <f>IFERROR(__xludf.DUMMYFUNCTION("IF(A2561="""","""",INDEX(SPLIT(A2561,"" ""),COUNTA(SPLIT(A2561,"" ""))))"),"Rusco")</f>
        <v>Rusco</v>
      </c>
      <c r="C2561" s="6"/>
      <c r="D2561" s="6" t="s">
        <v>2544</v>
      </c>
      <c r="E2561" s="12" t="s">
        <v>2545</v>
      </c>
    </row>
    <row r="2562">
      <c r="A2562" s="4" t="s">
        <v>2583</v>
      </c>
      <c r="B2562" s="5" t="str">
        <f>IFERROR(__xludf.DUMMYFUNCTION("IF(A2562="""","""",INDEX(SPLIT(A2562,"" ""),COUNTA(SPLIT(A2562,"" ""))))"),"Pomponesco")</f>
        <v>Pomponesco</v>
      </c>
      <c r="C2562" s="6"/>
      <c r="D2562" s="6" t="s">
        <v>2544</v>
      </c>
      <c r="E2562" s="12" t="s">
        <v>2545</v>
      </c>
    </row>
    <row r="2563">
      <c r="A2563" s="4" t="s">
        <v>2584</v>
      </c>
      <c r="B2563" s="5" t="str">
        <f>IFERROR(__xludf.DUMMYFUNCTION("IF(A2563="""","""",INDEX(SPLIT(A2563,"" ""),COUNTA(SPLIT(A2563,"" ""))))"),"Mincio")</f>
        <v>Mincio</v>
      </c>
      <c r="C2563" s="6"/>
      <c r="D2563" s="6" t="s">
        <v>2544</v>
      </c>
      <c r="E2563" s="12" t="s">
        <v>2545</v>
      </c>
    </row>
    <row r="2564">
      <c r="A2564" s="4" t="s">
        <v>2585</v>
      </c>
      <c r="B2564" s="5" t="str">
        <f>IFERROR(__xludf.DUMMYFUNCTION("IF(A2564="""","""",INDEX(SPLIT(A2564,"" ""),COUNTA(SPLIT(A2564,"" ""))))"),"Mantovano")</f>
        <v>Mantovano</v>
      </c>
      <c r="C2564" s="6"/>
      <c r="D2564" s="6" t="s">
        <v>2544</v>
      </c>
      <c r="E2564" s="12" t="s">
        <v>2545</v>
      </c>
    </row>
    <row r="2565">
      <c r="A2565" s="4" t="s">
        <v>2586</v>
      </c>
      <c r="B2565" s="5" t="str">
        <f>IFERROR(__xludf.DUMMYFUNCTION("IF(A2565="""","""",INDEX(SPLIT(A2565,"" ""),COUNTA(SPLIT(A2565,"" ""))))"),"Quingentole")</f>
        <v>Quingentole</v>
      </c>
      <c r="C2565" s="6"/>
      <c r="D2565" s="6" t="s">
        <v>2544</v>
      </c>
      <c r="E2565" s="12" t="s">
        <v>2545</v>
      </c>
    </row>
    <row r="2566">
      <c r="A2566" s="4" t="s">
        <v>2587</v>
      </c>
      <c r="B2566" s="5" t="str">
        <f>IFERROR(__xludf.DUMMYFUNCTION("IF(A2566="""","""",INDEX(SPLIT(A2566,"" ""),COUNTA(SPLIT(A2566,"" ""))))"),"Quistello")</f>
        <v>Quistello</v>
      </c>
      <c r="C2566" s="6"/>
      <c r="D2566" s="6" t="s">
        <v>2544</v>
      </c>
      <c r="E2566" s="12" t="s">
        <v>2545</v>
      </c>
    </row>
    <row r="2567">
      <c r="A2567" s="4" t="s">
        <v>2588</v>
      </c>
      <c r="B2567" s="5" t="str">
        <f>IFERROR(__xludf.DUMMYFUNCTION("IF(A2567="""","""",INDEX(SPLIT(A2567,"" ""),COUNTA(SPLIT(A2567,"" ""))))"),"Redondesco")</f>
        <v>Redondesco</v>
      </c>
      <c r="C2567" s="6"/>
      <c r="D2567" s="6" t="s">
        <v>2544</v>
      </c>
      <c r="E2567" s="12" t="s">
        <v>2545</v>
      </c>
    </row>
    <row r="2568">
      <c r="A2568" s="4" t="s">
        <v>2589</v>
      </c>
      <c r="B2568" s="5" t="str">
        <f>IFERROR(__xludf.DUMMYFUNCTION("IF(A2568="""","""",INDEX(SPLIT(A2568,"" ""),COUNTA(SPLIT(A2568,"" ""))))"),"Mantovano")</f>
        <v>Mantovano</v>
      </c>
      <c r="C2568" s="6"/>
      <c r="D2568" s="6" t="s">
        <v>2544</v>
      </c>
      <c r="E2568" s="12" t="s">
        <v>2545</v>
      </c>
    </row>
    <row r="2569">
      <c r="A2569" s="4" t="s">
        <v>2590</v>
      </c>
      <c r="B2569" s="5" t="str">
        <f>IFERROR(__xludf.DUMMYFUNCTION("IF(A2569="""","""",INDEX(SPLIT(A2569,"" ""),COUNTA(SPLIT(A2569,"" ""))))"),"Rodigo")</f>
        <v>Rodigo</v>
      </c>
      <c r="C2569" s="6"/>
      <c r="D2569" s="6" t="s">
        <v>2544</v>
      </c>
      <c r="E2569" s="12" t="s">
        <v>2545</v>
      </c>
    </row>
    <row r="2570">
      <c r="A2570" s="4" t="s">
        <v>2591</v>
      </c>
      <c r="B2570" s="5" t="str">
        <f>IFERROR(__xludf.DUMMYFUNCTION("IF(A2570="""","""",INDEX(SPLIT(A2570,"" ""),COUNTA(SPLIT(A2570,"" ""))))"),"Roncoferraro")</f>
        <v>Roncoferraro</v>
      </c>
      <c r="C2570" s="6"/>
      <c r="D2570" s="6" t="s">
        <v>2544</v>
      </c>
      <c r="E2570" s="12" t="s">
        <v>2545</v>
      </c>
    </row>
    <row r="2571">
      <c r="A2571" s="4" t="s">
        <v>2592</v>
      </c>
      <c r="B2571" s="5" t="str">
        <f>IFERROR(__xludf.DUMMYFUNCTION("IF(A2571="""","""",INDEX(SPLIT(A2571,"" ""),COUNTA(SPLIT(A2571,"" ""))))"),"Roverbella")</f>
        <v>Roverbella</v>
      </c>
      <c r="C2571" s="6"/>
      <c r="D2571" s="6" t="s">
        <v>2544</v>
      </c>
      <c r="E2571" s="12" t="s">
        <v>2545</v>
      </c>
    </row>
    <row r="2572">
      <c r="A2572" s="4" t="s">
        <v>2593</v>
      </c>
      <c r="B2572" s="5" t="str">
        <f>IFERROR(__xludf.DUMMYFUNCTION("IF(A2572="""","""",INDEX(SPLIT(A2572,"" ""),COUNTA(SPLIT(A2572,"" ""))))"),"Sabbioneta")</f>
        <v>Sabbioneta</v>
      </c>
      <c r="C2572" s="6"/>
      <c r="D2572" s="6" t="s">
        <v>2544</v>
      </c>
      <c r="E2572" s="12" t="s">
        <v>2545</v>
      </c>
    </row>
    <row r="2573">
      <c r="A2573" s="4" t="s">
        <v>2594</v>
      </c>
      <c r="B2573" s="5" t="str">
        <f>IFERROR(__xludf.DUMMYFUNCTION("IF(A2573="""","""",INDEX(SPLIT(A2573,"" ""),COUNTA(SPLIT(A2573,"" ""))))"),"Po")</f>
        <v>Po</v>
      </c>
      <c r="C2573" s="6"/>
      <c r="D2573" s="6" t="s">
        <v>2544</v>
      </c>
      <c r="E2573" s="12" t="s">
        <v>2545</v>
      </c>
    </row>
    <row r="2574">
      <c r="A2574" s="4" t="s">
        <v>2595</v>
      </c>
      <c r="B2574" s="5" t="str">
        <f>IFERROR(__xludf.DUMMYFUNCTION("IF(A2574="""","""",INDEX(SPLIT(A2574,"" ""),COUNTA(SPLIT(A2574,"" ""))))"),"Segnate")</f>
        <v>Segnate</v>
      </c>
      <c r="C2574" s="6"/>
      <c r="D2574" s="6" t="s">
        <v>2544</v>
      </c>
      <c r="E2574" s="12" t="s">
        <v>2545</v>
      </c>
    </row>
    <row r="2575">
      <c r="A2575" s="4" t="s">
        <v>2596</v>
      </c>
      <c r="B2575" s="5" t="str">
        <f>IFERROR(__xludf.DUMMYFUNCTION("IF(A2575="""","""",INDEX(SPLIT(A2575,"" ""),COUNTA(SPLIT(A2575,"" ""))))"),"Mantova")</f>
        <v>Mantova</v>
      </c>
      <c r="C2575" s="6"/>
      <c r="D2575" s="6" t="s">
        <v>2544</v>
      </c>
      <c r="E2575" s="12" t="s">
        <v>2545</v>
      </c>
    </row>
    <row r="2576">
      <c r="A2576" s="4" t="s">
        <v>2597</v>
      </c>
      <c r="B2576" s="5" t="str">
        <f>IFERROR(__xludf.DUMMYFUNCTION("IF(A2576="""","""",INDEX(SPLIT(A2576,"" ""),COUNTA(SPLIT(A2576,"" ""))))"),"Dosso")</f>
        <v>Dosso</v>
      </c>
      <c r="C2576" s="6"/>
      <c r="D2576" s="6" t="s">
        <v>2544</v>
      </c>
      <c r="E2576" s="12" t="s">
        <v>2545</v>
      </c>
    </row>
    <row r="2577">
      <c r="A2577" s="4" t="s">
        <v>2598</v>
      </c>
      <c r="B2577" s="5" t="str">
        <f>IFERROR(__xludf.DUMMYFUNCTION("IF(A2577="""","""",INDEX(SPLIT(A2577,"" ""),COUNTA(SPLIT(A2577,"" ""))))"),"dall'Argine")</f>
        <v>dall'Argine</v>
      </c>
      <c r="C2577" s="6"/>
      <c r="D2577" s="6" t="s">
        <v>2544</v>
      </c>
      <c r="E2577" s="12" t="s">
        <v>2545</v>
      </c>
    </row>
    <row r="2578">
      <c r="A2578" s="4" t="s">
        <v>2599</v>
      </c>
      <c r="B2578" s="5" t="str">
        <f>IFERROR(__xludf.DUMMYFUNCTION("IF(A2578="""","""",INDEX(SPLIT(A2578,"" ""),COUNTA(SPLIT(A2578,"" ""))))"),"Schivenoglia")</f>
        <v>Schivenoglia</v>
      </c>
      <c r="C2578" s="6"/>
      <c r="D2578" s="6" t="s">
        <v>2544</v>
      </c>
      <c r="E2578" s="12" t="s">
        <v>2545</v>
      </c>
    </row>
    <row r="2579">
      <c r="A2579" s="4" t="s">
        <v>2600</v>
      </c>
      <c r="B2579" s="5" t="str">
        <f>IFERROR(__xludf.DUMMYFUNCTION("IF(A2579="""","""",INDEX(SPLIT(A2579,"" ""),COUNTA(SPLIT(A2579,"" ""))))"),"Felonica")</f>
        <v>Felonica</v>
      </c>
      <c r="C2579" s="6"/>
      <c r="D2579" s="6" t="s">
        <v>2544</v>
      </c>
      <c r="E2579" s="12" t="s">
        <v>2545</v>
      </c>
    </row>
    <row r="2580">
      <c r="A2580" s="4" t="s">
        <v>2601</v>
      </c>
      <c r="B2580" s="5" t="str">
        <f>IFERROR(__xludf.DUMMYFUNCTION("IF(A2580="""","""",INDEX(SPLIT(A2580,"" ""),COUNTA(SPLIT(A2580,"" ""))))"),"Po")</f>
        <v>Po</v>
      </c>
      <c r="C2580" s="6"/>
      <c r="D2580" s="6" t="s">
        <v>2544</v>
      </c>
      <c r="E2580" s="12" t="s">
        <v>2545</v>
      </c>
    </row>
    <row r="2581">
      <c r="A2581" s="4" t="s">
        <v>2602</v>
      </c>
      <c r="B2581" s="5" t="str">
        <f>IFERROR(__xludf.DUMMYFUNCTION("IF(A2581="""","""",INDEX(SPLIT(A2581,"" ""),COUNTA(SPLIT(A2581,"" ""))))"),"Solferino")</f>
        <v>Solferino</v>
      </c>
      <c r="C2581" s="6"/>
      <c r="D2581" s="6" t="s">
        <v>2544</v>
      </c>
      <c r="E2581" s="12" t="s">
        <v>2545</v>
      </c>
    </row>
    <row r="2582">
      <c r="A2582" s="4" t="s">
        <v>2603</v>
      </c>
      <c r="B2582" s="5" t="str">
        <f>IFERROR(__xludf.DUMMYFUNCTION("IF(A2582="""","""",INDEX(SPLIT(A2582,"" ""),COUNTA(SPLIT(A2582,"" ""))))"),"Sustinente")</f>
        <v>Sustinente</v>
      </c>
      <c r="C2582" s="6"/>
      <c r="D2582" s="6" t="s">
        <v>2544</v>
      </c>
      <c r="E2582" s="12" t="s">
        <v>2545</v>
      </c>
    </row>
    <row r="2583">
      <c r="A2583" s="4" t="s">
        <v>2604</v>
      </c>
      <c r="B2583" s="5" t="str">
        <f>IFERROR(__xludf.DUMMYFUNCTION("IF(A2583="""","""",INDEX(SPLIT(A2583,"" ""),COUNTA(SPLIT(A2583,"" ""))))"),"Suzzara")</f>
        <v>Suzzara</v>
      </c>
      <c r="C2583" s="6"/>
      <c r="D2583" s="6" t="s">
        <v>2544</v>
      </c>
      <c r="E2583" s="12" t="s">
        <v>2545</v>
      </c>
    </row>
    <row r="2584">
      <c r="A2584" s="4" t="s">
        <v>2605</v>
      </c>
      <c r="B2584" s="5" t="str">
        <f>IFERROR(__xludf.DUMMYFUNCTION("IF(A2584="""","""",INDEX(SPLIT(A2584,"" ""),COUNTA(SPLIT(A2584,"" ""))))"),"Viadana")</f>
        <v>Viadana</v>
      </c>
      <c r="C2584" s="6"/>
      <c r="D2584" s="6" t="s">
        <v>2544</v>
      </c>
      <c r="E2584" s="12" t="s">
        <v>2545</v>
      </c>
    </row>
    <row r="2585">
      <c r="A2585" s="4" t="s">
        <v>2606</v>
      </c>
      <c r="B2585" s="5" t="str">
        <f>IFERROR(__xludf.DUMMYFUNCTION("IF(A2585="""","""",INDEX(SPLIT(A2585,"" ""),COUNTA(SPLIT(A2585,"" ""))))"),"Villimpenta")</f>
        <v>Villimpenta</v>
      </c>
      <c r="C2585" s="6"/>
      <c r="D2585" s="6" t="s">
        <v>2544</v>
      </c>
      <c r="E2585" s="12" t="s">
        <v>2545</v>
      </c>
    </row>
    <row r="2586">
      <c r="A2586" s="4" t="s">
        <v>2607</v>
      </c>
      <c r="B2586" s="5" t="str">
        <f>IFERROR(__xludf.DUMMYFUNCTION("IF(A2586="""","""",INDEX(SPLIT(A2586,"" ""),COUNTA(SPLIT(A2586,"" ""))))"),"Mantovana")</f>
        <v>Mantovana</v>
      </c>
      <c r="C2586" s="6"/>
      <c r="D2586" s="6" t="s">
        <v>2544</v>
      </c>
      <c r="E2586" s="12" t="s">
        <v>2545</v>
      </c>
    </row>
    <row r="2587">
      <c r="A2587" s="4" t="s">
        <v>2608</v>
      </c>
      <c r="B2587" s="5" t="str">
        <f>IFERROR(__xludf.DUMMYFUNCTION("IF(A2587="""","""",INDEX(SPLIT(A2587,"" ""),COUNTA(SPLIT(A2587,"" ""))))"),"Virgilio")</f>
        <v>Virgilio</v>
      </c>
      <c r="C2587" s="6"/>
      <c r="D2587" s="6" t="s">
        <v>2544</v>
      </c>
      <c r="E2587" s="12" t="s">
        <v>2545</v>
      </c>
    </row>
    <row r="2588">
      <c r="A2588" s="4" t="s">
        <v>2609</v>
      </c>
      <c r="B2588" s="5" t="str">
        <f>IFERROR(__xludf.DUMMYFUNCTION("IF(A2588="""","""",INDEX(SPLIT(A2588,"" ""),COUNTA(SPLIT(A2588,"" ""))))"),"Mantovano")</f>
        <v>Mantovano</v>
      </c>
      <c r="C2588" s="6"/>
      <c r="D2588" s="6" t="s">
        <v>2544</v>
      </c>
      <c r="E2588" s="12" t="s">
        <v>2545</v>
      </c>
    </row>
    <row r="2589">
      <c r="A2589" s="4" t="s">
        <v>2610</v>
      </c>
      <c r="B2589" s="5" t="str">
        <f>IFERROR(__xludf.DUMMYFUNCTION("IF(A2589="""","""",INDEX(SPLIT(A2589,"" ""),COUNTA(SPLIT(A2589,"" ""))))"),"Lariana")</f>
        <v>Lariana</v>
      </c>
      <c r="C2589" s="6"/>
      <c r="D2589" s="6" t="s">
        <v>2611</v>
      </c>
      <c r="E2589" s="12" t="s">
        <v>2612</v>
      </c>
    </row>
    <row r="2590">
      <c r="A2590" s="4" t="s">
        <v>2613</v>
      </c>
      <c r="B2590" s="5" t="str">
        <f>IFERROR(__xludf.DUMMYFUNCTION("IF(A2590="""","""",INDEX(SPLIT(A2590,"" ""),COUNTA(SPLIT(A2590,"" ""))))"),"Airuno")</f>
        <v>Airuno</v>
      </c>
      <c r="C2590" s="6"/>
      <c r="D2590" s="6" t="s">
        <v>2611</v>
      </c>
      <c r="E2590" s="12" t="s">
        <v>2612</v>
      </c>
    </row>
    <row r="2591">
      <c r="A2591" s="4" t="s">
        <v>2614</v>
      </c>
      <c r="B2591" s="5" t="str">
        <f>IFERROR(__xludf.DUMMYFUNCTION("IF(A2591="""","""",INDEX(SPLIT(A2591,"" ""),COUNTA(SPLIT(A2591,"" ""))))"),"Brianza")</f>
        <v>Brianza</v>
      </c>
      <c r="C2591" s="6"/>
      <c r="D2591" s="6" t="s">
        <v>2611</v>
      </c>
      <c r="E2591" s="12" t="s">
        <v>2612</v>
      </c>
    </row>
    <row r="2592">
      <c r="A2592" s="4" t="s">
        <v>2615</v>
      </c>
      <c r="B2592" s="5" t="str">
        <f>IFERROR(__xludf.DUMMYFUNCTION("IF(A2592="""","""",INDEX(SPLIT(A2592,"" ""),COUNTA(SPLIT(A2592,"" ""))))"),"Ballabio")</f>
        <v>Ballabio</v>
      </c>
      <c r="C2592" s="6"/>
      <c r="D2592" s="6" t="s">
        <v>2611</v>
      </c>
      <c r="E2592" s="12" t="s">
        <v>2612</v>
      </c>
    </row>
    <row r="2593">
      <c r="A2593" s="4" t="s">
        <v>2616</v>
      </c>
      <c r="B2593" s="5" t="str">
        <f>IFERROR(__xludf.DUMMYFUNCTION("IF(A2593="""","""",INDEX(SPLIT(A2593,"" ""),COUNTA(SPLIT(A2593,"" ""))))"),"Barzago")</f>
        <v>Barzago</v>
      </c>
      <c r="C2593" s="6"/>
      <c r="D2593" s="6" t="s">
        <v>2611</v>
      </c>
      <c r="E2593" s="12" t="s">
        <v>2612</v>
      </c>
    </row>
    <row r="2594">
      <c r="A2594" s="4" t="s">
        <v>2617</v>
      </c>
      <c r="B2594" s="5" t="str">
        <f>IFERROR(__xludf.DUMMYFUNCTION("IF(A2594="""","""",INDEX(SPLIT(A2594,"" ""),COUNTA(SPLIT(A2594,"" ""))))"),"Barzanò")</f>
        <v>Barzanò</v>
      </c>
      <c r="C2594" s="6"/>
      <c r="D2594" s="6" t="s">
        <v>2611</v>
      </c>
      <c r="E2594" s="12" t="s">
        <v>2612</v>
      </c>
    </row>
    <row r="2595">
      <c r="A2595" s="4" t="s">
        <v>2618</v>
      </c>
      <c r="B2595" s="5" t="str">
        <f>IFERROR(__xludf.DUMMYFUNCTION("IF(A2595="""","""",INDEX(SPLIT(A2595,"" ""),COUNTA(SPLIT(A2595,"" ""))))"),"Barzio")</f>
        <v>Barzio</v>
      </c>
      <c r="C2595" s="6"/>
      <c r="D2595" s="6" t="s">
        <v>2611</v>
      </c>
      <c r="E2595" s="12" t="s">
        <v>2612</v>
      </c>
    </row>
    <row r="2596">
      <c r="A2596" s="4" t="s">
        <v>2619</v>
      </c>
      <c r="B2596" s="5" t="str">
        <f>IFERROR(__xludf.DUMMYFUNCTION("IF(A2596="""","""",INDEX(SPLIT(A2596,"" ""),COUNTA(SPLIT(A2596,"" ""))))"),"Bellano")</f>
        <v>Bellano</v>
      </c>
      <c r="C2596" s="6"/>
      <c r="D2596" s="6" t="s">
        <v>2611</v>
      </c>
      <c r="E2596" s="12" t="s">
        <v>2612</v>
      </c>
    </row>
    <row r="2597">
      <c r="A2597" s="4" t="s">
        <v>2620</v>
      </c>
      <c r="B2597" s="5" t="str">
        <f>IFERROR(__xludf.DUMMYFUNCTION("IF(A2597="""","""",INDEX(SPLIT(A2597,"" ""),COUNTA(SPLIT(A2597,"" ""))))"),"Parini")</f>
        <v>Parini</v>
      </c>
      <c r="C2597" s="6"/>
      <c r="D2597" s="6" t="s">
        <v>2611</v>
      </c>
      <c r="E2597" s="12" t="s">
        <v>2612</v>
      </c>
    </row>
    <row r="2598">
      <c r="A2598" s="4" t="s">
        <v>2621</v>
      </c>
      <c r="B2598" s="5" t="str">
        <f>IFERROR(__xludf.DUMMYFUNCTION("IF(A2598="""","""",INDEX(SPLIT(A2598,"" ""),COUNTA(SPLIT(A2598,"" ""))))"),"Brivio")</f>
        <v>Brivio</v>
      </c>
      <c r="C2598" s="6"/>
      <c r="D2598" s="6" t="s">
        <v>2611</v>
      </c>
      <c r="E2598" s="12" t="s">
        <v>2612</v>
      </c>
    </row>
    <row r="2599">
      <c r="A2599" s="4" t="s">
        <v>2622</v>
      </c>
      <c r="B2599" s="5" t="str">
        <f>IFERROR(__xludf.DUMMYFUNCTION("IF(A2599="""","""",INDEX(SPLIT(A2599,"" ""),COUNTA(SPLIT(A2599,"" ""))))"),"Bulciago")</f>
        <v>Bulciago</v>
      </c>
      <c r="C2599" s="6"/>
      <c r="D2599" s="6" t="s">
        <v>2611</v>
      </c>
      <c r="E2599" s="12" t="s">
        <v>2612</v>
      </c>
    </row>
    <row r="2600">
      <c r="A2600" s="4" t="s">
        <v>2623</v>
      </c>
      <c r="B2600" s="5" t="str">
        <f>IFERROR(__xludf.DUMMYFUNCTION("IF(A2600="""","""",INDEX(SPLIT(A2600,"" ""),COUNTA(SPLIT(A2600,"" ""))))"),"Calco")</f>
        <v>Calco</v>
      </c>
      <c r="C2600" s="6"/>
      <c r="D2600" s="6" t="s">
        <v>2611</v>
      </c>
      <c r="E2600" s="12" t="s">
        <v>2612</v>
      </c>
    </row>
    <row r="2601">
      <c r="A2601" s="4" t="s">
        <v>2624</v>
      </c>
      <c r="B2601" s="5" t="str">
        <f>IFERROR(__xludf.DUMMYFUNCTION("IF(A2601="""","""",INDEX(SPLIT(A2601,"" ""),COUNTA(SPLIT(A2601,"" ""))))"),"Calolziocorte")</f>
        <v>Calolziocorte</v>
      </c>
      <c r="C2601" s="6"/>
      <c r="D2601" s="6" t="s">
        <v>2611</v>
      </c>
      <c r="E2601" s="12" t="s">
        <v>2612</v>
      </c>
    </row>
    <row r="2602">
      <c r="A2602" s="4" t="s">
        <v>2625</v>
      </c>
      <c r="B2602" s="5" t="str">
        <f>IFERROR(__xludf.DUMMYFUNCTION("IF(A2602="""","""",INDEX(SPLIT(A2602,"" ""),COUNTA(SPLIT(A2602,"" ""))))"),"Carenno")</f>
        <v>Carenno</v>
      </c>
      <c r="C2602" s="6"/>
      <c r="D2602" s="6" t="s">
        <v>2611</v>
      </c>
      <c r="E2602" s="12" t="s">
        <v>2612</v>
      </c>
    </row>
    <row r="2603">
      <c r="A2603" s="4" t="s">
        <v>2626</v>
      </c>
      <c r="B2603" s="5" t="str">
        <f>IFERROR(__xludf.DUMMYFUNCTION("IF(A2603="""","""",INDEX(SPLIT(A2603,"" ""),COUNTA(SPLIT(A2603,"" ""))))"),"Casargo")</f>
        <v>Casargo</v>
      </c>
      <c r="C2603" s="6"/>
      <c r="D2603" s="6" t="s">
        <v>2611</v>
      </c>
      <c r="E2603" s="12" t="s">
        <v>2612</v>
      </c>
    </row>
    <row r="2604">
      <c r="A2604" s="4" t="s">
        <v>2627</v>
      </c>
      <c r="B2604" s="5" t="str">
        <f>IFERROR(__xludf.DUMMYFUNCTION("IF(A2604="""","""",INDEX(SPLIT(A2604,"" ""),COUNTA(SPLIT(A2604,"" ""))))"),"Casatenovo")</f>
        <v>Casatenovo</v>
      </c>
      <c r="C2604" s="6"/>
      <c r="D2604" s="6" t="s">
        <v>2611</v>
      </c>
      <c r="E2604" s="12" t="s">
        <v>2612</v>
      </c>
    </row>
    <row r="2605">
      <c r="A2605" s="4" t="s">
        <v>2628</v>
      </c>
      <c r="B2605" s="5" t="str">
        <f>IFERROR(__xludf.DUMMYFUNCTION("IF(A2605="""","""",INDEX(SPLIT(A2605,"" ""),COUNTA(SPLIT(A2605,"" ""))))"),"Brianza")</f>
        <v>Brianza</v>
      </c>
      <c r="C2605" s="6"/>
      <c r="D2605" s="6" t="s">
        <v>2611</v>
      </c>
      <c r="E2605" s="12" t="s">
        <v>2612</v>
      </c>
    </row>
    <row r="2606">
      <c r="A2606" s="4" t="s">
        <v>2629</v>
      </c>
      <c r="B2606" s="5" t="str">
        <f>IFERROR(__xludf.DUMMYFUNCTION("IF(A2606="""","""",INDEX(SPLIT(A2606,"" ""),COUNTA(SPLIT(A2606,"" ""))))"),"Valsassina")</f>
        <v>Valsassina</v>
      </c>
      <c r="C2606" s="6"/>
      <c r="D2606" s="6" t="s">
        <v>2611</v>
      </c>
      <c r="E2606" s="12" t="s">
        <v>2612</v>
      </c>
    </row>
    <row r="2607">
      <c r="A2607" s="4" t="s">
        <v>2630</v>
      </c>
      <c r="B2607" s="5" t="str">
        <f>IFERROR(__xludf.DUMMYFUNCTION("IF(A2607="""","""",INDEX(SPLIT(A2607,"" ""),COUNTA(SPLIT(A2607,"" ""))))"),"Brianza")</f>
        <v>Brianza</v>
      </c>
      <c r="C2607" s="6"/>
      <c r="D2607" s="6" t="s">
        <v>2611</v>
      </c>
      <c r="E2607" s="12" t="s">
        <v>2612</v>
      </c>
    </row>
    <row r="2608">
      <c r="A2608" s="4" t="s">
        <v>2631</v>
      </c>
      <c r="B2608" s="5" t="str">
        <f>IFERROR(__xludf.DUMMYFUNCTION("IF(A2608="""","""",INDEX(SPLIT(A2608,"" ""),COUNTA(SPLIT(A2608,"" ""))))"),"Lombardone")</f>
        <v>Lombardone</v>
      </c>
      <c r="C2608" s="6"/>
      <c r="D2608" s="6" t="s">
        <v>2611</v>
      </c>
      <c r="E2608" s="12" t="s">
        <v>2612</v>
      </c>
    </row>
    <row r="2609">
      <c r="A2609" s="4" t="s">
        <v>2632</v>
      </c>
      <c r="B2609" s="5" t="str">
        <f>IFERROR(__xludf.DUMMYFUNCTION("IF(A2609="""","""",INDEX(SPLIT(A2609,"" ""),COUNTA(SPLIT(A2609,"" ""))))"),"Brianza")</f>
        <v>Brianza</v>
      </c>
      <c r="C2609" s="6"/>
      <c r="D2609" s="6" t="s">
        <v>2611</v>
      </c>
      <c r="E2609" s="12" t="s">
        <v>2612</v>
      </c>
    </row>
    <row r="2610">
      <c r="A2610" s="4" t="s">
        <v>2633</v>
      </c>
      <c r="B2610" s="5" t="str">
        <f>IFERROR(__xludf.DUMMYFUNCTION("IF(A2610="""","""",INDEX(SPLIT(A2610,"" ""),COUNTA(SPLIT(A2610,"" ""))))"),"Civate")</f>
        <v>Civate</v>
      </c>
      <c r="C2610" s="6"/>
      <c r="D2610" s="6" t="s">
        <v>2611</v>
      </c>
      <c r="E2610" s="12" t="s">
        <v>2612</v>
      </c>
    </row>
    <row r="2611">
      <c r="A2611" s="4" t="s">
        <v>2634</v>
      </c>
      <c r="B2611" s="5" t="str">
        <f>IFERROR(__xludf.DUMMYFUNCTION("IF(A2611="""","""",INDEX(SPLIT(A2611,"" ""),COUNTA(SPLIT(A2611,"" ""))))"),"Colico")</f>
        <v>Colico</v>
      </c>
      <c r="C2611" s="6"/>
      <c r="D2611" s="6" t="s">
        <v>2611</v>
      </c>
      <c r="E2611" s="12" t="s">
        <v>2612</v>
      </c>
    </row>
    <row r="2612">
      <c r="A2612" s="4" t="s">
        <v>2635</v>
      </c>
      <c r="B2612" s="5" t="str">
        <f>IFERROR(__xludf.DUMMYFUNCTION("IF(A2612="""","""",INDEX(SPLIT(A2612,"" ""),COUNTA(SPLIT(A2612,"" ""))))"),"Brianza")</f>
        <v>Brianza</v>
      </c>
      <c r="C2612" s="6"/>
      <c r="D2612" s="6" t="s">
        <v>2611</v>
      </c>
      <c r="E2612" s="12" t="s">
        <v>2612</v>
      </c>
    </row>
    <row r="2613">
      <c r="A2613" s="4" t="s">
        <v>2636</v>
      </c>
      <c r="B2613" s="5" t="str">
        <f>IFERROR(__xludf.DUMMYFUNCTION("IF(A2613="""","""",INDEX(SPLIT(A2613,"" ""),COUNTA(SPLIT(A2613,"" ""))))"),"Cortenova")</f>
        <v>Cortenova</v>
      </c>
      <c r="C2613" s="6"/>
      <c r="D2613" s="6" t="s">
        <v>2611</v>
      </c>
      <c r="E2613" s="12" t="s">
        <v>2612</v>
      </c>
    </row>
    <row r="2614">
      <c r="A2614" s="4" t="s">
        <v>2637</v>
      </c>
      <c r="B2614" s="5" t="str">
        <f>IFERROR(__xludf.DUMMYFUNCTION("IF(A2614="""","""",INDEX(SPLIT(A2614,"" ""),COUNTA(SPLIT(A2614,"" ""))))"),"Masnaga")</f>
        <v>Masnaga</v>
      </c>
      <c r="C2614" s="6"/>
      <c r="D2614" s="6" t="s">
        <v>2611</v>
      </c>
      <c r="E2614" s="12" t="s">
        <v>2612</v>
      </c>
    </row>
    <row r="2615">
      <c r="A2615" s="4" t="s">
        <v>2638</v>
      </c>
      <c r="B2615" s="5" t="str">
        <f>IFERROR(__xludf.DUMMYFUNCTION("IF(A2615="""","""",INDEX(SPLIT(A2615,"" ""),COUNTA(SPLIT(A2615,"" ""))))"),"Valsassina")</f>
        <v>Valsassina</v>
      </c>
      <c r="C2615" s="6"/>
      <c r="D2615" s="6" t="s">
        <v>2611</v>
      </c>
      <c r="E2615" s="12" t="s">
        <v>2612</v>
      </c>
    </row>
    <row r="2616">
      <c r="A2616" s="4" t="s">
        <v>2639</v>
      </c>
      <c r="B2616" s="5" t="str">
        <f>IFERROR(__xludf.DUMMYFUNCTION("IF(A2616="""","""",INDEX(SPLIT(A2616,"" ""),COUNTA(SPLIT(A2616,"" ""))))"),"Cremella")</f>
        <v>Cremella</v>
      </c>
      <c r="C2616" s="6"/>
      <c r="D2616" s="6" t="s">
        <v>2611</v>
      </c>
      <c r="E2616" s="12" t="s">
        <v>2612</v>
      </c>
    </row>
    <row r="2617">
      <c r="A2617" s="4" t="s">
        <v>2640</v>
      </c>
      <c r="B2617" s="5" t="str">
        <f>IFERROR(__xludf.DUMMYFUNCTION("IF(A2617="""","""",INDEX(SPLIT(A2617,"" ""),COUNTA(SPLIT(A2617,"" ""))))"),"Cremeno")</f>
        <v>Cremeno</v>
      </c>
      <c r="C2617" s="6"/>
      <c r="D2617" s="6" t="s">
        <v>2611</v>
      </c>
      <c r="E2617" s="12" t="s">
        <v>2612</v>
      </c>
    </row>
    <row r="2618">
      <c r="A2618" s="4" t="s">
        <v>2641</v>
      </c>
      <c r="B2618" s="5" t="str">
        <f>IFERROR(__xludf.DUMMYFUNCTION("IF(A2618="""","""",INDEX(SPLIT(A2618,"" ""),COUNTA(SPLIT(A2618,"" ""))))"),"Dervio")</f>
        <v>Dervio</v>
      </c>
      <c r="C2618" s="6"/>
      <c r="D2618" s="6" t="s">
        <v>2611</v>
      </c>
      <c r="E2618" s="12" t="s">
        <v>2612</v>
      </c>
    </row>
    <row r="2619">
      <c r="A2619" s="4" t="s">
        <v>2642</v>
      </c>
      <c r="B2619" s="5" t="str">
        <f>IFERROR(__xludf.DUMMYFUNCTION("IF(A2619="""","""",INDEX(SPLIT(A2619,"" ""),COUNTA(SPLIT(A2619,"" ""))))"),"Dolzago")</f>
        <v>Dolzago</v>
      </c>
      <c r="C2619" s="6"/>
      <c r="D2619" s="6" t="s">
        <v>2611</v>
      </c>
      <c r="E2619" s="12" t="s">
        <v>2612</v>
      </c>
    </row>
    <row r="2620">
      <c r="A2620" s="4" t="s">
        <v>2643</v>
      </c>
      <c r="B2620" s="5" t="str">
        <f>IFERROR(__xludf.DUMMYFUNCTION("IF(A2620="""","""",INDEX(SPLIT(A2620,"" ""),COUNTA(SPLIT(A2620,"" ""))))"),"Dorio")</f>
        <v>Dorio</v>
      </c>
      <c r="C2620" s="6"/>
      <c r="D2620" s="6" t="s">
        <v>2611</v>
      </c>
      <c r="E2620" s="12" t="s">
        <v>2612</v>
      </c>
    </row>
    <row r="2621">
      <c r="A2621" s="4" t="s">
        <v>2644</v>
      </c>
      <c r="B2621" s="5" t="str">
        <f>IFERROR(__xludf.DUMMYFUNCTION("IF(A2621="""","""",INDEX(SPLIT(A2621,"" ""),COUNTA(SPLIT(A2621,"" ""))))"),"Ello")</f>
        <v>Ello</v>
      </c>
      <c r="C2621" s="6"/>
      <c r="D2621" s="6" t="s">
        <v>2611</v>
      </c>
      <c r="E2621" s="12" t="s">
        <v>2612</v>
      </c>
    </row>
    <row r="2622">
      <c r="A2622" s="4" t="s">
        <v>2645</v>
      </c>
      <c r="B2622" s="5" t="str">
        <f>IFERROR(__xludf.DUMMYFUNCTION("IF(A2622="""","""",INDEX(SPLIT(A2622,"" ""),COUNTA(SPLIT(A2622,"" ""))))"),"Erve")</f>
        <v>Erve</v>
      </c>
      <c r="C2622" s="6"/>
      <c r="D2622" s="6" t="s">
        <v>2611</v>
      </c>
      <c r="E2622" s="12" t="s">
        <v>2612</v>
      </c>
    </row>
    <row r="2623">
      <c r="A2623" s="4" t="s">
        <v>2646</v>
      </c>
      <c r="B2623" s="5" t="str">
        <f>IFERROR(__xludf.DUMMYFUNCTION("IF(A2623="""","""",INDEX(SPLIT(A2623,"" ""),COUNTA(SPLIT(A2623,"" ""))))"),"Lario")</f>
        <v>Lario</v>
      </c>
      <c r="C2623" s="6"/>
      <c r="D2623" s="6" t="s">
        <v>2611</v>
      </c>
      <c r="E2623" s="12" t="s">
        <v>2612</v>
      </c>
    </row>
    <row r="2624">
      <c r="A2624" s="4" t="s">
        <v>2647</v>
      </c>
      <c r="B2624" s="5" t="str">
        <f>IFERROR(__xludf.DUMMYFUNCTION("IF(A2624="""","""",INDEX(SPLIT(A2624,"" ""),COUNTA(SPLIT(A2624,"" ""))))"),"Galbiate")</f>
        <v>Galbiate</v>
      </c>
      <c r="C2624" s="6"/>
      <c r="D2624" s="6" t="s">
        <v>2611</v>
      </c>
      <c r="E2624" s="12" t="s">
        <v>2612</v>
      </c>
    </row>
    <row r="2625">
      <c r="A2625" s="4" t="s">
        <v>2648</v>
      </c>
      <c r="B2625" s="5" t="str">
        <f>IFERROR(__xludf.DUMMYFUNCTION("IF(A2625="""","""",INDEX(SPLIT(A2625,"" ""),COUNTA(SPLIT(A2625,"" ""))))"),"Monastero")</f>
        <v>Monastero</v>
      </c>
      <c r="C2625" s="6"/>
      <c r="D2625" s="6" t="s">
        <v>2611</v>
      </c>
      <c r="E2625" s="12" t="s">
        <v>2612</v>
      </c>
    </row>
    <row r="2626">
      <c r="A2626" s="4" t="s">
        <v>2649</v>
      </c>
      <c r="B2626" s="5" t="str">
        <f>IFERROR(__xludf.DUMMYFUNCTION("IF(A2626="""","""",INDEX(SPLIT(A2626,"" ""),COUNTA(SPLIT(A2626,"" ""))))"),"Garlate")</f>
        <v>Garlate</v>
      </c>
      <c r="C2626" s="6"/>
      <c r="D2626" s="6" t="s">
        <v>2611</v>
      </c>
      <c r="E2626" s="12" t="s">
        <v>2612</v>
      </c>
    </row>
    <row r="2627">
      <c r="A2627" s="4" t="s">
        <v>2650</v>
      </c>
      <c r="B2627" s="5" t="str">
        <f>IFERROR(__xludf.DUMMYFUNCTION("IF(A2627="""","""",INDEX(SPLIT(A2627,"" ""),COUNTA(SPLIT(A2627,"" ""))))"),"Imbersago")</f>
        <v>Imbersago</v>
      </c>
      <c r="C2627" s="6"/>
      <c r="D2627" s="6" t="s">
        <v>2611</v>
      </c>
      <c r="E2627" s="12" t="s">
        <v>2612</v>
      </c>
    </row>
    <row r="2628">
      <c r="A2628" s="4" t="s">
        <v>2651</v>
      </c>
      <c r="B2628" s="5" t="str">
        <f>IFERROR(__xludf.DUMMYFUNCTION("IF(A2628="""","""",INDEX(SPLIT(A2628,"" ""),COUNTA(SPLIT(A2628,"" ""))))"),"Introbio")</f>
        <v>Introbio</v>
      </c>
      <c r="C2628" s="6"/>
      <c r="D2628" s="6" t="s">
        <v>2611</v>
      </c>
      <c r="E2628" s="12" t="s">
        <v>2612</v>
      </c>
    </row>
    <row r="2629">
      <c r="A2629" s="4" t="s">
        <v>2611</v>
      </c>
      <c r="B2629" s="5" t="str">
        <f>IFERROR(__xludf.DUMMYFUNCTION("IF(A2629="""","""",INDEX(SPLIT(A2629,"" ""),COUNTA(SPLIT(A2629,"" ""))))"),"Lecco")</f>
        <v>Lecco</v>
      </c>
      <c r="C2629" s="6"/>
      <c r="D2629" s="6" t="s">
        <v>2611</v>
      </c>
      <c r="E2629" s="12" t="s">
        <v>2612</v>
      </c>
    </row>
    <row r="2630">
      <c r="A2630" s="4" t="s">
        <v>2652</v>
      </c>
      <c r="B2630" s="5" t="str">
        <f>IFERROR(__xludf.DUMMYFUNCTION("IF(A2630="""","""",INDEX(SPLIT(A2630,"" ""),COUNTA(SPLIT(A2630,"" ""))))"),"Lierna")</f>
        <v>Lierna</v>
      </c>
      <c r="C2630" s="6"/>
      <c r="D2630" s="6" t="s">
        <v>2611</v>
      </c>
      <c r="E2630" s="12" t="s">
        <v>2612</v>
      </c>
    </row>
    <row r="2631">
      <c r="A2631" s="4" t="s">
        <v>2653</v>
      </c>
      <c r="B2631" s="5" t="str">
        <f>IFERROR(__xludf.DUMMYFUNCTION("IF(A2631="""","""",INDEX(SPLIT(A2631,"" ""),COUNTA(SPLIT(A2631,"" ""))))"),"Lomagna")</f>
        <v>Lomagna</v>
      </c>
      <c r="C2631" s="6"/>
      <c r="D2631" s="6" t="s">
        <v>2611</v>
      </c>
      <c r="E2631" s="12" t="s">
        <v>2612</v>
      </c>
    </row>
    <row r="2632">
      <c r="A2632" s="4" t="s">
        <v>2654</v>
      </c>
      <c r="B2632" s="5" t="str">
        <f>IFERROR(__xludf.DUMMYFUNCTION("IF(A2632="""","""",INDEX(SPLIT(A2632,"" ""),COUNTA(SPLIT(A2632,"" ""))))"),"Malgrate")</f>
        <v>Malgrate</v>
      </c>
      <c r="C2632" s="6"/>
      <c r="D2632" s="6" t="s">
        <v>2611</v>
      </c>
      <c r="E2632" s="12" t="s">
        <v>2612</v>
      </c>
    </row>
    <row r="2633">
      <c r="A2633" s="4" t="s">
        <v>2655</v>
      </c>
      <c r="B2633" s="5" t="str">
        <f>IFERROR(__xludf.DUMMYFUNCTION("IF(A2633="""","""",INDEX(SPLIT(A2633,"" ""),COUNTA(SPLIT(A2633,"" ""))))"),"Lario")</f>
        <v>Lario</v>
      </c>
      <c r="C2633" s="6"/>
      <c r="D2633" s="6" t="s">
        <v>2611</v>
      </c>
      <c r="E2633" s="12" t="s">
        <v>2612</v>
      </c>
    </row>
    <row r="2634">
      <c r="A2634" s="4" t="s">
        <v>2656</v>
      </c>
      <c r="B2634" s="5" t="str">
        <f>IFERROR(__xludf.DUMMYFUNCTION("IF(A2634="""","""",INDEX(SPLIT(A2634,"" ""),COUNTA(SPLIT(A2634,"" ""))))"),"Margno")</f>
        <v>Margno</v>
      </c>
      <c r="C2634" s="6"/>
      <c r="D2634" s="6" t="s">
        <v>2611</v>
      </c>
      <c r="E2634" s="12" t="s">
        <v>2612</v>
      </c>
    </row>
    <row r="2635">
      <c r="A2635" s="4" t="s">
        <v>2657</v>
      </c>
      <c r="B2635" s="5" t="str">
        <f>IFERROR(__xludf.DUMMYFUNCTION("IF(A2635="""","""",INDEX(SPLIT(A2635,"" ""),COUNTA(SPLIT(A2635,"" ""))))"),"Merate")</f>
        <v>Merate</v>
      </c>
      <c r="C2635" s="6"/>
      <c r="D2635" s="6" t="s">
        <v>2611</v>
      </c>
      <c r="E2635" s="12" t="s">
        <v>2612</v>
      </c>
    </row>
    <row r="2636">
      <c r="A2636" s="4" t="s">
        <v>2658</v>
      </c>
      <c r="B2636" s="5" t="str">
        <f>IFERROR(__xludf.DUMMYFUNCTION("IF(A2636="""","""",INDEX(SPLIT(A2636,"" ""),COUNTA(SPLIT(A2636,"" ""))))"),"Missaglia")</f>
        <v>Missaglia</v>
      </c>
      <c r="C2636" s="6"/>
      <c r="D2636" s="6" t="s">
        <v>2611</v>
      </c>
      <c r="E2636" s="12" t="s">
        <v>2612</v>
      </c>
    </row>
    <row r="2637">
      <c r="A2637" s="4" t="s">
        <v>2659</v>
      </c>
      <c r="B2637" s="5" t="str">
        <f>IFERROR(__xludf.DUMMYFUNCTION("IF(A2637="""","""",INDEX(SPLIT(A2637,"" ""),COUNTA(SPLIT(A2637,"" ""))))"),"Moggio")</f>
        <v>Moggio</v>
      </c>
      <c r="C2637" s="6"/>
      <c r="D2637" s="6" t="s">
        <v>2611</v>
      </c>
      <c r="E2637" s="12" t="s">
        <v>2612</v>
      </c>
    </row>
    <row r="2638">
      <c r="A2638" s="4" t="s">
        <v>2660</v>
      </c>
      <c r="B2638" s="5" t="str">
        <f>IFERROR(__xludf.DUMMYFUNCTION("IF(A2638="""","""",INDEX(SPLIT(A2638,"" ""),COUNTA(SPLIT(A2638,"" ""))))"),"Molteno")</f>
        <v>Molteno</v>
      </c>
      <c r="C2638" s="6"/>
      <c r="D2638" s="6" t="s">
        <v>2611</v>
      </c>
      <c r="E2638" s="12" t="s">
        <v>2612</v>
      </c>
    </row>
    <row r="2639">
      <c r="A2639" s="4" t="s">
        <v>2661</v>
      </c>
      <c r="B2639" s="5" t="str">
        <f>IFERROR(__xludf.DUMMYFUNCTION("IF(A2639="""","""",INDEX(SPLIT(A2639,"" ""),COUNTA(SPLIT(A2639,"" ""))))"),"Marenzo")</f>
        <v>Marenzo</v>
      </c>
      <c r="C2639" s="6"/>
      <c r="D2639" s="6" t="s">
        <v>2611</v>
      </c>
      <c r="E2639" s="12" t="s">
        <v>2612</v>
      </c>
    </row>
    <row r="2640">
      <c r="A2640" s="4" t="s">
        <v>2662</v>
      </c>
      <c r="B2640" s="5" t="str">
        <f>IFERROR(__xludf.DUMMYFUNCTION("IF(A2640="""","""",INDEX(SPLIT(A2640,"" ""),COUNTA(SPLIT(A2640,"" ""))))"),"Montevecchia")</f>
        <v>Montevecchia</v>
      </c>
      <c r="C2640" s="6"/>
      <c r="D2640" s="6" t="s">
        <v>2611</v>
      </c>
      <c r="E2640" s="12" t="s">
        <v>2612</v>
      </c>
    </row>
    <row r="2641">
      <c r="A2641" s="4" t="s">
        <v>2663</v>
      </c>
      <c r="B2641" s="5" t="str">
        <f>IFERROR(__xludf.DUMMYFUNCTION("IF(A2641="""","""",INDEX(SPLIT(A2641,"" ""),COUNTA(SPLIT(A2641,"" ""))))"),"Brianza")</f>
        <v>Brianza</v>
      </c>
      <c r="C2641" s="6"/>
      <c r="D2641" s="6" t="s">
        <v>2611</v>
      </c>
      <c r="E2641" s="12" t="s">
        <v>2612</v>
      </c>
    </row>
    <row r="2642">
      <c r="A2642" s="4" t="s">
        <v>2664</v>
      </c>
      <c r="B2642" s="5" t="str">
        <f>IFERROR(__xludf.DUMMYFUNCTION("IF(A2642="""","""",INDEX(SPLIT(A2642,"" ""),COUNTA(SPLIT(A2642,"" ""))))"),"Morterone")</f>
        <v>Morterone</v>
      </c>
      <c r="C2642" s="6"/>
      <c r="D2642" s="6" t="s">
        <v>2611</v>
      </c>
      <c r="E2642" s="12" t="s">
        <v>2612</v>
      </c>
    </row>
    <row r="2643">
      <c r="A2643" s="4" t="s">
        <v>2665</v>
      </c>
      <c r="B2643" s="5" t="str">
        <f>IFERROR(__xludf.DUMMYFUNCTION("IF(A2643="""","""",INDEX(SPLIT(A2643,"" ""),COUNTA(SPLIT(A2643,"" ""))))"),"Nibionno")</f>
        <v>Nibionno</v>
      </c>
      <c r="C2643" s="6"/>
      <c r="D2643" s="6" t="s">
        <v>2611</v>
      </c>
      <c r="E2643" s="12" t="s">
        <v>2612</v>
      </c>
    </row>
    <row r="2644">
      <c r="A2644" s="4" t="s">
        <v>2666</v>
      </c>
      <c r="B2644" s="5" t="str">
        <f>IFERROR(__xludf.DUMMYFUNCTION("IF(A2644="""","""",INDEX(SPLIT(A2644,"" ""),COUNTA(SPLIT(A2644,"" ""))))"),"Oggiono")</f>
        <v>Oggiono</v>
      </c>
      <c r="C2644" s="6"/>
      <c r="D2644" s="6" t="s">
        <v>2611</v>
      </c>
      <c r="E2644" s="12" t="s">
        <v>2612</v>
      </c>
    </row>
    <row r="2645">
      <c r="A2645" s="4" t="s">
        <v>2667</v>
      </c>
      <c r="B2645" s="5" t="str">
        <f>IFERROR(__xludf.DUMMYFUNCTION("IF(A2645="""","""",INDEX(SPLIT(A2645,"" ""),COUNTA(SPLIT(A2645,"" ""))))"),"Molgora")</f>
        <v>Molgora</v>
      </c>
      <c r="C2645" s="6"/>
      <c r="D2645" s="6" t="s">
        <v>2611</v>
      </c>
      <c r="E2645" s="12" t="s">
        <v>2612</v>
      </c>
    </row>
    <row r="2646">
      <c r="A2646" s="4" t="s">
        <v>2668</v>
      </c>
      <c r="B2646" s="5" t="str">
        <f>IFERROR(__xludf.DUMMYFUNCTION("IF(A2646="""","""",INDEX(SPLIT(A2646,"" ""),COUNTA(SPLIT(A2646,"" ""))))"),"Olginate")</f>
        <v>Olginate</v>
      </c>
      <c r="C2646" s="6"/>
      <c r="D2646" s="6" t="s">
        <v>2611</v>
      </c>
      <c r="E2646" s="12" t="s">
        <v>2612</v>
      </c>
    </row>
    <row r="2647">
      <c r="A2647" s="4" t="s">
        <v>2669</v>
      </c>
      <c r="B2647" s="5" t="str">
        <f>IFERROR(__xludf.DUMMYFUNCTION("IF(A2647="""","""",INDEX(SPLIT(A2647,"" ""),COUNTA(SPLIT(A2647,"" ""))))"),"Lario")</f>
        <v>Lario</v>
      </c>
      <c r="C2647" s="6"/>
      <c r="D2647" s="6" t="s">
        <v>2611</v>
      </c>
      <c r="E2647" s="12" t="s">
        <v>2612</v>
      </c>
    </row>
    <row r="2648">
      <c r="A2648" s="4" t="s">
        <v>2670</v>
      </c>
      <c r="B2648" s="5" t="str">
        <f>IFERROR(__xludf.DUMMYFUNCTION("IF(A2648="""","""",INDEX(SPLIT(A2648,"" ""),COUNTA(SPLIT(A2648,"" ""))))"),"Osnago")</f>
        <v>Osnago</v>
      </c>
      <c r="C2648" s="6"/>
      <c r="D2648" s="6" t="s">
        <v>2611</v>
      </c>
      <c r="E2648" s="12" t="s">
        <v>2612</v>
      </c>
    </row>
    <row r="2649">
      <c r="A2649" s="4" t="s">
        <v>2671</v>
      </c>
      <c r="B2649" s="5" t="str">
        <f>IFERROR(__xludf.DUMMYFUNCTION("IF(A2649="""","""",INDEX(SPLIT(A2649,"" ""),COUNTA(SPLIT(A2649,"" ""))))"),"d'Adda")</f>
        <v>d'Adda</v>
      </c>
      <c r="C2649" s="6"/>
      <c r="D2649" s="6" t="s">
        <v>2611</v>
      </c>
      <c r="E2649" s="12" t="s">
        <v>2612</v>
      </c>
    </row>
    <row r="2650">
      <c r="A2650" s="4" t="s">
        <v>2672</v>
      </c>
      <c r="B2650" s="5" t="str">
        <f>IFERROR(__xludf.DUMMYFUNCTION("IF(A2650="""","""",INDEX(SPLIT(A2650,"" ""),COUNTA(SPLIT(A2650,"" ""))))"),"Pagnona")</f>
        <v>Pagnona</v>
      </c>
      <c r="C2650" s="6"/>
      <c r="D2650" s="6" t="s">
        <v>2611</v>
      </c>
      <c r="E2650" s="12" t="s">
        <v>2612</v>
      </c>
    </row>
    <row r="2651">
      <c r="A2651" s="4" t="s">
        <v>2673</v>
      </c>
      <c r="B2651" s="5" t="str">
        <f>IFERROR(__xludf.DUMMYFUNCTION("IF(A2651="""","""",INDEX(SPLIT(A2651,"" ""),COUNTA(SPLIT(A2651,"" ""))))"),"Parlasco")</f>
        <v>Parlasco</v>
      </c>
      <c r="C2651" s="6"/>
      <c r="D2651" s="6" t="s">
        <v>2611</v>
      </c>
      <c r="E2651" s="12" t="s">
        <v>2612</v>
      </c>
    </row>
    <row r="2652">
      <c r="A2652" s="4" t="s">
        <v>2674</v>
      </c>
      <c r="B2652" s="5" t="str">
        <f>IFERROR(__xludf.DUMMYFUNCTION("IF(A2652="""","""",INDEX(SPLIT(A2652,"" ""),COUNTA(SPLIT(A2652,"" ""))))"),"Pasturo")</f>
        <v>Pasturo</v>
      </c>
      <c r="C2652" s="6"/>
      <c r="D2652" s="6" t="s">
        <v>2611</v>
      </c>
      <c r="E2652" s="12" t="s">
        <v>2612</v>
      </c>
    </row>
    <row r="2653">
      <c r="A2653" s="4" t="s">
        <v>2675</v>
      </c>
      <c r="B2653" s="5" t="str">
        <f>IFERROR(__xludf.DUMMYFUNCTION("IF(A2653="""","""",INDEX(SPLIT(A2653,"" ""),COUNTA(SPLIT(A2653,"" ""))))"),"Perledo")</f>
        <v>Perledo</v>
      </c>
      <c r="C2653" s="6"/>
      <c r="D2653" s="6" t="s">
        <v>2611</v>
      </c>
      <c r="E2653" s="12" t="s">
        <v>2612</v>
      </c>
    </row>
    <row r="2654">
      <c r="A2654" s="4" t="s">
        <v>2676</v>
      </c>
      <c r="B2654" s="5" t="str">
        <f>IFERROR(__xludf.DUMMYFUNCTION("IF(A2654="""","""",INDEX(SPLIT(A2654,"" ""),COUNTA(SPLIT(A2654,"" ""))))"),"Pescate")</f>
        <v>Pescate</v>
      </c>
      <c r="C2654" s="6"/>
      <c r="D2654" s="6" t="s">
        <v>2611</v>
      </c>
      <c r="E2654" s="12" t="s">
        <v>2612</v>
      </c>
    </row>
    <row r="2655">
      <c r="A2655" s="4" t="s">
        <v>2677</v>
      </c>
      <c r="B2655" s="5" t="str">
        <f>IFERROR(__xludf.DUMMYFUNCTION("IF(A2655="""","""",INDEX(SPLIT(A2655,"" ""),COUNTA(SPLIT(A2655,"" ""))))"),"Premana")</f>
        <v>Premana</v>
      </c>
      <c r="C2655" s="6"/>
      <c r="D2655" s="6" t="s">
        <v>2611</v>
      </c>
      <c r="E2655" s="12" t="s">
        <v>2612</v>
      </c>
    </row>
    <row r="2656">
      <c r="A2656" s="4" t="s">
        <v>2678</v>
      </c>
      <c r="B2656" s="5" t="str">
        <f>IFERROR(__xludf.DUMMYFUNCTION("IF(A2656="""","""",INDEX(SPLIT(A2656,"" ""),COUNTA(SPLIT(A2656,"" ""))))"),"Primaluna")</f>
        <v>Primaluna</v>
      </c>
      <c r="C2656" s="6"/>
      <c r="D2656" s="6" t="s">
        <v>2611</v>
      </c>
      <c r="E2656" s="12" t="s">
        <v>2612</v>
      </c>
    </row>
    <row r="2657">
      <c r="A2657" s="4" t="s">
        <v>2679</v>
      </c>
      <c r="B2657" s="5" t="str">
        <f>IFERROR(__xludf.DUMMYFUNCTION("IF(A2657="""","""",INDEX(SPLIT(A2657,"" ""),COUNTA(SPLIT(A2657,"" ""))))"),"Robbiate")</f>
        <v>Robbiate</v>
      </c>
      <c r="C2657" s="6"/>
      <c r="D2657" s="6" t="s">
        <v>2611</v>
      </c>
      <c r="E2657" s="12" t="s">
        <v>2612</v>
      </c>
    </row>
    <row r="2658">
      <c r="A2658" s="4" t="s">
        <v>2680</v>
      </c>
      <c r="B2658" s="5" t="str">
        <f>IFERROR(__xludf.DUMMYFUNCTION("IF(A2658="""","""",INDEX(SPLIT(A2658,"" ""),COUNTA(SPLIT(A2658,"" ""))))"),"Rogeno")</f>
        <v>Rogeno</v>
      </c>
      <c r="C2658" s="6"/>
      <c r="D2658" s="6" t="s">
        <v>2611</v>
      </c>
      <c r="E2658" s="12" t="s">
        <v>2612</v>
      </c>
    </row>
    <row r="2659">
      <c r="A2659" s="4" t="s">
        <v>2681</v>
      </c>
      <c r="B2659" s="5" t="str">
        <f>IFERROR(__xludf.DUMMYFUNCTION("IF(A2659="""","""",INDEX(SPLIT(A2659,"" ""),COUNTA(SPLIT(A2659,"" ""))))"),"Hoè")</f>
        <v>Hoè</v>
      </c>
      <c r="C2659" s="6"/>
      <c r="D2659" s="6" t="s">
        <v>2611</v>
      </c>
      <c r="E2659" s="12" t="s">
        <v>2612</v>
      </c>
    </row>
    <row r="2660">
      <c r="A2660" s="4" t="s">
        <v>2682</v>
      </c>
      <c r="B2660" s="5" t="str">
        <f>IFERROR(__xludf.DUMMYFUNCTION("IF(A2660="""","""",INDEX(SPLIT(A2660,"" ""),COUNTA(SPLIT(A2660,"" ""))))"),"Sirone")</f>
        <v>Sirone</v>
      </c>
      <c r="C2660" s="6"/>
      <c r="D2660" s="6" t="s">
        <v>2611</v>
      </c>
      <c r="E2660" s="12" t="s">
        <v>2612</v>
      </c>
    </row>
    <row r="2661">
      <c r="A2661" s="4" t="s">
        <v>2683</v>
      </c>
      <c r="B2661" s="5" t="str">
        <f>IFERROR(__xludf.DUMMYFUNCTION("IF(A2661="""","""",INDEX(SPLIT(A2661,"" ""),COUNTA(SPLIT(A2661,"" ""))))"),"Sirtori")</f>
        <v>Sirtori</v>
      </c>
      <c r="C2661" s="6"/>
      <c r="D2661" s="6" t="s">
        <v>2611</v>
      </c>
      <c r="E2661" s="12" t="s">
        <v>2612</v>
      </c>
    </row>
    <row r="2662">
      <c r="A2662" s="4" t="s">
        <v>2684</v>
      </c>
      <c r="B2662" s="5" t="str">
        <f>IFERROR(__xludf.DUMMYFUNCTION("IF(A2662="""","""",INDEX(SPLIT(A2662,"" ""),COUNTA(SPLIT(A2662,"" ""))))"),"Sueglio")</f>
        <v>Sueglio</v>
      </c>
      <c r="C2662" s="6"/>
      <c r="D2662" s="6" t="s">
        <v>2611</v>
      </c>
      <c r="E2662" s="12" t="s">
        <v>2612</v>
      </c>
    </row>
    <row r="2663">
      <c r="A2663" s="4" t="s">
        <v>2685</v>
      </c>
      <c r="B2663" s="5" t="str">
        <f>IFERROR(__xludf.DUMMYFUNCTION("IF(A2663="""","""",INDEX(SPLIT(A2663,"" ""),COUNTA(SPLIT(A2663,"" ""))))"),"Suello")</f>
        <v>Suello</v>
      </c>
      <c r="C2663" s="6"/>
      <c r="D2663" s="6" t="s">
        <v>2611</v>
      </c>
      <c r="E2663" s="12" t="s">
        <v>2612</v>
      </c>
    </row>
    <row r="2664">
      <c r="A2664" s="4" t="s">
        <v>2686</v>
      </c>
      <c r="B2664" s="5" t="str">
        <f>IFERROR(__xludf.DUMMYFUNCTION("IF(A2664="""","""",INDEX(SPLIT(A2664,"" ""),COUNTA(SPLIT(A2664,"" ""))))"),"Taceno")</f>
        <v>Taceno</v>
      </c>
      <c r="C2664" s="6"/>
      <c r="D2664" s="6" t="s">
        <v>2611</v>
      </c>
      <c r="E2664" s="12" t="s">
        <v>2612</v>
      </c>
    </row>
    <row r="2665">
      <c r="A2665" s="4" t="s">
        <v>2687</v>
      </c>
      <c r="B2665" s="5" t="str">
        <f>IFERROR(__xludf.DUMMYFUNCTION("IF(A2665="""","""",INDEX(SPLIT(A2665,"" ""),COUNTA(SPLIT(A2665,"" ""))))"),"Valgreghentino")</f>
        <v>Valgreghentino</v>
      </c>
      <c r="C2665" s="6"/>
      <c r="D2665" s="6" t="s">
        <v>2611</v>
      </c>
      <c r="E2665" s="12" t="s">
        <v>2612</v>
      </c>
    </row>
    <row r="2666">
      <c r="A2666" s="4" t="s">
        <v>2688</v>
      </c>
      <c r="B2666" s="5" t="str">
        <f>IFERROR(__xludf.DUMMYFUNCTION("IF(A2666="""","""",INDEX(SPLIT(A2666,"" ""),COUNTA(SPLIT(A2666,"" ""))))"),"Valmadrera")</f>
        <v>Valmadrera</v>
      </c>
      <c r="C2666" s="6"/>
      <c r="D2666" s="6" t="s">
        <v>2611</v>
      </c>
      <c r="E2666" s="12" t="s">
        <v>2612</v>
      </c>
    </row>
    <row r="2667">
      <c r="A2667" s="4" t="s">
        <v>2689</v>
      </c>
      <c r="B2667" s="5" t="str">
        <f>IFERROR(__xludf.DUMMYFUNCTION("IF(A2667="""","""",INDEX(SPLIT(A2667,"" ""),COUNTA(SPLIT(A2667,"" ""))))"),"Varenna")</f>
        <v>Varenna</v>
      </c>
      <c r="C2667" s="6"/>
      <c r="D2667" s="6" t="s">
        <v>2611</v>
      </c>
      <c r="E2667" s="12" t="s">
        <v>2612</v>
      </c>
    </row>
    <row r="2668">
      <c r="A2668" s="4" t="s">
        <v>2690</v>
      </c>
      <c r="B2668" s="5" t="str">
        <f>IFERROR(__xludf.DUMMYFUNCTION("IF(A2668="""","""",INDEX(SPLIT(A2668,"" ""),COUNTA(SPLIT(A2668,"" ""))))"),"Vendrogno")</f>
        <v>Vendrogno</v>
      </c>
      <c r="C2668" s="6"/>
      <c r="D2668" s="6" t="s">
        <v>2611</v>
      </c>
      <c r="E2668" s="12" t="s">
        <v>2612</v>
      </c>
    </row>
    <row r="2669">
      <c r="A2669" s="4" t="s">
        <v>2691</v>
      </c>
      <c r="B2669" s="5" t="str">
        <f>IFERROR(__xludf.DUMMYFUNCTION("IF(A2669="""","""",INDEX(SPLIT(A2669,"" ""),COUNTA(SPLIT(A2669,"" ""))))"),"Vercurago")</f>
        <v>Vercurago</v>
      </c>
      <c r="C2669" s="6"/>
      <c r="D2669" s="6" t="s">
        <v>2611</v>
      </c>
      <c r="E2669" s="12" t="s">
        <v>2612</v>
      </c>
    </row>
    <row r="2670">
      <c r="A2670" s="4" t="s">
        <v>2692</v>
      </c>
      <c r="B2670" s="5" t="str">
        <f>IFERROR(__xludf.DUMMYFUNCTION("IF(A2670="""","""",INDEX(SPLIT(A2670,"" ""),COUNTA(SPLIT(A2670,"" ""))))"),"Viganò")</f>
        <v>Viganò</v>
      </c>
      <c r="C2670" s="6"/>
      <c r="D2670" s="6" t="s">
        <v>2611</v>
      </c>
      <c r="E2670" s="12" t="s">
        <v>2612</v>
      </c>
    </row>
    <row r="2671">
      <c r="A2671" s="4" t="s">
        <v>2693</v>
      </c>
      <c r="B2671" s="5" t="str">
        <f>IFERROR(__xludf.DUMMYFUNCTION("IF(A2671="""","""",INDEX(SPLIT(A2671,"" ""),COUNTA(SPLIT(A2671,"" ""))))"),"Verderio")</f>
        <v>Verderio</v>
      </c>
      <c r="C2671" s="6"/>
      <c r="D2671" s="6" t="s">
        <v>2611</v>
      </c>
      <c r="E2671" s="12" t="s">
        <v>2612</v>
      </c>
    </row>
    <row r="2672">
      <c r="A2672" s="4" t="s">
        <v>2694</v>
      </c>
      <c r="B2672" s="5" t="str">
        <f>IFERROR(__xludf.DUMMYFUNCTION("IF(A2672="""","""",INDEX(SPLIT(A2672,"" ""),COUNTA(SPLIT(A2672,"" ""))))"),"Brianza")</f>
        <v>Brianza</v>
      </c>
      <c r="C2672" s="6"/>
      <c r="D2672" s="6" t="s">
        <v>2611</v>
      </c>
      <c r="E2672" s="12" t="s">
        <v>2612</v>
      </c>
    </row>
    <row r="2673">
      <c r="A2673" s="4" t="s">
        <v>2695</v>
      </c>
      <c r="B2673" s="5" t="str">
        <f>IFERROR(__xludf.DUMMYFUNCTION("IF(A2673="""","""",INDEX(SPLIT(A2673,"" ""),COUNTA(SPLIT(A2673,"" ""))))"),"Valvarrone")</f>
        <v>Valvarrone</v>
      </c>
      <c r="C2673" s="6"/>
      <c r="D2673" s="6" t="s">
        <v>2611</v>
      </c>
      <c r="E2673" s="12" t="s">
        <v>2612</v>
      </c>
    </row>
    <row r="2674">
      <c r="A2674" s="4" t="s">
        <v>2696</v>
      </c>
      <c r="B2674" s="5" t="str">
        <f>IFERROR(__xludf.DUMMYFUNCTION("IF(A2674="""","""",INDEX(SPLIT(A2674,"" ""),COUNTA(SPLIT(A2674,"" ""))))"),"Cerreto")</f>
        <v>Cerreto</v>
      </c>
      <c r="C2674" s="6"/>
      <c r="D2674" s="6" t="s">
        <v>2697</v>
      </c>
      <c r="E2674" s="12" t="s">
        <v>2698</v>
      </c>
    </row>
    <row r="2675">
      <c r="A2675" s="4" t="s">
        <v>2699</v>
      </c>
      <c r="B2675" s="5" t="str">
        <f>IFERROR(__xludf.DUMMYFUNCTION("IF(A2675="""","""",INDEX(SPLIT(A2675,"" ""),COUNTA(SPLIT(A2675,"" ""))))"),"Bertonico")</f>
        <v>Bertonico</v>
      </c>
      <c r="C2675" s="6"/>
      <c r="D2675" s="6" t="s">
        <v>2697</v>
      </c>
      <c r="E2675" s="12" t="s">
        <v>2698</v>
      </c>
    </row>
    <row r="2676">
      <c r="A2676" s="4" t="s">
        <v>2700</v>
      </c>
      <c r="B2676" s="5" t="str">
        <f>IFERROR(__xludf.DUMMYFUNCTION("IF(A2676="""","""",INDEX(SPLIT(A2676,"" ""),COUNTA(SPLIT(A2676,"" ""))))"),"d'Adda")</f>
        <v>d'Adda</v>
      </c>
      <c r="C2676" s="6"/>
      <c r="D2676" s="6" t="s">
        <v>2697</v>
      </c>
      <c r="E2676" s="12" t="s">
        <v>2698</v>
      </c>
    </row>
    <row r="2677">
      <c r="A2677" s="4" t="s">
        <v>2701</v>
      </c>
      <c r="B2677" s="5" t="str">
        <f>IFERROR(__xludf.DUMMYFUNCTION("IF(A2677="""","""",INDEX(SPLIT(A2677,"" ""),COUNTA(SPLIT(A2677,"" ""))))"),"Lodigiano")</f>
        <v>Lodigiano</v>
      </c>
      <c r="C2677" s="6"/>
      <c r="D2677" s="6" t="s">
        <v>2697</v>
      </c>
      <c r="E2677" s="12" t="s">
        <v>2698</v>
      </c>
    </row>
    <row r="2678">
      <c r="A2678" s="4" t="s">
        <v>2702</v>
      </c>
      <c r="B2678" s="5" t="str">
        <f>IFERROR(__xludf.DUMMYFUNCTION("IF(A2678="""","""",INDEX(SPLIT(A2678,"" ""),COUNTA(SPLIT(A2678,"" ""))))"),"Giovanni")</f>
        <v>Giovanni</v>
      </c>
      <c r="C2678" s="6"/>
      <c r="D2678" s="6" t="s">
        <v>2697</v>
      </c>
      <c r="E2678" s="12" t="s">
        <v>2698</v>
      </c>
    </row>
    <row r="2679">
      <c r="A2679" s="4" t="s">
        <v>2703</v>
      </c>
      <c r="B2679" s="5" t="str">
        <f>IFERROR(__xludf.DUMMYFUNCTION("IF(A2679="""","""",INDEX(SPLIT(A2679,"" ""),COUNTA(SPLIT(A2679,"" ""))))"),"Brembio")</f>
        <v>Brembio</v>
      </c>
      <c r="C2679" s="6"/>
      <c r="D2679" s="6" t="s">
        <v>2697</v>
      </c>
      <c r="E2679" s="12" t="s">
        <v>2698</v>
      </c>
    </row>
    <row r="2680">
      <c r="A2680" s="4" t="s">
        <v>2704</v>
      </c>
      <c r="B2680" s="5" t="str">
        <f>IFERROR(__xludf.DUMMYFUNCTION("IF(A2680="""","""",INDEX(SPLIT(A2680,"" ""),COUNTA(SPLIT(A2680,"" ""))))"),"Lodigiano")</f>
        <v>Lodigiano</v>
      </c>
      <c r="C2680" s="6"/>
      <c r="D2680" s="6" t="s">
        <v>2697</v>
      </c>
      <c r="E2680" s="12" t="s">
        <v>2698</v>
      </c>
    </row>
    <row r="2681">
      <c r="A2681" s="4" t="s">
        <v>2705</v>
      </c>
      <c r="B2681" s="5" t="str">
        <f>IFERROR(__xludf.DUMMYFUNCTION("IF(A2681="""","""",INDEX(SPLIT(A2681,"" ""),COUNTA(SPLIT(A2681,"" ""))))"),"Casalmaiocco")</f>
        <v>Casalmaiocco</v>
      </c>
      <c r="C2681" s="6"/>
      <c r="D2681" s="6" t="s">
        <v>2697</v>
      </c>
      <c r="E2681" s="12" t="s">
        <v>2698</v>
      </c>
    </row>
    <row r="2682">
      <c r="A2682" s="4" t="s">
        <v>2706</v>
      </c>
      <c r="B2682" s="5" t="str">
        <f>IFERROR(__xludf.DUMMYFUNCTION("IF(A2682="""","""",INDEX(SPLIT(A2682,"" ""),COUNTA(SPLIT(A2682,"" ""))))"),"Casalpusterlengo")</f>
        <v>Casalpusterlengo</v>
      </c>
      <c r="C2682" s="6"/>
      <c r="D2682" s="6" t="s">
        <v>2697</v>
      </c>
      <c r="E2682" s="12" t="s">
        <v>2698</v>
      </c>
    </row>
    <row r="2683">
      <c r="A2683" s="4" t="s">
        <v>2707</v>
      </c>
      <c r="B2683" s="5" t="str">
        <f>IFERROR(__xludf.DUMMYFUNCTION("IF(A2683="""","""",INDEX(SPLIT(A2683,"" ""),COUNTA(SPLIT(A2683,"" ""))))"),"Landi")</f>
        <v>Landi</v>
      </c>
      <c r="C2683" s="6"/>
      <c r="D2683" s="6" t="s">
        <v>2697</v>
      </c>
      <c r="E2683" s="12" t="s">
        <v>2698</v>
      </c>
    </row>
    <row r="2684">
      <c r="A2684" s="4" t="s">
        <v>2708</v>
      </c>
      <c r="B2684" s="5" t="str">
        <f>IFERROR(__xludf.DUMMYFUNCTION("IF(A2684="""","""",INDEX(SPLIT(A2684,"" ""),COUNTA(SPLIT(A2684,"" ""))))"),"Lurani")</f>
        <v>Lurani</v>
      </c>
      <c r="C2684" s="6"/>
      <c r="D2684" s="6" t="s">
        <v>2697</v>
      </c>
      <c r="E2684" s="12" t="s">
        <v>2698</v>
      </c>
    </row>
    <row r="2685">
      <c r="A2685" s="4" t="s">
        <v>2709</v>
      </c>
      <c r="B2685" s="5" t="str">
        <f>IFERROR(__xludf.DUMMYFUNCTION("IF(A2685="""","""",INDEX(SPLIT(A2685,"" ""),COUNTA(SPLIT(A2685,"" ""))))"),"d'Adda")</f>
        <v>d'Adda</v>
      </c>
      <c r="C2685" s="6"/>
      <c r="D2685" s="6" t="s">
        <v>2697</v>
      </c>
      <c r="E2685" s="12" t="s">
        <v>2698</v>
      </c>
    </row>
    <row r="2686">
      <c r="A2686" s="4" t="s">
        <v>2710</v>
      </c>
      <c r="B2686" s="5" t="str">
        <f>IFERROR(__xludf.DUMMYFUNCTION("IF(A2686="""","""",INDEX(SPLIT(A2686,"" ""),COUNTA(SPLIT(A2686,"" ""))))"),"d'Adda")</f>
        <v>d'Adda</v>
      </c>
      <c r="C2686" s="6"/>
      <c r="D2686" s="6" t="s">
        <v>2697</v>
      </c>
      <c r="E2686" s="12" t="s">
        <v>2698</v>
      </c>
    </row>
    <row r="2687">
      <c r="A2687" s="4" t="s">
        <v>2711</v>
      </c>
      <c r="B2687" s="5" t="str">
        <f>IFERROR(__xludf.DUMMYFUNCTION("IF(A2687="""","""",INDEX(SPLIT(A2687,"" ""),COUNTA(SPLIT(A2687,"" ""))))"),"Vidardo")</f>
        <v>Vidardo</v>
      </c>
      <c r="C2687" s="6"/>
      <c r="D2687" s="6" t="s">
        <v>2697</v>
      </c>
      <c r="E2687" s="12" t="s">
        <v>2698</v>
      </c>
    </row>
    <row r="2688">
      <c r="A2688" s="4" t="s">
        <v>2712</v>
      </c>
      <c r="B2688" s="5" t="str">
        <f>IFERROR(__xludf.DUMMYFUNCTION("IF(A2688="""","""",INDEX(SPLIT(A2688,"" ""),COUNTA(SPLIT(A2688,"" ""))))"),"d'Adda")</f>
        <v>d'Adda</v>
      </c>
      <c r="C2688" s="6"/>
      <c r="D2688" s="6" t="s">
        <v>2697</v>
      </c>
      <c r="E2688" s="12" t="s">
        <v>2698</v>
      </c>
    </row>
    <row r="2689">
      <c r="A2689" s="4" t="s">
        <v>2713</v>
      </c>
      <c r="B2689" s="5" t="str">
        <f>IFERROR(__xludf.DUMMYFUNCTION("IF(A2689="""","""",INDEX(SPLIT(A2689,"" ""),COUNTA(SPLIT(A2689,"" ""))))"),"d'Adda")</f>
        <v>d'Adda</v>
      </c>
      <c r="C2689" s="6"/>
      <c r="D2689" s="6" t="s">
        <v>2697</v>
      </c>
      <c r="E2689" s="12" t="s">
        <v>2698</v>
      </c>
    </row>
    <row r="2690">
      <c r="A2690" s="4" t="s">
        <v>2714</v>
      </c>
      <c r="B2690" s="5" t="str">
        <f>IFERROR(__xludf.DUMMYFUNCTION("IF(A2690="""","""",INDEX(SPLIT(A2690,"" ""),COUNTA(SPLIT(A2690,"" ""))))"),"Codogno")</f>
        <v>Codogno</v>
      </c>
      <c r="C2690" s="6"/>
      <c r="D2690" s="6" t="s">
        <v>2697</v>
      </c>
      <c r="E2690" s="12" t="s">
        <v>2698</v>
      </c>
    </row>
    <row r="2691">
      <c r="A2691" s="4" t="s">
        <v>2715</v>
      </c>
      <c r="B2691" s="5" t="str">
        <f>IFERROR(__xludf.DUMMYFUNCTION("IF(A2691="""","""",INDEX(SPLIT(A2691,"" ""),COUNTA(SPLIT(A2691,"" ""))))"),"Comazzo")</f>
        <v>Comazzo</v>
      </c>
      <c r="C2691" s="6"/>
      <c r="D2691" s="6" t="s">
        <v>2697</v>
      </c>
      <c r="E2691" s="12" t="s">
        <v>2698</v>
      </c>
    </row>
    <row r="2692">
      <c r="A2692" s="4" t="s">
        <v>2716</v>
      </c>
      <c r="B2692" s="5" t="str">
        <f>IFERROR(__xludf.DUMMYFUNCTION("IF(A2692="""","""",INDEX(SPLIT(A2692,"" ""),COUNTA(SPLIT(A2692,"" ""))))"),"Laudense")</f>
        <v>Laudense</v>
      </c>
      <c r="C2692" s="6"/>
      <c r="D2692" s="6" t="s">
        <v>2697</v>
      </c>
      <c r="E2692" s="12" t="s">
        <v>2698</v>
      </c>
    </row>
    <row r="2693">
      <c r="A2693" s="4" t="s">
        <v>2717</v>
      </c>
      <c r="B2693" s="5" t="str">
        <f>IFERROR(__xludf.DUMMYFUNCTION("IF(A2693="""","""",INDEX(SPLIT(A2693,"" ""),COUNTA(SPLIT(A2693,"" ""))))"),"Giovine")</f>
        <v>Giovine</v>
      </c>
      <c r="C2693" s="6"/>
      <c r="D2693" s="6" t="s">
        <v>2697</v>
      </c>
      <c r="E2693" s="12" t="s">
        <v>2698</v>
      </c>
    </row>
    <row r="2694">
      <c r="A2694" s="4" t="s">
        <v>2718</v>
      </c>
      <c r="B2694" s="5" t="str">
        <f>IFERROR(__xludf.DUMMYFUNCTION("IF(A2694="""","""",INDEX(SPLIT(A2694,"" ""),COUNTA(SPLIT(A2694,"" ""))))"),"Cornovecchio")</f>
        <v>Cornovecchio</v>
      </c>
      <c r="C2694" s="6"/>
      <c r="D2694" s="6" t="s">
        <v>2697</v>
      </c>
      <c r="E2694" s="12" t="s">
        <v>2698</v>
      </c>
    </row>
    <row r="2695">
      <c r="A2695" s="4" t="s">
        <v>2719</v>
      </c>
      <c r="B2695" s="5" t="str">
        <f>IFERROR(__xludf.DUMMYFUNCTION("IF(A2695="""","""",INDEX(SPLIT(A2695,"" ""),COUNTA(SPLIT(A2695,"" ""))))"),"Palasio")</f>
        <v>Palasio</v>
      </c>
      <c r="C2695" s="6"/>
      <c r="D2695" s="6" t="s">
        <v>2697</v>
      </c>
      <c r="E2695" s="12" t="s">
        <v>2698</v>
      </c>
    </row>
    <row r="2696">
      <c r="A2696" s="4" t="s">
        <v>2720</v>
      </c>
      <c r="B2696" s="5" t="str">
        <f>IFERROR(__xludf.DUMMYFUNCTION("IF(A2696="""","""",INDEX(SPLIT(A2696,"" ""),COUNTA(SPLIT(A2696,"" ""))))"),"Crespiatica")</f>
        <v>Crespiatica</v>
      </c>
      <c r="C2696" s="6"/>
      <c r="D2696" s="6" t="s">
        <v>2697</v>
      </c>
      <c r="E2696" s="12" t="s">
        <v>2698</v>
      </c>
    </row>
    <row r="2697">
      <c r="A2697" s="4" t="s">
        <v>2721</v>
      </c>
      <c r="B2697" s="5" t="str">
        <f>IFERROR(__xludf.DUMMYFUNCTION("IF(A2697="""","""",INDEX(SPLIT(A2697,"" ""),COUNTA(SPLIT(A2697,"" ""))))"),"Fombio")</f>
        <v>Fombio</v>
      </c>
      <c r="C2697" s="6"/>
      <c r="D2697" s="6" t="s">
        <v>2697</v>
      </c>
      <c r="E2697" s="12" t="s">
        <v>2698</v>
      </c>
    </row>
    <row r="2698">
      <c r="A2698" s="4" t="s">
        <v>2722</v>
      </c>
      <c r="B2698" s="5" t="str">
        <f>IFERROR(__xludf.DUMMYFUNCTION("IF(A2698="""","""",INDEX(SPLIT(A2698,"" ""),COUNTA(SPLIT(A2698,"" ""))))"),"Galgagnano")</f>
        <v>Galgagnano</v>
      </c>
      <c r="C2698" s="6"/>
      <c r="D2698" s="6" t="s">
        <v>2697</v>
      </c>
      <c r="E2698" s="12" t="s">
        <v>2698</v>
      </c>
    </row>
    <row r="2699">
      <c r="A2699" s="4" t="s">
        <v>2723</v>
      </c>
      <c r="B2699" s="5" t="str">
        <f>IFERROR(__xludf.DUMMYFUNCTION("IF(A2699="""","""",INDEX(SPLIT(A2699,"" ""),COUNTA(SPLIT(A2699,"" ""))))"),"Graffignana")</f>
        <v>Graffignana</v>
      </c>
      <c r="C2699" s="6"/>
      <c r="D2699" s="6" t="s">
        <v>2697</v>
      </c>
      <c r="E2699" s="12" t="s">
        <v>2698</v>
      </c>
    </row>
    <row r="2700">
      <c r="A2700" s="4" t="s">
        <v>2724</v>
      </c>
      <c r="B2700" s="5" t="str">
        <f>IFERROR(__xludf.DUMMYFUNCTION("IF(A2700="""","""",INDEX(SPLIT(A2700,"" ""),COUNTA(SPLIT(A2700,"" ""))))"),"Guardamiglio")</f>
        <v>Guardamiglio</v>
      </c>
      <c r="C2700" s="6"/>
      <c r="D2700" s="6" t="s">
        <v>2697</v>
      </c>
      <c r="E2700" s="12" t="s">
        <v>2698</v>
      </c>
    </row>
    <row r="2701">
      <c r="A2701" s="4" t="s">
        <v>2725</v>
      </c>
      <c r="B2701" s="5" t="str">
        <f>IFERROR(__xludf.DUMMYFUNCTION("IF(A2701="""","""",INDEX(SPLIT(A2701,"" ""),COUNTA(SPLIT(A2701,"" ""))))"),"Livraga")</f>
        <v>Livraga</v>
      </c>
      <c r="C2701" s="6"/>
      <c r="D2701" s="6" t="s">
        <v>2697</v>
      </c>
      <c r="E2701" s="12" t="s">
        <v>2698</v>
      </c>
    </row>
    <row r="2702">
      <c r="A2702" s="4" t="s">
        <v>2697</v>
      </c>
      <c r="B2702" s="5" t="str">
        <f>IFERROR(__xludf.DUMMYFUNCTION("IF(A2702="""","""",INDEX(SPLIT(A2702,"" ""),COUNTA(SPLIT(A2702,"" ""))))"),"Lodi")</f>
        <v>Lodi</v>
      </c>
      <c r="C2702" s="6"/>
      <c r="D2702" s="6" t="s">
        <v>2697</v>
      </c>
      <c r="E2702" s="12" t="s">
        <v>2698</v>
      </c>
    </row>
    <row r="2703">
      <c r="A2703" s="4" t="s">
        <v>2726</v>
      </c>
      <c r="B2703" s="5" t="str">
        <f>IFERROR(__xludf.DUMMYFUNCTION("IF(A2703="""","""",INDEX(SPLIT(A2703,"" ""),COUNTA(SPLIT(A2703,"" ""))))"),"Vecchio")</f>
        <v>Vecchio</v>
      </c>
      <c r="C2703" s="6"/>
      <c r="D2703" s="6" t="s">
        <v>2697</v>
      </c>
      <c r="E2703" s="12" t="s">
        <v>2698</v>
      </c>
    </row>
    <row r="2704">
      <c r="A2704" s="4" t="s">
        <v>2727</v>
      </c>
      <c r="B2704" s="5" t="str">
        <f>IFERROR(__xludf.DUMMYFUNCTION("IF(A2704="""","""",INDEX(SPLIT(A2704,"" ""),COUNTA(SPLIT(A2704,"" ""))))"),"Maccastorna")</f>
        <v>Maccastorna</v>
      </c>
      <c r="C2704" s="6"/>
      <c r="D2704" s="6" t="s">
        <v>2697</v>
      </c>
      <c r="E2704" s="12" t="s">
        <v>2698</v>
      </c>
    </row>
    <row r="2705">
      <c r="A2705" s="4" t="s">
        <v>2728</v>
      </c>
      <c r="B2705" s="5" t="str">
        <f>IFERROR(__xludf.DUMMYFUNCTION("IF(A2705="""","""",INDEX(SPLIT(A2705,"" ""),COUNTA(SPLIT(A2705,"" ""))))"),"Mairago")</f>
        <v>Mairago</v>
      </c>
      <c r="C2705" s="6"/>
      <c r="D2705" s="6" t="s">
        <v>2697</v>
      </c>
      <c r="E2705" s="12" t="s">
        <v>2698</v>
      </c>
    </row>
    <row r="2706">
      <c r="A2706" s="4" t="s">
        <v>2729</v>
      </c>
      <c r="B2706" s="5" t="str">
        <f>IFERROR(__xludf.DUMMYFUNCTION("IF(A2706="""","""",INDEX(SPLIT(A2706,"" ""),COUNTA(SPLIT(A2706,"" ""))))"),"Maleo")</f>
        <v>Maleo</v>
      </c>
      <c r="C2706" s="6"/>
      <c r="D2706" s="6" t="s">
        <v>2697</v>
      </c>
      <c r="E2706" s="12" t="s">
        <v>2698</v>
      </c>
    </row>
    <row r="2707">
      <c r="A2707" s="4" t="s">
        <v>2730</v>
      </c>
      <c r="B2707" s="5" t="str">
        <f>IFERROR(__xludf.DUMMYFUNCTION("IF(A2707="""","""",INDEX(SPLIT(A2707,"" ""),COUNTA(SPLIT(A2707,"" ""))))"),"Marudo")</f>
        <v>Marudo</v>
      </c>
      <c r="C2707" s="6"/>
      <c r="D2707" s="6" t="s">
        <v>2697</v>
      </c>
      <c r="E2707" s="12" t="s">
        <v>2698</v>
      </c>
    </row>
    <row r="2708">
      <c r="A2708" s="4" t="s">
        <v>2731</v>
      </c>
      <c r="B2708" s="5" t="str">
        <f>IFERROR(__xludf.DUMMYFUNCTION("IF(A2708="""","""",INDEX(SPLIT(A2708,"" ""),COUNTA(SPLIT(A2708,"" ""))))"),"Massalengo")</f>
        <v>Massalengo</v>
      </c>
      <c r="C2708" s="6"/>
      <c r="D2708" s="6" t="s">
        <v>2697</v>
      </c>
      <c r="E2708" s="12" t="s">
        <v>2698</v>
      </c>
    </row>
    <row r="2709">
      <c r="A2709" s="4" t="s">
        <v>2732</v>
      </c>
      <c r="B2709" s="5" t="str">
        <f>IFERROR(__xludf.DUMMYFUNCTION("IF(A2709="""","""",INDEX(SPLIT(A2709,"" ""),COUNTA(SPLIT(A2709,"" ""))))"),"Meleti")</f>
        <v>Meleti</v>
      </c>
      <c r="C2709" s="6"/>
      <c r="D2709" s="6" t="s">
        <v>2697</v>
      </c>
      <c r="E2709" s="12" t="s">
        <v>2698</v>
      </c>
    </row>
    <row r="2710">
      <c r="A2710" s="4" t="s">
        <v>2733</v>
      </c>
      <c r="B2710" s="5" t="str">
        <f>IFERROR(__xludf.DUMMYFUNCTION("IF(A2710="""","""",INDEX(SPLIT(A2710,"" ""),COUNTA(SPLIT(A2710,"" ""))))"),"Merlino")</f>
        <v>Merlino</v>
      </c>
      <c r="C2710" s="6"/>
      <c r="D2710" s="6" t="s">
        <v>2697</v>
      </c>
      <c r="E2710" s="12" t="s">
        <v>2698</v>
      </c>
    </row>
    <row r="2711">
      <c r="A2711" s="4" t="s">
        <v>2734</v>
      </c>
      <c r="B2711" s="5" t="str">
        <f>IFERROR(__xludf.DUMMYFUNCTION("IF(A2711="""","""",INDEX(SPLIT(A2711,"" ""),COUNTA(SPLIT(A2711,"" ""))))"),"Lombardo")</f>
        <v>Lombardo</v>
      </c>
      <c r="C2711" s="6"/>
      <c r="D2711" s="6" t="s">
        <v>2697</v>
      </c>
      <c r="E2711" s="12" t="s">
        <v>2698</v>
      </c>
    </row>
    <row r="2712">
      <c r="A2712" s="4" t="s">
        <v>2735</v>
      </c>
      <c r="B2712" s="5" t="str">
        <f>IFERROR(__xludf.DUMMYFUNCTION("IF(A2712="""","""",INDEX(SPLIT(A2712,"" ""),COUNTA(SPLIT(A2712,"" ""))))"),"Mulazzano")</f>
        <v>Mulazzano</v>
      </c>
      <c r="C2712" s="6"/>
      <c r="D2712" s="6" t="s">
        <v>2697</v>
      </c>
      <c r="E2712" s="12" t="s">
        <v>2698</v>
      </c>
    </row>
    <row r="2713">
      <c r="A2713" s="4" t="s">
        <v>2736</v>
      </c>
      <c r="B2713" s="5" t="str">
        <f>IFERROR(__xludf.DUMMYFUNCTION("IF(A2713="""","""",INDEX(SPLIT(A2713,"" ""),COUNTA(SPLIT(A2713,"" ""))))"),"Litta")</f>
        <v>Litta</v>
      </c>
      <c r="C2713" s="6"/>
      <c r="D2713" s="6" t="s">
        <v>2697</v>
      </c>
      <c r="E2713" s="12" t="s">
        <v>2698</v>
      </c>
    </row>
    <row r="2714">
      <c r="A2714" s="4" t="s">
        <v>2737</v>
      </c>
      <c r="B2714" s="5" t="str">
        <f>IFERROR(__xludf.DUMMYFUNCTION("IF(A2714="""","""",INDEX(SPLIT(A2714,"" ""),COUNTA(SPLIT(A2714,"" ""))))"),"Lodigiano")</f>
        <v>Lodigiano</v>
      </c>
      <c r="C2714" s="6"/>
      <c r="D2714" s="6" t="s">
        <v>2697</v>
      </c>
      <c r="E2714" s="12" t="s">
        <v>2698</v>
      </c>
    </row>
    <row r="2715">
      <c r="A2715" s="4" t="s">
        <v>2738</v>
      </c>
      <c r="B2715" s="5" t="str">
        <f>IFERROR(__xludf.DUMMYFUNCTION("IF(A2715="""","""",INDEX(SPLIT(A2715,"" ""),COUNTA(SPLIT(A2715,"" ""))))"),"Lodigiano")</f>
        <v>Lodigiano</v>
      </c>
      <c r="C2715" s="6"/>
      <c r="D2715" s="6" t="s">
        <v>2697</v>
      </c>
      <c r="E2715" s="12" t="s">
        <v>2698</v>
      </c>
    </row>
    <row r="2716">
      <c r="A2716" s="4" t="s">
        <v>2739</v>
      </c>
      <c r="B2716" s="5" t="str">
        <f>IFERROR(__xludf.DUMMYFUNCTION("IF(A2716="""","""",INDEX(SPLIT(A2716,"" ""),COUNTA(SPLIT(A2716,"" ""))))"),"Fissiraga")</f>
        <v>Fissiraga</v>
      </c>
      <c r="C2716" s="6"/>
      <c r="D2716" s="6" t="s">
        <v>2697</v>
      </c>
      <c r="E2716" s="12" t="s">
        <v>2698</v>
      </c>
    </row>
    <row r="2717">
      <c r="A2717" s="4" t="s">
        <v>2740</v>
      </c>
      <c r="B2717" s="5" t="str">
        <f>IFERROR(__xludf.DUMMYFUNCTION("IF(A2717="""","""",INDEX(SPLIT(A2717,"" ""),COUNTA(SPLIT(A2717,"" ""))))"),"Lambro")</f>
        <v>Lambro</v>
      </c>
      <c r="C2717" s="6"/>
      <c r="D2717" s="6" t="s">
        <v>2697</v>
      </c>
      <c r="E2717" s="12" t="s">
        <v>2698</v>
      </c>
    </row>
    <row r="2718">
      <c r="A2718" s="4" t="s">
        <v>2741</v>
      </c>
      <c r="B2718" s="5" t="str">
        <f>IFERROR(__xludf.DUMMYFUNCTION("IF(A2718="""","""",INDEX(SPLIT(A2718,"" ""),COUNTA(SPLIT(A2718,"" ""))))"),"Fiorano")</f>
        <v>Fiorano</v>
      </c>
      <c r="C2718" s="6"/>
      <c r="D2718" s="6" t="s">
        <v>2697</v>
      </c>
      <c r="E2718" s="12" t="s">
        <v>2698</v>
      </c>
    </row>
    <row r="2719">
      <c r="A2719" s="4" t="s">
        <v>2742</v>
      </c>
      <c r="B2719" s="5" t="str">
        <f>IFERROR(__xludf.DUMMYFUNCTION("IF(A2719="""","""",INDEX(SPLIT(A2719,"" ""),COUNTA(SPLIT(A2719,"" ""))))"),"Strada")</f>
        <v>Strada</v>
      </c>
      <c r="C2719" s="6"/>
      <c r="D2719" s="6" t="s">
        <v>2697</v>
      </c>
      <c r="E2719" s="12" t="s">
        <v>2698</v>
      </c>
    </row>
    <row r="2720">
      <c r="A2720" s="4" t="s">
        <v>2743</v>
      </c>
      <c r="B2720" s="5" t="str">
        <f>IFERROR(__xludf.DUMMYFUNCTION("IF(A2720="""","""",INDEX(SPLIT(A2720,"" ""),COUNTA(SPLIT(A2720,"" ""))))"),"Porto")</f>
        <v>Porto</v>
      </c>
      <c r="C2720" s="6"/>
      <c r="D2720" s="6" t="s">
        <v>2697</v>
      </c>
      <c r="E2720" s="12" t="s">
        <v>2698</v>
      </c>
    </row>
    <row r="2721">
      <c r="A2721" s="4" t="s">
        <v>2744</v>
      </c>
      <c r="B2721" s="5" t="str">
        <f>IFERROR(__xludf.DUMMYFUNCTION("IF(A2721="""","""",INDEX(SPLIT(A2721,"" ""),COUNTA(SPLIT(A2721,"" ""))))"),"Lodigiano")</f>
        <v>Lodigiano</v>
      </c>
      <c r="C2721" s="6"/>
      <c r="D2721" s="6" t="s">
        <v>2697</v>
      </c>
      <c r="E2721" s="12" t="s">
        <v>2698</v>
      </c>
    </row>
    <row r="2722">
      <c r="A2722" s="4" t="s">
        <v>2745</v>
      </c>
      <c r="B2722" s="5" t="str">
        <f>IFERROR(__xludf.DUMMYFUNCTION("IF(A2722="""","""",INDEX(SPLIT(A2722,"" ""),COUNTA(SPLIT(A2722,"" ""))))"),"Lodigiano")</f>
        <v>Lodigiano</v>
      </c>
      <c r="C2722" s="6"/>
      <c r="D2722" s="6" t="s">
        <v>2697</v>
      </c>
      <c r="E2722" s="12" t="s">
        <v>2698</v>
      </c>
    </row>
    <row r="2723">
      <c r="A2723" s="4" t="s">
        <v>2746</v>
      </c>
      <c r="B2723" s="5" t="str">
        <f>IFERROR(__xludf.DUMMYFUNCTION("IF(A2723="""","""",INDEX(SPLIT(A2723,"" ""),COUNTA(SPLIT(A2723,"" ""))))"),"Secugnago")</f>
        <v>Secugnago</v>
      </c>
      <c r="C2723" s="6"/>
      <c r="D2723" s="6" t="s">
        <v>2697</v>
      </c>
      <c r="E2723" s="12" t="s">
        <v>2698</v>
      </c>
    </row>
    <row r="2724">
      <c r="A2724" s="4" t="s">
        <v>2747</v>
      </c>
      <c r="B2724" s="5" t="str">
        <f>IFERROR(__xludf.DUMMYFUNCTION("IF(A2724="""","""",INDEX(SPLIT(A2724,"" ""),COUNTA(SPLIT(A2724,"" ""))))"),"Lodigiana")</f>
        <v>Lodigiana</v>
      </c>
      <c r="C2724" s="6"/>
      <c r="D2724" s="6" t="s">
        <v>2697</v>
      </c>
      <c r="E2724" s="12" t="s">
        <v>2698</v>
      </c>
    </row>
    <row r="2725">
      <c r="A2725" s="4" t="s">
        <v>2748</v>
      </c>
      <c r="B2725" s="5" t="str">
        <f>IFERROR(__xludf.DUMMYFUNCTION("IF(A2725="""","""",INDEX(SPLIT(A2725,"" ""),COUNTA(SPLIT(A2725,"" ""))))"),"Somaglia")</f>
        <v>Somaglia</v>
      </c>
      <c r="C2725" s="6"/>
      <c r="D2725" s="6" t="s">
        <v>2697</v>
      </c>
      <c r="E2725" s="12" t="s">
        <v>2698</v>
      </c>
    </row>
    <row r="2726">
      <c r="A2726" s="4" t="s">
        <v>2749</v>
      </c>
      <c r="B2726" s="5" t="str">
        <f>IFERROR(__xludf.DUMMYFUNCTION("IF(A2726="""","""",INDEX(SPLIT(A2726,"" ""),COUNTA(SPLIT(A2726,"" ""))))"),"Sordio")</f>
        <v>Sordio</v>
      </c>
      <c r="C2726" s="6"/>
      <c r="D2726" s="6" t="s">
        <v>2697</v>
      </c>
      <c r="E2726" s="12" t="s">
        <v>2698</v>
      </c>
    </row>
    <row r="2727">
      <c r="A2727" s="4" t="s">
        <v>2750</v>
      </c>
      <c r="B2727" s="5" t="str">
        <f>IFERROR(__xludf.DUMMYFUNCTION("IF(A2727="""","""",INDEX(SPLIT(A2727,"" ""),COUNTA(SPLIT(A2727,"" ""))))"),"Villavesco")</f>
        <v>Villavesco</v>
      </c>
      <c r="C2727" s="6"/>
      <c r="D2727" s="6" t="s">
        <v>2697</v>
      </c>
      <c r="E2727" s="12" t="s">
        <v>2698</v>
      </c>
    </row>
    <row r="2728">
      <c r="A2728" s="4" t="s">
        <v>2751</v>
      </c>
      <c r="B2728" s="5" t="str">
        <f>IFERROR(__xludf.DUMMYFUNCTION("IF(A2728="""","""",INDEX(SPLIT(A2728,"" ""),COUNTA(SPLIT(A2728,"" ""))))"),"Passerini")</f>
        <v>Passerini</v>
      </c>
      <c r="C2728" s="6"/>
      <c r="D2728" s="6" t="s">
        <v>2697</v>
      </c>
      <c r="E2728" s="12" t="s">
        <v>2698</v>
      </c>
    </row>
    <row r="2729">
      <c r="A2729" s="4" t="s">
        <v>2752</v>
      </c>
      <c r="B2729" s="5" t="str">
        <f>IFERROR(__xludf.DUMMYFUNCTION("IF(A2729="""","""",INDEX(SPLIT(A2729,"" ""),COUNTA(SPLIT(A2729,"" ""))))"),"Lodigiano")</f>
        <v>Lodigiano</v>
      </c>
      <c r="C2729" s="6"/>
      <c r="D2729" s="6" t="s">
        <v>2697</v>
      </c>
      <c r="E2729" s="12" t="s">
        <v>2698</v>
      </c>
    </row>
    <row r="2730">
      <c r="A2730" s="4" t="s">
        <v>2753</v>
      </c>
      <c r="B2730" s="5" t="str">
        <f>IFERROR(__xludf.DUMMYFUNCTION("IF(A2730="""","""",INDEX(SPLIT(A2730,"" ""),COUNTA(SPLIT(A2730,"" ""))))"),"Fratta")</f>
        <v>Fratta</v>
      </c>
      <c r="C2730" s="6"/>
      <c r="D2730" s="6" t="s">
        <v>2697</v>
      </c>
      <c r="E2730" s="12" t="s">
        <v>2698</v>
      </c>
    </row>
    <row r="2731">
      <c r="A2731" s="4" t="s">
        <v>2754</v>
      </c>
      <c r="B2731" s="5" t="str">
        <f>IFERROR(__xludf.DUMMYFUNCTION("IF(A2731="""","""",INDEX(SPLIT(A2731,"" ""),COUNTA(SPLIT(A2731,"" ""))))"),"Sillaro")</f>
        <v>Sillaro</v>
      </c>
      <c r="C2731" s="6"/>
      <c r="D2731" s="6" t="s">
        <v>2697</v>
      </c>
      <c r="E2731" s="12" t="s">
        <v>2698</v>
      </c>
    </row>
    <row r="2732">
      <c r="A2732" s="4" t="s">
        <v>2755</v>
      </c>
      <c r="B2732" s="5" t="str">
        <f>IFERROR(__xludf.DUMMYFUNCTION("IF(A2732="""","""",INDEX(SPLIT(A2732,"" ""),COUNTA(SPLIT(A2732,"" ""))))"),"Persico")</f>
        <v>Persico</v>
      </c>
      <c r="C2732" s="6"/>
      <c r="D2732" s="6" t="s">
        <v>2697</v>
      </c>
      <c r="E2732" s="12" t="s">
        <v>2698</v>
      </c>
    </row>
    <row r="2733">
      <c r="A2733" s="4" t="s">
        <v>2756</v>
      </c>
      <c r="B2733" s="5" t="str">
        <f>IFERROR(__xludf.DUMMYFUNCTION("IF(A2733="""","""",INDEX(SPLIT(A2733,"" ""),COUNTA(SPLIT(A2733,"" ""))))"),"Castelgerundo")</f>
        <v>Castelgerundo</v>
      </c>
      <c r="C2733" s="6"/>
      <c r="D2733" s="6" t="s">
        <v>2697</v>
      </c>
      <c r="E2733" s="12" t="s">
        <v>2698</v>
      </c>
    </row>
    <row r="2734">
      <c r="A2734" s="4" t="s">
        <v>2757</v>
      </c>
      <c r="B2734" s="5" t="str">
        <f>IFERROR(__xludf.DUMMYFUNCTION("IF(A2734="""","""",INDEX(SPLIT(A2734,"" ""),COUNTA(SPLIT(A2734,"" ""))))"),"Brianza")</f>
        <v>Brianza</v>
      </c>
      <c r="C2734" s="6"/>
      <c r="D2734" s="6" t="s">
        <v>2758</v>
      </c>
      <c r="E2734" s="12" t="s">
        <v>2759</v>
      </c>
    </row>
    <row r="2735">
      <c r="A2735" s="4" t="s">
        <v>2760</v>
      </c>
      <c r="B2735" s="5" t="str">
        <f>IFERROR(__xludf.DUMMYFUNCTION("IF(A2735="""","""",INDEX(SPLIT(A2735,"" ""),COUNTA(SPLIT(A2735,"" ""))))"),"Aicurzio")</f>
        <v>Aicurzio</v>
      </c>
      <c r="C2735" s="6"/>
      <c r="D2735" s="6" t="s">
        <v>2758</v>
      </c>
      <c r="E2735" s="12" t="s">
        <v>2759</v>
      </c>
    </row>
    <row r="2736">
      <c r="A2736" s="4" t="s">
        <v>2761</v>
      </c>
      <c r="B2736" s="5" t="str">
        <f>IFERROR(__xludf.DUMMYFUNCTION("IF(A2736="""","""",INDEX(SPLIT(A2736,"" ""),COUNTA(SPLIT(A2736,"" ""))))"),"Albiate")</f>
        <v>Albiate</v>
      </c>
      <c r="C2736" s="6"/>
      <c r="D2736" s="6" t="s">
        <v>2758</v>
      </c>
      <c r="E2736" s="12" t="s">
        <v>2759</v>
      </c>
    </row>
    <row r="2737">
      <c r="A2737" s="4" t="s">
        <v>2762</v>
      </c>
      <c r="B2737" s="5" t="str">
        <f>IFERROR(__xludf.DUMMYFUNCTION("IF(A2737="""","""",INDEX(SPLIT(A2737,"" ""),COUNTA(SPLIT(A2737,"" ""))))"),"Arcore")</f>
        <v>Arcore</v>
      </c>
      <c r="C2737" s="6"/>
      <c r="D2737" s="6" t="s">
        <v>2758</v>
      </c>
      <c r="E2737" s="12" t="s">
        <v>2759</v>
      </c>
    </row>
    <row r="2738">
      <c r="A2738" s="4" t="s">
        <v>2763</v>
      </c>
      <c r="B2738" s="5" t="str">
        <f>IFERROR(__xludf.DUMMYFUNCTION("IF(A2738="""","""",INDEX(SPLIT(A2738,"" ""),COUNTA(SPLIT(A2738,"" ""))))"),"Barlassina")</f>
        <v>Barlassina</v>
      </c>
      <c r="C2738" s="6"/>
      <c r="D2738" s="6" t="s">
        <v>2758</v>
      </c>
      <c r="E2738" s="12" t="s">
        <v>2759</v>
      </c>
    </row>
    <row r="2739">
      <c r="A2739" s="4" t="s">
        <v>2764</v>
      </c>
      <c r="B2739" s="5" t="str">
        <f>IFERROR(__xludf.DUMMYFUNCTION("IF(A2739="""","""",INDEX(SPLIT(A2739,"" ""),COUNTA(SPLIT(A2739,"" ""))))"),"Bellusco")</f>
        <v>Bellusco</v>
      </c>
      <c r="C2739" s="6"/>
      <c r="D2739" s="6" t="s">
        <v>2758</v>
      </c>
      <c r="E2739" s="12" t="s">
        <v>2759</v>
      </c>
    </row>
    <row r="2740">
      <c r="A2740" s="4" t="s">
        <v>2765</v>
      </c>
      <c r="B2740" s="5" t="str">
        <f>IFERROR(__xludf.DUMMYFUNCTION("IF(A2740="""","""",INDEX(SPLIT(A2740,"" ""),COUNTA(SPLIT(A2740,"" ""))))"),"Bernareggio")</f>
        <v>Bernareggio</v>
      </c>
      <c r="C2740" s="6"/>
      <c r="D2740" s="6" t="s">
        <v>2758</v>
      </c>
      <c r="E2740" s="12" t="s">
        <v>2759</v>
      </c>
    </row>
    <row r="2741">
      <c r="A2741" s="4" t="s">
        <v>2766</v>
      </c>
      <c r="B2741" s="5" t="str">
        <f>IFERROR(__xludf.DUMMYFUNCTION("IF(A2741="""","""",INDEX(SPLIT(A2741,"" ""),COUNTA(SPLIT(A2741,"" ""))))"),"Brianza")</f>
        <v>Brianza</v>
      </c>
      <c r="C2741" s="6"/>
      <c r="D2741" s="6" t="s">
        <v>2758</v>
      </c>
      <c r="E2741" s="12" t="s">
        <v>2759</v>
      </c>
    </row>
    <row r="2742">
      <c r="A2742" s="4" t="s">
        <v>2767</v>
      </c>
      <c r="B2742" s="5" t="str">
        <f>IFERROR(__xludf.DUMMYFUNCTION("IF(A2742="""","""",INDEX(SPLIT(A2742,"" ""),COUNTA(SPLIT(A2742,"" ""))))"),"Biassono")</f>
        <v>Biassono</v>
      </c>
      <c r="C2742" s="6"/>
      <c r="D2742" s="6" t="s">
        <v>2758</v>
      </c>
      <c r="E2742" s="12" t="s">
        <v>2759</v>
      </c>
    </row>
    <row r="2743">
      <c r="A2743" s="4" t="s">
        <v>2768</v>
      </c>
      <c r="B2743" s="5" t="str">
        <f>IFERROR(__xludf.DUMMYFUNCTION("IF(A2743="""","""",INDEX(SPLIT(A2743,"" ""),COUNTA(SPLIT(A2743,"" ""))))"),"BovisioMasciago")</f>
        <v>BovisioMasciago</v>
      </c>
      <c r="C2743" s="6"/>
      <c r="D2743" s="6" t="s">
        <v>2758</v>
      </c>
      <c r="E2743" s="12" t="s">
        <v>2759</v>
      </c>
    </row>
    <row r="2744">
      <c r="A2744" s="4" t="s">
        <v>2769</v>
      </c>
      <c r="B2744" s="5" t="str">
        <f>IFERROR(__xludf.DUMMYFUNCTION("IF(A2744="""","""",INDEX(SPLIT(A2744,"" ""),COUNTA(SPLIT(A2744,"" ""))))"),"Briosco")</f>
        <v>Briosco</v>
      </c>
      <c r="C2744" s="6"/>
      <c r="D2744" s="6" t="s">
        <v>2758</v>
      </c>
      <c r="E2744" s="12" t="s">
        <v>2759</v>
      </c>
    </row>
    <row r="2745">
      <c r="A2745" s="4" t="s">
        <v>2770</v>
      </c>
      <c r="B2745" s="5" t="str">
        <f>IFERROR(__xludf.DUMMYFUNCTION("IF(A2745="""","""",INDEX(SPLIT(A2745,"" ""),COUNTA(SPLIT(A2745,"" ""))))"),"Brugherio")</f>
        <v>Brugherio</v>
      </c>
      <c r="C2745" s="6"/>
      <c r="D2745" s="6" t="s">
        <v>2758</v>
      </c>
      <c r="E2745" s="12" t="s">
        <v>2759</v>
      </c>
    </row>
    <row r="2746">
      <c r="A2746" s="4" t="s">
        <v>2771</v>
      </c>
      <c r="B2746" s="5" t="str">
        <f>IFERROR(__xludf.DUMMYFUNCTION("IF(A2746="""","""",INDEX(SPLIT(A2746,"" ""),COUNTA(SPLIT(A2746,"" ""))))"),"Molgora")</f>
        <v>Molgora</v>
      </c>
      <c r="C2746" s="6"/>
      <c r="D2746" s="6" t="s">
        <v>2758</v>
      </c>
      <c r="E2746" s="12" t="s">
        <v>2759</v>
      </c>
    </row>
    <row r="2747">
      <c r="A2747" s="4" t="s">
        <v>2772</v>
      </c>
      <c r="B2747" s="5" t="str">
        <f>IFERROR(__xludf.DUMMYFUNCTION("IF(A2747="""","""",INDEX(SPLIT(A2747,"" ""),COUNTA(SPLIT(A2747,"" ""))))"),"Camparada")</f>
        <v>Camparada</v>
      </c>
      <c r="C2747" s="6"/>
      <c r="D2747" s="6" t="s">
        <v>2758</v>
      </c>
      <c r="E2747" s="12" t="s">
        <v>2759</v>
      </c>
    </row>
    <row r="2748">
      <c r="A2748" s="4" t="s">
        <v>2773</v>
      </c>
      <c r="B2748" s="5" t="str">
        <f>IFERROR(__xludf.DUMMYFUNCTION("IF(A2748="""","""",INDEX(SPLIT(A2748,"" ""),COUNTA(SPLIT(A2748,"" ""))))"),"Brianza")</f>
        <v>Brianza</v>
      </c>
      <c r="C2748" s="6"/>
      <c r="D2748" s="6" t="s">
        <v>2758</v>
      </c>
      <c r="E2748" s="12" t="s">
        <v>2759</v>
      </c>
    </row>
    <row r="2749">
      <c r="A2749" s="4" t="s">
        <v>2774</v>
      </c>
      <c r="B2749" s="5" t="str">
        <f>IFERROR(__xludf.DUMMYFUNCTION("IF(A2749="""","""",INDEX(SPLIT(A2749,"" ""),COUNTA(SPLIT(A2749,"" ""))))"),"Carnate")</f>
        <v>Carnate</v>
      </c>
      <c r="C2749" s="6"/>
      <c r="D2749" s="6" t="s">
        <v>2758</v>
      </c>
      <c r="E2749" s="12" t="s">
        <v>2759</v>
      </c>
    </row>
    <row r="2750">
      <c r="A2750" s="4" t="s">
        <v>2775</v>
      </c>
      <c r="B2750" s="5" t="str">
        <f>IFERROR(__xludf.DUMMYFUNCTION("IF(A2750="""","""",INDEX(SPLIT(A2750,"" ""),COUNTA(SPLIT(A2750,"" ""))))"),"Brianza")</f>
        <v>Brianza</v>
      </c>
      <c r="C2750" s="6"/>
      <c r="D2750" s="6" t="s">
        <v>2758</v>
      </c>
      <c r="E2750" s="12" t="s">
        <v>2759</v>
      </c>
    </row>
    <row r="2751">
      <c r="A2751" s="4" t="s">
        <v>2776</v>
      </c>
      <c r="B2751" s="5" t="str">
        <f>IFERROR(__xludf.DUMMYFUNCTION("IF(A2751="""","""",INDEX(SPLIT(A2751,"" ""),COUNTA(SPLIT(A2751,"" ""))))"),"Laghetto")</f>
        <v>Laghetto</v>
      </c>
      <c r="C2751" s="6"/>
      <c r="D2751" s="6" t="s">
        <v>2758</v>
      </c>
      <c r="E2751" s="12" t="s">
        <v>2759</v>
      </c>
    </row>
    <row r="2752">
      <c r="A2752" s="4" t="s">
        <v>2777</v>
      </c>
      <c r="B2752" s="5" t="str">
        <f>IFERROR(__xludf.DUMMYFUNCTION("IF(A2752="""","""",INDEX(SPLIT(A2752,"" ""),COUNTA(SPLIT(A2752,"" ""))))"),"Maderno")</f>
        <v>Maderno</v>
      </c>
      <c r="C2752" s="6"/>
      <c r="D2752" s="6" t="s">
        <v>2758</v>
      </c>
      <c r="E2752" s="12" t="s">
        <v>2759</v>
      </c>
    </row>
    <row r="2753">
      <c r="A2753" s="4" t="s">
        <v>2778</v>
      </c>
      <c r="B2753" s="5" t="str">
        <f>IFERROR(__xludf.DUMMYFUNCTION("IF(A2753="""","""",INDEX(SPLIT(A2753,"" ""),COUNTA(SPLIT(A2753,"" ""))))"),"Cogliate")</f>
        <v>Cogliate</v>
      </c>
      <c r="C2753" s="6"/>
      <c r="D2753" s="6" t="s">
        <v>2758</v>
      </c>
      <c r="E2753" s="12" t="s">
        <v>2759</v>
      </c>
    </row>
    <row r="2754">
      <c r="A2754" s="4" t="s">
        <v>2779</v>
      </c>
      <c r="B2754" s="5" t="str">
        <f>IFERROR(__xludf.DUMMYFUNCTION("IF(A2754="""","""",INDEX(SPLIT(A2754,"" ""),COUNTA(SPLIT(A2754,"" ""))))"),"Concorezzo")</f>
        <v>Concorezzo</v>
      </c>
      <c r="C2754" s="6"/>
      <c r="D2754" s="6" t="s">
        <v>2758</v>
      </c>
      <c r="E2754" s="12" t="s">
        <v>2759</v>
      </c>
    </row>
    <row r="2755">
      <c r="A2755" s="4" t="s">
        <v>2780</v>
      </c>
      <c r="B2755" s="5" t="str">
        <f>IFERROR(__xludf.DUMMYFUNCTION("IF(A2755="""","""",INDEX(SPLIT(A2755,"" ""),COUNTA(SPLIT(A2755,"" ""))))"),"Correzzana")</f>
        <v>Correzzana</v>
      </c>
      <c r="C2755" s="6"/>
      <c r="D2755" s="6" t="s">
        <v>2758</v>
      </c>
      <c r="E2755" s="12" t="s">
        <v>2759</v>
      </c>
    </row>
    <row r="2756">
      <c r="A2756" s="4" t="s">
        <v>2781</v>
      </c>
      <c r="B2756" s="5" t="str">
        <f>IFERROR(__xludf.DUMMYFUNCTION("IF(A2756="""","""",INDEX(SPLIT(A2756,"" ""),COUNTA(SPLIT(A2756,"" ""))))"),"Desio")</f>
        <v>Desio</v>
      </c>
      <c r="C2756" s="6"/>
      <c r="D2756" s="6" t="s">
        <v>2758</v>
      </c>
      <c r="E2756" s="12" t="s">
        <v>2759</v>
      </c>
    </row>
    <row r="2757">
      <c r="A2757" s="4" t="s">
        <v>2782</v>
      </c>
      <c r="B2757" s="5" t="str">
        <f>IFERROR(__xludf.DUMMYFUNCTION("IF(A2757="""","""",INDEX(SPLIT(A2757,"" ""),COUNTA(SPLIT(A2757,"" ""))))"),"Giussano")</f>
        <v>Giussano</v>
      </c>
      <c r="C2757" s="6"/>
      <c r="D2757" s="6" t="s">
        <v>2758</v>
      </c>
      <c r="E2757" s="12" t="s">
        <v>2759</v>
      </c>
    </row>
    <row r="2758">
      <c r="A2758" s="4" t="s">
        <v>2783</v>
      </c>
      <c r="B2758" s="5" t="str">
        <f>IFERROR(__xludf.DUMMYFUNCTION("IF(A2758="""","""",INDEX(SPLIT(A2758,"" ""),COUNTA(SPLIT(A2758,"" ""))))"),"Lazzate")</f>
        <v>Lazzate</v>
      </c>
      <c r="C2758" s="6"/>
      <c r="D2758" s="6" t="s">
        <v>2758</v>
      </c>
      <c r="E2758" s="12" t="s">
        <v>2759</v>
      </c>
    </row>
    <row r="2759">
      <c r="A2759" s="4" t="s">
        <v>2784</v>
      </c>
      <c r="B2759" s="5" t="str">
        <f>IFERROR(__xludf.DUMMYFUNCTION("IF(A2759="""","""",INDEX(SPLIT(A2759,"" ""),COUNTA(SPLIT(A2759,"" ""))))"),"Lesmo")</f>
        <v>Lesmo</v>
      </c>
      <c r="C2759" s="6"/>
      <c r="D2759" s="6" t="s">
        <v>2758</v>
      </c>
      <c r="E2759" s="12" t="s">
        <v>2759</v>
      </c>
    </row>
    <row r="2760">
      <c r="A2760" s="4" t="s">
        <v>2785</v>
      </c>
      <c r="B2760" s="5" t="str">
        <f>IFERROR(__xludf.DUMMYFUNCTION("IF(A2760="""","""",INDEX(SPLIT(A2760,"" ""),COUNTA(SPLIT(A2760,"" ""))))"),"Limbiate")</f>
        <v>Limbiate</v>
      </c>
      <c r="C2760" s="6"/>
      <c r="D2760" s="6" t="s">
        <v>2758</v>
      </c>
      <c r="E2760" s="12" t="s">
        <v>2759</v>
      </c>
    </row>
    <row r="2761">
      <c r="A2761" s="4" t="s">
        <v>2786</v>
      </c>
      <c r="B2761" s="5" t="str">
        <f>IFERROR(__xludf.DUMMYFUNCTION("IF(A2761="""","""",INDEX(SPLIT(A2761,"" ""),COUNTA(SPLIT(A2761,"" ""))))"),"Lissone")</f>
        <v>Lissone</v>
      </c>
      <c r="C2761" s="6"/>
      <c r="D2761" s="6" t="s">
        <v>2758</v>
      </c>
      <c r="E2761" s="12" t="s">
        <v>2759</v>
      </c>
    </row>
    <row r="2762">
      <c r="A2762" s="4" t="s">
        <v>2787</v>
      </c>
      <c r="B2762" s="5" t="str">
        <f>IFERROR(__xludf.DUMMYFUNCTION("IF(A2762="""","""",INDEX(SPLIT(A2762,"" ""),COUNTA(SPLIT(A2762,"" ""))))"),"Macherio")</f>
        <v>Macherio</v>
      </c>
      <c r="C2762" s="6"/>
      <c r="D2762" s="6" t="s">
        <v>2758</v>
      </c>
      <c r="E2762" s="12" t="s">
        <v>2759</v>
      </c>
    </row>
    <row r="2763">
      <c r="A2763" s="4" t="s">
        <v>2788</v>
      </c>
      <c r="B2763" s="5" t="str">
        <f>IFERROR(__xludf.DUMMYFUNCTION("IF(A2763="""","""",INDEX(SPLIT(A2763,"" ""),COUNTA(SPLIT(A2763,"" ""))))"),"Meda")</f>
        <v>Meda</v>
      </c>
      <c r="C2763" s="6"/>
      <c r="D2763" s="6" t="s">
        <v>2758</v>
      </c>
      <c r="E2763" s="12" t="s">
        <v>2759</v>
      </c>
    </row>
    <row r="2764">
      <c r="A2764" s="4" t="s">
        <v>2789</v>
      </c>
      <c r="B2764" s="5" t="str">
        <f>IFERROR(__xludf.DUMMYFUNCTION("IF(A2764="""","""",INDEX(SPLIT(A2764,"" ""),COUNTA(SPLIT(A2764,"" ""))))"),"Mezzago")</f>
        <v>Mezzago</v>
      </c>
      <c r="C2764" s="6"/>
      <c r="D2764" s="6" t="s">
        <v>2758</v>
      </c>
      <c r="E2764" s="12" t="s">
        <v>2759</v>
      </c>
    </row>
    <row r="2765">
      <c r="A2765" s="4" t="s">
        <v>2790</v>
      </c>
      <c r="B2765" s="5" t="str">
        <f>IFERROR(__xludf.DUMMYFUNCTION("IF(A2765="""","""",INDEX(SPLIT(A2765,"" ""),COUNTA(SPLIT(A2765,"" ""))))"),"Misinto")</f>
        <v>Misinto</v>
      </c>
      <c r="C2765" s="6"/>
      <c r="D2765" s="6" t="s">
        <v>2758</v>
      </c>
      <c r="E2765" s="12" t="s">
        <v>2759</v>
      </c>
    </row>
    <row r="2766">
      <c r="A2766" s="4" t="s">
        <v>2791</v>
      </c>
      <c r="B2766" s="5" t="str">
        <f>IFERROR(__xludf.DUMMYFUNCTION("IF(A2766="""","""",INDEX(SPLIT(A2766,"" ""),COUNTA(SPLIT(A2766,"" ""))))"),"Monza")</f>
        <v>Monza</v>
      </c>
      <c r="C2766" s="6"/>
      <c r="D2766" s="6" t="s">
        <v>2758</v>
      </c>
      <c r="E2766" s="12" t="s">
        <v>2759</v>
      </c>
    </row>
    <row r="2767">
      <c r="A2767" s="4" t="s">
        <v>2792</v>
      </c>
      <c r="B2767" s="5" t="str">
        <f>IFERROR(__xludf.DUMMYFUNCTION("IF(A2767="""","""",INDEX(SPLIT(A2767,"" ""),COUNTA(SPLIT(A2767,"" ""))))"),"Muggiò")</f>
        <v>Muggiò</v>
      </c>
      <c r="C2767" s="6"/>
      <c r="D2767" s="6" t="s">
        <v>2758</v>
      </c>
      <c r="E2767" s="12" t="s">
        <v>2759</v>
      </c>
    </row>
    <row r="2768">
      <c r="A2768" s="4" t="s">
        <v>2793</v>
      </c>
      <c r="B2768" s="5" t="str">
        <f>IFERROR(__xludf.DUMMYFUNCTION("IF(A2768="""","""",INDEX(SPLIT(A2768,"" ""),COUNTA(SPLIT(A2768,"" ""))))"),"Milanese")</f>
        <v>Milanese</v>
      </c>
      <c r="C2768" s="6"/>
      <c r="D2768" s="6" t="s">
        <v>2758</v>
      </c>
      <c r="E2768" s="12" t="s">
        <v>2759</v>
      </c>
    </row>
    <row r="2769">
      <c r="A2769" s="4" t="s">
        <v>2794</v>
      </c>
      <c r="B2769" s="5" t="str">
        <f>IFERROR(__xludf.DUMMYFUNCTION("IF(A2769="""","""",INDEX(SPLIT(A2769,"" ""),COUNTA(SPLIT(A2769,"" ""))))"),"Ornago")</f>
        <v>Ornago</v>
      </c>
      <c r="C2769" s="6"/>
      <c r="D2769" s="6" t="s">
        <v>2758</v>
      </c>
      <c r="E2769" s="12" t="s">
        <v>2759</v>
      </c>
    </row>
    <row r="2770">
      <c r="A2770" s="4" t="s">
        <v>2795</v>
      </c>
      <c r="B2770" s="5" t="str">
        <f>IFERROR(__xludf.DUMMYFUNCTION("IF(A2770="""","""",INDEX(SPLIT(A2770,"" ""),COUNTA(SPLIT(A2770,"" ""))))"),"Renate")</f>
        <v>Renate</v>
      </c>
      <c r="C2770" s="6"/>
      <c r="D2770" s="6" t="s">
        <v>2758</v>
      </c>
      <c r="E2770" s="12" t="s">
        <v>2759</v>
      </c>
    </row>
    <row r="2771">
      <c r="A2771" s="4" t="s">
        <v>2796</v>
      </c>
      <c r="B2771" s="5" t="str">
        <f>IFERROR(__xludf.DUMMYFUNCTION("IF(A2771="""","""",INDEX(SPLIT(A2771,"" ""),COUNTA(SPLIT(A2771,"" ""))))"),"Briantino")</f>
        <v>Briantino</v>
      </c>
      <c r="C2771" s="6"/>
      <c r="D2771" s="6" t="s">
        <v>2758</v>
      </c>
      <c r="E2771" s="12" t="s">
        <v>2759</v>
      </c>
    </row>
    <row r="2772">
      <c r="A2772" s="4" t="s">
        <v>2797</v>
      </c>
      <c r="B2772" s="5" t="str">
        <f>IFERROR(__xludf.DUMMYFUNCTION("IF(A2772="""","""",INDEX(SPLIT(A2772,"" ""),COUNTA(SPLIT(A2772,"" ""))))"),"Seregno")</f>
        <v>Seregno</v>
      </c>
      <c r="C2772" s="6"/>
      <c r="D2772" s="6" t="s">
        <v>2758</v>
      </c>
      <c r="E2772" s="12" t="s">
        <v>2759</v>
      </c>
    </row>
    <row r="2773">
      <c r="A2773" s="4" t="s">
        <v>2798</v>
      </c>
      <c r="B2773" s="5" t="str">
        <f>IFERROR(__xludf.DUMMYFUNCTION("IF(A2773="""","""",INDEX(SPLIT(A2773,"" ""),COUNTA(SPLIT(A2773,"" ""))))"),"Seveso")</f>
        <v>Seveso</v>
      </c>
      <c r="C2773" s="6"/>
      <c r="D2773" s="6" t="s">
        <v>2758</v>
      </c>
      <c r="E2773" s="12" t="s">
        <v>2759</v>
      </c>
    </row>
    <row r="2774">
      <c r="A2774" s="4" t="s">
        <v>2799</v>
      </c>
      <c r="B2774" s="5" t="str">
        <f>IFERROR(__xludf.DUMMYFUNCTION("IF(A2774="""","""",INDEX(SPLIT(A2774,"" ""),COUNTA(SPLIT(A2774,"" ""))))"),"Sovico")</f>
        <v>Sovico</v>
      </c>
      <c r="C2774" s="6"/>
      <c r="D2774" s="6" t="s">
        <v>2758</v>
      </c>
      <c r="E2774" s="12" t="s">
        <v>2759</v>
      </c>
    </row>
    <row r="2775">
      <c r="A2775" s="4" t="s">
        <v>2800</v>
      </c>
      <c r="B2775" s="5" t="str">
        <f>IFERROR(__xludf.DUMMYFUNCTION("IF(A2775="""","""",INDEX(SPLIT(A2775,"" ""),COUNTA(SPLIT(A2775,"" ""))))"),"Sulbiate")</f>
        <v>Sulbiate</v>
      </c>
      <c r="C2775" s="6"/>
      <c r="D2775" s="6" t="s">
        <v>2758</v>
      </c>
      <c r="E2775" s="12" t="s">
        <v>2759</v>
      </c>
    </row>
    <row r="2776">
      <c r="A2776" s="4" t="s">
        <v>2801</v>
      </c>
      <c r="B2776" s="5" t="str">
        <f>IFERROR(__xludf.DUMMYFUNCTION("IF(A2776="""","""",INDEX(SPLIT(A2776,"" ""),COUNTA(SPLIT(A2776,"" ""))))"),"Triuggio")</f>
        <v>Triuggio</v>
      </c>
      <c r="C2776" s="6"/>
      <c r="D2776" s="6" t="s">
        <v>2758</v>
      </c>
      <c r="E2776" s="12" t="s">
        <v>2759</v>
      </c>
    </row>
    <row r="2777">
      <c r="A2777" s="4" t="s">
        <v>2802</v>
      </c>
      <c r="B2777" s="5" t="str">
        <f>IFERROR(__xludf.DUMMYFUNCTION("IF(A2777="""","""",INDEX(SPLIT(A2777,"" ""),COUNTA(SPLIT(A2777,"" ""))))"),"Velate")</f>
        <v>Velate</v>
      </c>
      <c r="C2777" s="6"/>
      <c r="D2777" s="6" t="s">
        <v>2758</v>
      </c>
      <c r="E2777" s="12" t="s">
        <v>2759</v>
      </c>
    </row>
    <row r="2778">
      <c r="A2778" s="4" t="s">
        <v>2803</v>
      </c>
      <c r="B2778" s="5" t="str">
        <f>IFERROR(__xludf.DUMMYFUNCTION("IF(A2778="""","""",INDEX(SPLIT(A2778,"" ""),COUNTA(SPLIT(A2778,"" ""))))"),"Varedo")</f>
        <v>Varedo</v>
      </c>
      <c r="C2778" s="6"/>
      <c r="D2778" s="6" t="s">
        <v>2758</v>
      </c>
      <c r="E2778" s="12" t="s">
        <v>2759</v>
      </c>
    </row>
    <row r="2779">
      <c r="A2779" s="4" t="s">
        <v>2804</v>
      </c>
      <c r="B2779" s="5" t="str">
        <f>IFERROR(__xludf.DUMMYFUNCTION("IF(A2779="""","""",INDEX(SPLIT(A2779,"" ""),COUNTA(SPLIT(A2779,"" ""))))"),"Lambro")</f>
        <v>Lambro</v>
      </c>
      <c r="C2779" s="6"/>
      <c r="D2779" s="6" t="s">
        <v>2758</v>
      </c>
      <c r="E2779" s="12" t="s">
        <v>2759</v>
      </c>
    </row>
    <row r="2780">
      <c r="A2780" s="4" t="s">
        <v>2805</v>
      </c>
      <c r="B2780" s="5" t="str">
        <f>IFERROR(__xludf.DUMMYFUNCTION("IF(A2780="""","""",INDEX(SPLIT(A2780,"" ""),COUNTA(SPLIT(A2780,"" ""))))"),"Colzano")</f>
        <v>Colzano</v>
      </c>
      <c r="C2780" s="6"/>
      <c r="D2780" s="6" t="s">
        <v>2758</v>
      </c>
      <c r="E2780" s="12" t="s">
        <v>2759</v>
      </c>
    </row>
    <row r="2781">
      <c r="A2781" s="4" t="s">
        <v>2806</v>
      </c>
      <c r="B2781" s="5" t="str">
        <f>IFERROR(__xludf.DUMMYFUNCTION("IF(A2781="""","""",INDEX(SPLIT(A2781,"" ""),COUNTA(SPLIT(A2781,"" ""))))"),"Brianza")</f>
        <v>Brianza</v>
      </c>
      <c r="C2781" s="6"/>
      <c r="D2781" s="6" t="s">
        <v>2758</v>
      </c>
      <c r="E2781" s="12" t="s">
        <v>2759</v>
      </c>
    </row>
    <row r="2782">
      <c r="A2782" s="4" t="s">
        <v>2807</v>
      </c>
      <c r="B2782" s="5" t="str">
        <f>IFERROR(__xludf.DUMMYFUNCTION("IF(A2782="""","""",INDEX(SPLIT(A2782,"" ""),COUNTA(SPLIT(A2782,"" ""))))"),"Villasanta")</f>
        <v>Villasanta</v>
      </c>
      <c r="C2782" s="6"/>
      <c r="D2782" s="6" t="s">
        <v>2758</v>
      </c>
      <c r="E2782" s="12" t="s">
        <v>2759</v>
      </c>
    </row>
    <row r="2783">
      <c r="A2783" s="4" t="s">
        <v>2808</v>
      </c>
      <c r="B2783" s="5" t="str">
        <f>IFERROR(__xludf.DUMMYFUNCTION("IF(A2783="""","""",INDEX(SPLIT(A2783,"" ""),COUNTA(SPLIT(A2783,"" ""))))"),"Vimercate")</f>
        <v>Vimercate</v>
      </c>
      <c r="C2783" s="6"/>
      <c r="D2783" s="6" t="s">
        <v>2758</v>
      </c>
      <c r="E2783" s="12" t="s">
        <v>2759</v>
      </c>
    </row>
    <row r="2784">
      <c r="A2784" s="4" t="s">
        <v>2809</v>
      </c>
      <c r="B2784" s="5" t="str">
        <f>IFERROR(__xludf.DUMMYFUNCTION("IF(A2784="""","""",INDEX(SPLIT(A2784,"" ""),COUNTA(SPLIT(A2784,"" ""))))"),"Busnago")</f>
        <v>Busnago</v>
      </c>
      <c r="C2784" s="6"/>
      <c r="D2784" s="6" t="s">
        <v>2758</v>
      </c>
      <c r="E2784" s="12" t="s">
        <v>2759</v>
      </c>
    </row>
    <row r="2785">
      <c r="A2785" s="4" t="s">
        <v>2810</v>
      </c>
      <c r="B2785" s="5" t="str">
        <f>IFERROR(__xludf.DUMMYFUNCTION("IF(A2785="""","""",INDEX(SPLIT(A2785,"" ""),COUNTA(SPLIT(A2785,"" ""))))"),"Caponago")</f>
        <v>Caponago</v>
      </c>
      <c r="C2785" s="6"/>
      <c r="D2785" s="6" t="s">
        <v>2758</v>
      </c>
      <c r="E2785" s="12" t="s">
        <v>2759</v>
      </c>
    </row>
    <row r="2786">
      <c r="A2786" s="4" t="s">
        <v>2811</v>
      </c>
      <c r="B2786" s="5" t="str">
        <f>IFERROR(__xludf.DUMMYFUNCTION("IF(A2786="""","""",INDEX(SPLIT(A2786,"" ""),COUNTA(SPLIT(A2786,"" ""))))"),"d'Adda")</f>
        <v>d'Adda</v>
      </c>
      <c r="C2786" s="6"/>
      <c r="D2786" s="6" t="s">
        <v>2758</v>
      </c>
      <c r="E2786" s="12" t="s">
        <v>2759</v>
      </c>
    </row>
    <row r="2787">
      <c r="A2787" s="4" t="s">
        <v>2812</v>
      </c>
      <c r="B2787" s="5" t="str">
        <f>IFERROR(__xludf.DUMMYFUNCTION("IF(A2787="""","""",INDEX(SPLIT(A2787,"" ""),COUNTA(SPLIT(A2787,"" ""))))"),"Seveso")</f>
        <v>Seveso</v>
      </c>
      <c r="C2787" s="6"/>
      <c r="D2787" s="6" t="s">
        <v>2758</v>
      </c>
      <c r="E2787" s="12" t="s">
        <v>2759</v>
      </c>
    </row>
    <row r="2788">
      <c r="A2788" s="4" t="s">
        <v>2813</v>
      </c>
      <c r="B2788" s="5" t="str">
        <f>IFERROR(__xludf.DUMMYFUNCTION("IF(A2788="""","""",INDEX(SPLIT(A2788,"" ""),COUNTA(SPLIT(A2788,"" ""))))"),"Roncello")</f>
        <v>Roncello</v>
      </c>
      <c r="C2788" s="6"/>
      <c r="D2788" s="6" t="s">
        <v>2758</v>
      </c>
      <c r="E2788" s="12" t="s">
        <v>2759</v>
      </c>
    </row>
    <row r="2789">
      <c r="A2789" s="4" t="s">
        <v>2814</v>
      </c>
      <c r="B2789" s="5" t="str">
        <f>IFERROR(__xludf.DUMMYFUNCTION("IF(A2789="""","""",INDEX(SPLIT(A2789,"" ""),COUNTA(SPLIT(A2789,"" ""))))"),"Aldino")</f>
        <v>Aldino</v>
      </c>
      <c r="C2789" s="6"/>
      <c r="D2789" s="6" t="s">
        <v>2815</v>
      </c>
      <c r="E2789" s="12" t="s">
        <v>2816</v>
      </c>
    </row>
    <row r="2790">
      <c r="A2790" s="4" t="s">
        <v>2817</v>
      </c>
      <c r="B2790" s="5" t="str">
        <f>IFERROR(__xludf.DUMMYFUNCTION("IF(A2790="""","""",INDEX(SPLIT(A2790,"" ""),COUNTA(SPLIT(A2790,"" ""))))"),"Andriano")</f>
        <v>Andriano</v>
      </c>
      <c r="C2790" s="6"/>
      <c r="D2790" s="6" t="s">
        <v>2815</v>
      </c>
      <c r="E2790" s="12" t="s">
        <v>2816</v>
      </c>
    </row>
    <row r="2791">
      <c r="A2791" s="4" t="s">
        <v>2818</v>
      </c>
      <c r="B2791" s="5" t="str">
        <f>IFERROR(__xludf.DUMMYFUNCTION("IF(A2791="""","""",INDEX(SPLIT(A2791,"" ""),COUNTA(SPLIT(A2791,"" ""))))"),"Anterivo")</f>
        <v>Anterivo</v>
      </c>
      <c r="C2791" s="6"/>
      <c r="D2791" s="6" t="s">
        <v>2815</v>
      </c>
      <c r="E2791" s="12" t="s">
        <v>2816</v>
      </c>
    </row>
    <row r="2792">
      <c r="A2792" s="4" t="s">
        <v>2819</v>
      </c>
      <c r="B2792" s="5" t="str">
        <f>IFERROR(__xludf.DUMMYFUNCTION("IF(A2792="""","""",INDEX(SPLIT(A2792,"" ""),COUNTA(SPLIT(A2792,"" ""))))"),"vino")</f>
        <v>vino</v>
      </c>
      <c r="C2792" s="6"/>
      <c r="D2792" s="6" t="s">
        <v>2815</v>
      </c>
      <c r="E2792" s="12" t="s">
        <v>2816</v>
      </c>
    </row>
    <row r="2793">
      <c r="A2793" s="4" t="s">
        <v>2820</v>
      </c>
      <c r="B2793" s="5" t="str">
        <f>IFERROR(__xludf.DUMMYFUNCTION("IF(A2793="""","""",INDEX(SPLIT(A2793,"" ""),COUNTA(SPLIT(A2793,"" ""))))"),"Avelengo")</f>
        <v>Avelengo</v>
      </c>
      <c r="C2793" s="6"/>
      <c r="D2793" s="6" t="s">
        <v>2815</v>
      </c>
      <c r="E2793" s="12" t="s">
        <v>2816</v>
      </c>
    </row>
    <row r="2794">
      <c r="A2794" s="4" t="s">
        <v>2821</v>
      </c>
      <c r="B2794" s="5" t="str">
        <f>IFERROR(__xludf.DUMMYFUNCTION("IF(A2794="""","""",INDEX(SPLIT(A2794,"" ""),COUNTA(SPLIT(A2794,"" ""))))"),"Badia")</f>
        <v>Badia</v>
      </c>
      <c r="C2794" s="6"/>
      <c r="D2794" s="6" t="s">
        <v>2815</v>
      </c>
      <c r="E2794" s="12" t="s">
        <v>2816</v>
      </c>
    </row>
    <row r="2795">
      <c r="A2795" s="4" t="s">
        <v>2822</v>
      </c>
      <c r="B2795" s="5" t="str">
        <f>IFERROR(__xludf.DUMMYFUNCTION("IF(A2795="""","""",INDEX(SPLIT(A2795,"" ""),COUNTA(SPLIT(A2795,"" ""))))"),"Barbiano")</f>
        <v>Barbiano</v>
      </c>
      <c r="C2795" s="6"/>
      <c r="D2795" s="6" t="s">
        <v>2815</v>
      </c>
      <c r="E2795" s="12" t="s">
        <v>2816</v>
      </c>
    </row>
    <row r="2796">
      <c r="A2796" s="4" t="s">
        <v>2823</v>
      </c>
      <c r="B2796" s="5" t="str">
        <f>IFERROR(__xludf.DUMMYFUNCTION("IF(A2796="""","""",INDEX(SPLIT(A2796,"" ""),COUNTA(SPLIT(A2796,"" ""))))"),"Bolzano")</f>
        <v>Bolzano</v>
      </c>
      <c r="C2796" s="6"/>
      <c r="D2796" s="6" t="s">
        <v>2815</v>
      </c>
      <c r="E2796" s="12" t="s">
        <v>2816</v>
      </c>
    </row>
    <row r="2797">
      <c r="A2797" s="4" t="s">
        <v>2824</v>
      </c>
      <c r="B2797" s="5" t="str">
        <f>IFERROR(__xludf.DUMMYFUNCTION("IF(A2797="""","""",INDEX(SPLIT(A2797,"" ""),COUNTA(SPLIT(A2797,"" ""))))"),"Braies")</f>
        <v>Braies</v>
      </c>
      <c r="C2797" s="6"/>
      <c r="D2797" s="6" t="s">
        <v>2815</v>
      </c>
      <c r="E2797" s="12" t="s">
        <v>2816</v>
      </c>
    </row>
    <row r="2798">
      <c r="A2798" s="4" t="s">
        <v>2825</v>
      </c>
      <c r="B2798" s="5" t="str">
        <f>IFERROR(__xludf.DUMMYFUNCTION("IF(A2798="""","""",INDEX(SPLIT(A2798,"" ""),COUNTA(SPLIT(A2798,"" ""))))"),"Brennero")</f>
        <v>Brennero</v>
      </c>
      <c r="C2798" s="6"/>
      <c r="D2798" s="6" t="s">
        <v>2815</v>
      </c>
      <c r="E2798" s="12" t="s">
        <v>2816</v>
      </c>
    </row>
    <row r="2799">
      <c r="A2799" s="4" t="s">
        <v>2826</v>
      </c>
      <c r="B2799" s="5" t="str">
        <f>IFERROR(__xludf.DUMMYFUNCTION("IF(A2799="""","""",INDEX(SPLIT(A2799,"" ""),COUNTA(SPLIT(A2799,"" ""))))"),"Bressanone")</f>
        <v>Bressanone</v>
      </c>
      <c r="C2799" s="6"/>
      <c r="D2799" s="6" t="s">
        <v>2815</v>
      </c>
      <c r="E2799" s="12" t="s">
        <v>2816</v>
      </c>
    </row>
    <row r="2800">
      <c r="A2800" s="4" t="s">
        <v>2827</v>
      </c>
      <c r="B2800" s="5" t="str">
        <f>IFERROR(__xludf.DUMMYFUNCTION("IF(A2800="""","""",INDEX(SPLIT(A2800,"" ""),COUNTA(SPLIT(A2800,"" ""))))"),"Bronzolo")</f>
        <v>Bronzolo</v>
      </c>
      <c r="C2800" s="6"/>
      <c r="D2800" s="6" t="s">
        <v>2815</v>
      </c>
      <c r="E2800" s="12" t="s">
        <v>2816</v>
      </c>
    </row>
    <row r="2801">
      <c r="A2801" s="4" t="s">
        <v>2828</v>
      </c>
      <c r="B2801" s="5" t="str">
        <f>IFERROR(__xludf.DUMMYFUNCTION("IF(A2801="""","""",INDEX(SPLIT(A2801,"" ""),COUNTA(SPLIT(A2801,"" ""))))"),"Brunico")</f>
        <v>Brunico</v>
      </c>
      <c r="C2801" s="6"/>
      <c r="D2801" s="6" t="s">
        <v>2815</v>
      </c>
      <c r="E2801" s="12" t="s">
        <v>2816</v>
      </c>
    </row>
    <row r="2802">
      <c r="A2802" s="4" t="s">
        <v>2829</v>
      </c>
      <c r="B2802" s="5" t="str">
        <f>IFERROR(__xludf.DUMMYFUNCTION("IF(A2802="""","""",INDEX(SPLIT(A2802,"" ""),COUNTA(SPLIT(A2802,"" ""))))"),"Caines")</f>
        <v>Caines</v>
      </c>
      <c r="C2802" s="6"/>
      <c r="D2802" s="6" t="s">
        <v>2815</v>
      </c>
      <c r="E2802" s="12" t="s">
        <v>2816</v>
      </c>
    </row>
    <row r="2803">
      <c r="A2803" s="4" t="s">
        <v>2830</v>
      </c>
      <c r="B2803" s="5" t="str">
        <f>IFERROR(__xludf.DUMMYFUNCTION("IF(A2803="""","""",INDEX(SPLIT(A2803,"" ""),COUNTA(SPLIT(A2803,"" ""))))"),"vino")</f>
        <v>vino</v>
      </c>
      <c r="C2803" s="6"/>
      <c r="D2803" s="6" t="s">
        <v>2815</v>
      </c>
      <c r="E2803" s="12" t="s">
        <v>2816</v>
      </c>
    </row>
    <row r="2804">
      <c r="A2804" s="4" t="s">
        <v>2831</v>
      </c>
      <c r="B2804" s="5" t="str">
        <f>IFERROR(__xludf.DUMMYFUNCTION("IF(A2804="""","""",INDEX(SPLIT(A2804,"" ""),COUNTA(SPLIT(A2804,"" ""))))"),"Trens")</f>
        <v>Trens</v>
      </c>
      <c r="C2804" s="6"/>
      <c r="D2804" s="6" t="s">
        <v>2815</v>
      </c>
      <c r="E2804" s="12" t="s">
        <v>2816</v>
      </c>
    </row>
    <row r="2805">
      <c r="A2805" s="4" t="s">
        <v>2832</v>
      </c>
      <c r="B2805" s="5" t="str">
        <f>IFERROR(__xludf.DUMMYFUNCTION("IF(A2805="""","""",INDEX(SPLIT(A2805,"" ""),COUNTA(SPLIT(A2805,"" ""))))"),"Tures")</f>
        <v>Tures</v>
      </c>
      <c r="C2805" s="6"/>
      <c r="D2805" s="6" t="s">
        <v>2815</v>
      </c>
      <c r="E2805" s="12" t="s">
        <v>2816</v>
      </c>
    </row>
    <row r="2806">
      <c r="A2806" s="4" t="s">
        <v>2833</v>
      </c>
      <c r="B2806" s="5" t="str">
        <f>IFERROR(__xludf.DUMMYFUNCTION("IF(A2806="""","""",INDEX(SPLIT(A2806,"" ""),COUNTA(SPLIT(A2806,"" ""))))"),"CastelbelloCiardes")</f>
        <v>CastelbelloCiardes</v>
      </c>
      <c r="C2806" s="6"/>
      <c r="D2806" s="6" t="s">
        <v>2815</v>
      </c>
      <c r="E2806" s="12" t="s">
        <v>2816</v>
      </c>
    </row>
    <row r="2807">
      <c r="A2807" s="4" t="s">
        <v>2834</v>
      </c>
      <c r="B2807" s="5" t="str">
        <f>IFERROR(__xludf.DUMMYFUNCTION("IF(A2807="""","""",INDEX(SPLIT(A2807,"" ""),COUNTA(SPLIT(A2807,"" ""))))"),"Castelrotto")</f>
        <v>Castelrotto</v>
      </c>
      <c r="C2807" s="6"/>
      <c r="D2807" s="6" t="s">
        <v>2815</v>
      </c>
      <c r="E2807" s="12" t="s">
        <v>2816</v>
      </c>
    </row>
    <row r="2808">
      <c r="A2808" s="4" t="s">
        <v>2835</v>
      </c>
      <c r="B2808" s="5" t="str">
        <f>IFERROR(__xludf.DUMMYFUNCTION("IF(A2808="""","""",INDEX(SPLIT(A2808,"" ""),COUNTA(SPLIT(A2808,"" ""))))"),"Cermes")</f>
        <v>Cermes</v>
      </c>
      <c r="C2808" s="6"/>
      <c r="D2808" s="6" t="s">
        <v>2815</v>
      </c>
      <c r="E2808" s="12" t="s">
        <v>2816</v>
      </c>
    </row>
    <row r="2809">
      <c r="A2809" s="4" t="s">
        <v>2836</v>
      </c>
      <c r="B2809" s="5" t="str">
        <f>IFERROR(__xludf.DUMMYFUNCTION("IF(A2809="""","""",INDEX(SPLIT(A2809,"" ""),COUNTA(SPLIT(A2809,"" ""))))"),"Chienes")</f>
        <v>Chienes</v>
      </c>
      <c r="C2809" s="6"/>
      <c r="D2809" s="6" t="s">
        <v>2815</v>
      </c>
      <c r="E2809" s="12" t="s">
        <v>2816</v>
      </c>
    </row>
    <row r="2810">
      <c r="A2810" s="4" t="s">
        <v>2837</v>
      </c>
      <c r="B2810" s="5" t="str">
        <f>IFERROR(__xludf.DUMMYFUNCTION("IF(A2810="""","""",INDEX(SPLIT(A2810,"" ""),COUNTA(SPLIT(A2810,"" ""))))"),"Chiusa")</f>
        <v>Chiusa</v>
      </c>
      <c r="C2810" s="6"/>
      <c r="D2810" s="6" t="s">
        <v>2815</v>
      </c>
      <c r="E2810" s="12" t="s">
        <v>2816</v>
      </c>
    </row>
    <row r="2811">
      <c r="A2811" s="4" t="s">
        <v>2838</v>
      </c>
      <c r="B2811" s="5" t="str">
        <f>IFERROR(__xludf.DUMMYFUNCTION("IF(A2811="""","""",INDEX(SPLIT(A2811,"" ""),COUNTA(SPLIT(A2811,"" ""))))"),"all'Isarco")</f>
        <v>all'Isarco</v>
      </c>
      <c r="C2811" s="6"/>
      <c r="D2811" s="6" t="s">
        <v>2815</v>
      </c>
      <c r="E2811" s="12" t="s">
        <v>2816</v>
      </c>
    </row>
    <row r="2812">
      <c r="A2812" s="4" t="s">
        <v>2839</v>
      </c>
      <c r="B2812" s="5" t="str">
        <f>IFERROR(__xludf.DUMMYFUNCTION("IF(A2812="""","""",INDEX(SPLIT(A2812,"" ""),COUNTA(SPLIT(A2812,"" ""))))"),"vino")</f>
        <v>vino</v>
      </c>
      <c r="C2812" s="6"/>
      <c r="D2812" s="6" t="s">
        <v>2815</v>
      </c>
      <c r="E2812" s="12" t="s">
        <v>2816</v>
      </c>
    </row>
    <row r="2813">
      <c r="A2813" s="4" t="s">
        <v>2840</v>
      </c>
      <c r="B2813" s="5" t="str">
        <f>IFERROR(__xludf.DUMMYFUNCTION("IF(A2813="""","""",INDEX(SPLIT(A2813,"" ""),COUNTA(SPLIT(A2813,"" ""))))"),"vino")</f>
        <v>vino</v>
      </c>
      <c r="C2813" s="6"/>
      <c r="D2813" s="6" t="s">
        <v>2815</v>
      </c>
      <c r="E2813" s="12" t="s">
        <v>2816</v>
      </c>
    </row>
    <row r="2814">
      <c r="A2814" s="4" t="s">
        <v>2841</v>
      </c>
      <c r="B2814" s="5" t="str">
        <f>IFERROR(__xludf.DUMMYFUNCTION("IF(A2814="""","""",INDEX(SPLIT(A2814,"" ""),COUNTA(SPLIT(A2814,"" ""))))"),"Badia")</f>
        <v>Badia</v>
      </c>
      <c r="C2814" s="6"/>
      <c r="D2814" s="6" t="s">
        <v>2815</v>
      </c>
      <c r="E2814" s="12" t="s">
        <v>2816</v>
      </c>
    </row>
    <row r="2815">
      <c r="A2815" s="4" t="s">
        <v>2842</v>
      </c>
      <c r="B2815" s="5" t="str">
        <f>IFERROR(__xludf.DUMMYFUNCTION("IF(A2815="""","""",INDEX(SPLIT(A2815,"" ""),COUNTA(SPLIT(A2815,"" ""))))"),"Venosta")</f>
        <v>Venosta</v>
      </c>
      <c r="C2815" s="6"/>
      <c r="D2815" s="6" t="s">
        <v>2815</v>
      </c>
      <c r="E2815" s="12" t="s">
        <v>2816</v>
      </c>
    </row>
    <row r="2816">
      <c r="A2816" s="4" t="s">
        <v>2843</v>
      </c>
      <c r="B2816" s="5" t="str">
        <f>IFERROR(__xludf.DUMMYFUNCTION("IF(A2816="""","""",INDEX(SPLIT(A2816,"" ""),COUNTA(SPLIT(A2816,"" ""))))"),"Dobbiaco")</f>
        <v>Dobbiaco</v>
      </c>
      <c r="C2816" s="6"/>
      <c r="D2816" s="6" t="s">
        <v>2815</v>
      </c>
      <c r="E2816" s="12" t="s">
        <v>2816</v>
      </c>
    </row>
    <row r="2817">
      <c r="A2817" s="4" t="s">
        <v>2844</v>
      </c>
      <c r="B2817" s="5" t="str">
        <f>IFERROR(__xludf.DUMMYFUNCTION("IF(A2817="""","""",INDEX(SPLIT(A2817,"" ""),COUNTA(SPLIT(A2817,"" ""))))"),"Egna")</f>
        <v>Egna</v>
      </c>
      <c r="C2817" s="6"/>
      <c r="D2817" s="6" t="s">
        <v>2815</v>
      </c>
      <c r="E2817" s="12" t="s">
        <v>2816</v>
      </c>
    </row>
    <row r="2818">
      <c r="A2818" s="4" t="s">
        <v>2845</v>
      </c>
      <c r="B2818" s="5" t="str">
        <f>IFERROR(__xludf.DUMMYFUNCTION("IF(A2818="""","""",INDEX(SPLIT(A2818,"" ""),COUNTA(SPLIT(A2818,"" ""))))"),"Falzes")</f>
        <v>Falzes</v>
      </c>
      <c r="C2818" s="6"/>
      <c r="D2818" s="6" t="s">
        <v>2815</v>
      </c>
      <c r="E2818" s="12" t="s">
        <v>2816</v>
      </c>
    </row>
    <row r="2819">
      <c r="A2819" s="4" t="s">
        <v>2846</v>
      </c>
      <c r="B2819" s="5" t="str">
        <f>IFERROR(__xludf.DUMMYFUNCTION("IF(A2819="""","""",INDEX(SPLIT(A2819,"" ""),COUNTA(SPLIT(A2819,"" ""))))"),"Sciliar")</f>
        <v>Sciliar</v>
      </c>
      <c r="C2819" s="6"/>
      <c r="D2819" s="6" t="s">
        <v>2815</v>
      </c>
      <c r="E2819" s="12" t="s">
        <v>2816</v>
      </c>
    </row>
    <row r="2820">
      <c r="A2820" s="4" t="s">
        <v>2847</v>
      </c>
      <c r="B2820" s="5" t="str">
        <f>IFERROR(__xludf.DUMMYFUNCTION("IF(A2820="""","""",INDEX(SPLIT(A2820,"" ""),COUNTA(SPLIT(A2820,"" ""))))"),"Fortezza")</f>
        <v>Fortezza</v>
      </c>
      <c r="C2820" s="6"/>
      <c r="D2820" s="6" t="s">
        <v>2815</v>
      </c>
      <c r="E2820" s="12" t="s">
        <v>2816</v>
      </c>
    </row>
    <row r="2821">
      <c r="A2821" s="4" t="s">
        <v>2848</v>
      </c>
      <c r="B2821" s="5" t="str">
        <f>IFERROR(__xludf.DUMMYFUNCTION("IF(A2821="""","""",INDEX(SPLIT(A2821,"" ""),COUNTA(SPLIT(A2821,"" ""))))"),"Funes")</f>
        <v>Funes</v>
      </c>
      <c r="C2821" s="6"/>
      <c r="D2821" s="6" t="s">
        <v>2815</v>
      </c>
      <c r="E2821" s="12" t="s">
        <v>2816</v>
      </c>
    </row>
    <row r="2822">
      <c r="A2822" s="4" t="s">
        <v>2849</v>
      </c>
      <c r="B2822" s="5" t="str">
        <f>IFERROR(__xludf.DUMMYFUNCTION("IF(A2822="""","""",INDEX(SPLIT(A2822,"" ""),COUNTA(SPLIT(A2822,"" ""))))"),"Gais")</f>
        <v>Gais</v>
      </c>
      <c r="C2822" s="6"/>
      <c r="D2822" s="6" t="s">
        <v>2815</v>
      </c>
      <c r="E2822" s="12" t="s">
        <v>2816</v>
      </c>
    </row>
    <row r="2823">
      <c r="A2823" s="4" t="s">
        <v>2850</v>
      </c>
      <c r="B2823" s="5" t="str">
        <f>IFERROR(__xludf.DUMMYFUNCTION("IF(A2823="""","""",INDEX(SPLIT(A2823,"" ""),COUNTA(SPLIT(A2823,"" ""))))"),"Gargazzone")</f>
        <v>Gargazzone</v>
      </c>
      <c r="C2823" s="6"/>
      <c r="D2823" s="6" t="s">
        <v>2815</v>
      </c>
      <c r="E2823" s="12" t="s">
        <v>2816</v>
      </c>
    </row>
    <row r="2824">
      <c r="A2824" s="4" t="s">
        <v>2851</v>
      </c>
      <c r="B2824" s="5" t="str">
        <f>IFERROR(__xludf.DUMMYFUNCTION("IF(A2824="""","""",INDEX(SPLIT(A2824,"" ""),COUNTA(SPLIT(A2824,"" ""))))"),"Glorenza")</f>
        <v>Glorenza</v>
      </c>
      <c r="C2824" s="6"/>
      <c r="D2824" s="6" t="s">
        <v>2815</v>
      </c>
      <c r="E2824" s="12" t="s">
        <v>2816</v>
      </c>
    </row>
    <row r="2825">
      <c r="A2825" s="4" t="s">
        <v>2852</v>
      </c>
      <c r="B2825" s="5" t="str">
        <f>IFERROR(__xludf.DUMMYFUNCTION("IF(A2825="""","""",INDEX(SPLIT(A2825,"" ""),COUNTA(SPLIT(A2825,"" ""))))"),"Laces")</f>
        <v>Laces</v>
      </c>
      <c r="C2825" s="6"/>
      <c r="D2825" s="6" t="s">
        <v>2815</v>
      </c>
      <c r="E2825" s="12" t="s">
        <v>2816</v>
      </c>
    </row>
    <row r="2826">
      <c r="A2826" s="4" t="s">
        <v>2853</v>
      </c>
      <c r="B2826" s="5" t="str">
        <f>IFERROR(__xludf.DUMMYFUNCTION("IF(A2826="""","""",INDEX(SPLIT(A2826,"" ""),COUNTA(SPLIT(A2826,"" ""))))"),"Lagundo")</f>
        <v>Lagundo</v>
      </c>
      <c r="C2826" s="6"/>
      <c r="D2826" s="6" t="s">
        <v>2815</v>
      </c>
      <c r="E2826" s="12" t="s">
        <v>2816</v>
      </c>
    </row>
    <row r="2827">
      <c r="A2827" s="4" t="s">
        <v>2854</v>
      </c>
      <c r="B2827" s="5" t="str">
        <f>IFERROR(__xludf.DUMMYFUNCTION("IF(A2827="""","""",INDEX(SPLIT(A2827,"" ""),COUNTA(SPLIT(A2827,"" ""))))"),"Laion")</f>
        <v>Laion</v>
      </c>
      <c r="C2827" s="6"/>
      <c r="D2827" s="6" t="s">
        <v>2815</v>
      </c>
      <c r="E2827" s="12" t="s">
        <v>2816</v>
      </c>
    </row>
    <row r="2828">
      <c r="A2828" s="4" t="s">
        <v>2855</v>
      </c>
      <c r="B2828" s="5" t="str">
        <f>IFERROR(__xludf.DUMMYFUNCTION("IF(A2828="""","""",INDEX(SPLIT(A2828,"" ""),COUNTA(SPLIT(A2828,"" ""))))"),"Laives")</f>
        <v>Laives</v>
      </c>
      <c r="C2828" s="6"/>
      <c r="D2828" s="6" t="s">
        <v>2815</v>
      </c>
      <c r="E2828" s="12" t="s">
        <v>2816</v>
      </c>
    </row>
    <row r="2829">
      <c r="A2829" s="4" t="s">
        <v>2856</v>
      </c>
      <c r="B2829" s="5" t="str">
        <f>IFERROR(__xludf.DUMMYFUNCTION("IF(A2829="""","""",INDEX(SPLIT(A2829,"" ""),COUNTA(SPLIT(A2829,"" ""))))"),"Lana")</f>
        <v>Lana</v>
      </c>
      <c r="C2829" s="6"/>
      <c r="D2829" s="6" t="s">
        <v>2815</v>
      </c>
      <c r="E2829" s="12" t="s">
        <v>2816</v>
      </c>
    </row>
    <row r="2830">
      <c r="A2830" s="4" t="s">
        <v>2857</v>
      </c>
      <c r="B2830" s="5" t="str">
        <f>IFERROR(__xludf.DUMMYFUNCTION("IF(A2830="""","""",INDEX(SPLIT(A2830,"" ""),COUNTA(SPLIT(A2830,"" ""))))"),"Lasa")</f>
        <v>Lasa</v>
      </c>
      <c r="C2830" s="6"/>
      <c r="D2830" s="6" t="s">
        <v>2815</v>
      </c>
      <c r="E2830" s="12" t="s">
        <v>2816</v>
      </c>
    </row>
    <row r="2831">
      <c r="A2831" s="4" t="s">
        <v>2858</v>
      </c>
      <c r="B2831" s="5" t="str">
        <f>IFERROR(__xludf.DUMMYFUNCTION("IF(A2831="""","""",INDEX(SPLIT(A2831,"" ""),COUNTA(SPLIT(A2831,"" ""))))"),"Lauregno")</f>
        <v>Lauregno</v>
      </c>
      <c r="C2831" s="6"/>
      <c r="D2831" s="6" t="s">
        <v>2815</v>
      </c>
      <c r="E2831" s="12" t="s">
        <v>2816</v>
      </c>
    </row>
    <row r="2832">
      <c r="A2832" s="4" t="s">
        <v>2859</v>
      </c>
      <c r="B2832" s="5" t="str">
        <f>IFERROR(__xludf.DUMMYFUNCTION("IF(A2832="""","""",INDEX(SPLIT(A2832,"" ""),COUNTA(SPLIT(A2832,"" ""))))"),"Luson")</f>
        <v>Luson</v>
      </c>
      <c r="C2832" s="6"/>
      <c r="D2832" s="6" t="s">
        <v>2815</v>
      </c>
      <c r="E2832" s="12" t="s">
        <v>2816</v>
      </c>
    </row>
    <row r="2833">
      <c r="A2833" s="4" t="s">
        <v>2860</v>
      </c>
      <c r="B2833" s="5" t="str">
        <f>IFERROR(__xludf.DUMMYFUNCTION("IF(A2833="""","""",INDEX(SPLIT(A2833,"" ""),COUNTA(SPLIT(A2833,"" ""))))"),"vino")</f>
        <v>vino</v>
      </c>
      <c r="C2833" s="6"/>
      <c r="D2833" s="6" t="s">
        <v>2815</v>
      </c>
      <c r="E2833" s="12" t="s">
        <v>2816</v>
      </c>
    </row>
    <row r="2834">
      <c r="A2834" s="4" t="s">
        <v>2861</v>
      </c>
      <c r="B2834" s="5" t="str">
        <f>IFERROR(__xludf.DUMMYFUNCTION("IF(A2834="""","""",INDEX(SPLIT(A2834,"" ""),COUNTA(SPLIT(A2834,"" ""))))"),"Venosta")</f>
        <v>Venosta</v>
      </c>
      <c r="C2834" s="6"/>
      <c r="D2834" s="6" t="s">
        <v>2815</v>
      </c>
      <c r="E2834" s="12" t="s">
        <v>2816</v>
      </c>
    </row>
    <row r="2835">
      <c r="A2835" s="4" t="s">
        <v>2862</v>
      </c>
      <c r="B2835" s="5" t="str">
        <f>IFERROR(__xludf.DUMMYFUNCTION("IF(A2835="""","""",INDEX(SPLIT(A2835,"" ""),COUNTA(SPLIT(A2835,"" ""))))"),"Marebbe")</f>
        <v>Marebbe</v>
      </c>
      <c r="C2835" s="6"/>
      <c r="D2835" s="6" t="s">
        <v>2815</v>
      </c>
      <c r="E2835" s="12" t="s">
        <v>2816</v>
      </c>
    </row>
    <row r="2836">
      <c r="A2836" s="4" t="s">
        <v>2863</v>
      </c>
      <c r="B2836" s="5" t="str">
        <f>IFERROR(__xludf.DUMMYFUNCTION("IF(A2836="""","""",INDEX(SPLIT(A2836,"" ""),COUNTA(SPLIT(A2836,"" ""))))"),"Marlengo")</f>
        <v>Marlengo</v>
      </c>
      <c r="C2836" s="6"/>
      <c r="D2836" s="6" t="s">
        <v>2815</v>
      </c>
      <c r="E2836" s="12" t="s">
        <v>2816</v>
      </c>
    </row>
    <row r="2837">
      <c r="A2837" s="4" t="s">
        <v>2864</v>
      </c>
      <c r="B2837" s="5" t="str">
        <f>IFERROR(__xludf.DUMMYFUNCTION("IF(A2837="""","""",INDEX(SPLIT(A2837,"" ""),COUNTA(SPLIT(A2837,"" ""))))"),"Martello")</f>
        <v>Martello</v>
      </c>
      <c r="C2837" s="6"/>
      <c r="D2837" s="6" t="s">
        <v>2815</v>
      </c>
      <c r="E2837" s="12" t="s">
        <v>2816</v>
      </c>
    </row>
    <row r="2838">
      <c r="A2838" s="4" t="s">
        <v>2865</v>
      </c>
      <c r="B2838" s="5" t="str">
        <f>IFERROR(__xludf.DUMMYFUNCTION("IF(A2838="""","""",INDEX(SPLIT(A2838,"" ""),COUNTA(SPLIT(A2838,"" ""))))"),"Meltina")</f>
        <v>Meltina</v>
      </c>
      <c r="C2838" s="6"/>
      <c r="D2838" s="6" t="s">
        <v>2815</v>
      </c>
      <c r="E2838" s="12" t="s">
        <v>2816</v>
      </c>
    </row>
    <row r="2839">
      <c r="A2839" s="4" t="s">
        <v>2866</v>
      </c>
      <c r="B2839" s="5" t="str">
        <f>IFERROR(__xludf.DUMMYFUNCTION("IF(A2839="""","""",INDEX(SPLIT(A2839,"" ""),COUNTA(SPLIT(A2839,"" ""))))"),"Merano")</f>
        <v>Merano</v>
      </c>
      <c r="C2839" s="6"/>
      <c r="D2839" s="6" t="s">
        <v>2815</v>
      </c>
      <c r="E2839" s="12" t="s">
        <v>2816</v>
      </c>
    </row>
    <row r="2840">
      <c r="A2840" s="4" t="s">
        <v>2867</v>
      </c>
      <c r="B2840" s="5" t="str">
        <f>IFERROR(__xludf.DUMMYFUNCTION("IF(A2840="""","""",INDEX(SPLIT(A2840,"" ""),COUNTA(SPLIT(A2840,"" ""))))"),"MonguelfoTesido")</f>
        <v>MonguelfoTesido</v>
      </c>
      <c r="C2840" s="6"/>
      <c r="D2840" s="6" t="s">
        <v>2815</v>
      </c>
      <c r="E2840" s="12" t="s">
        <v>2816</v>
      </c>
    </row>
    <row r="2841">
      <c r="A2841" s="4" t="s">
        <v>2868</v>
      </c>
      <c r="B2841" s="5" t="str">
        <f>IFERROR(__xludf.DUMMYFUNCTION("IF(A2841="""","""",INDEX(SPLIT(A2841,"" ""),COUNTA(SPLIT(A2841,"" ""))))"),"Montagna")</f>
        <v>Montagna</v>
      </c>
      <c r="C2841" s="6"/>
      <c r="D2841" s="6" t="s">
        <v>2815</v>
      </c>
      <c r="E2841" s="12" t="s">
        <v>2816</v>
      </c>
    </row>
    <row r="2842">
      <c r="A2842" s="4" t="s">
        <v>2869</v>
      </c>
      <c r="B2842" s="5" t="str">
        <f>IFERROR(__xludf.DUMMYFUNCTION("IF(A2842="""","""",INDEX(SPLIT(A2842,"" ""),COUNTA(SPLIT(A2842,"" ""))))"),"Passiria")</f>
        <v>Passiria</v>
      </c>
      <c r="C2842" s="6"/>
      <c r="D2842" s="6" t="s">
        <v>2815</v>
      </c>
      <c r="E2842" s="12" t="s">
        <v>2816</v>
      </c>
    </row>
    <row r="2843">
      <c r="A2843" s="4" t="s">
        <v>2870</v>
      </c>
      <c r="B2843" s="5" t="str">
        <f>IFERROR(__xludf.DUMMYFUNCTION("IF(A2843="""","""",INDEX(SPLIT(A2843,"" ""),COUNTA(SPLIT(A2843,"" ""))))"),"Nalles")</f>
        <v>Nalles</v>
      </c>
      <c r="C2843" s="6"/>
      <c r="D2843" s="6" t="s">
        <v>2815</v>
      </c>
      <c r="E2843" s="12" t="s">
        <v>2816</v>
      </c>
    </row>
    <row r="2844">
      <c r="A2844" s="4" t="s">
        <v>2871</v>
      </c>
      <c r="B2844" s="5" t="str">
        <f>IFERROR(__xludf.DUMMYFUNCTION("IF(A2844="""","""",INDEX(SPLIT(A2844,"" ""),COUNTA(SPLIT(A2844,"" ""))))"),"Naturno")</f>
        <v>Naturno</v>
      </c>
      <c r="C2844" s="6"/>
      <c r="D2844" s="6" t="s">
        <v>2815</v>
      </c>
      <c r="E2844" s="12" t="s">
        <v>2816</v>
      </c>
    </row>
    <row r="2845">
      <c r="A2845" s="4" t="s">
        <v>2872</v>
      </c>
      <c r="B2845" s="5" t="str">
        <f>IFERROR(__xludf.DUMMYFUNCTION("IF(A2845="""","""",INDEX(SPLIT(A2845,"" ""),COUNTA(SPLIT(A2845,"" ""))))"),"NazSciaves")</f>
        <v>NazSciaves</v>
      </c>
      <c r="C2845" s="6"/>
      <c r="D2845" s="6" t="s">
        <v>2815</v>
      </c>
      <c r="E2845" s="12" t="s">
        <v>2816</v>
      </c>
    </row>
    <row r="2846">
      <c r="A2846" s="4" t="s">
        <v>2873</v>
      </c>
      <c r="B2846" s="5" t="str">
        <f>IFERROR(__xludf.DUMMYFUNCTION("IF(A2846="""","""",INDEX(SPLIT(A2846,"" ""),COUNTA(SPLIT(A2846,"" ""))))"),"Levante")</f>
        <v>Levante</v>
      </c>
      <c r="C2846" s="6"/>
      <c r="D2846" s="6" t="s">
        <v>2815</v>
      </c>
      <c r="E2846" s="12" t="s">
        <v>2816</v>
      </c>
    </row>
    <row r="2847">
      <c r="A2847" s="4" t="s">
        <v>2874</v>
      </c>
      <c r="B2847" s="5" t="str">
        <f>IFERROR(__xludf.DUMMYFUNCTION("IF(A2847="""","""",INDEX(SPLIT(A2847,"" ""),COUNTA(SPLIT(A2847,"" ""))))"),"Ponente")</f>
        <v>Ponente</v>
      </c>
      <c r="C2847" s="6"/>
      <c r="D2847" s="6" t="s">
        <v>2815</v>
      </c>
      <c r="E2847" s="12" t="s">
        <v>2816</v>
      </c>
    </row>
    <row r="2848">
      <c r="A2848" s="4" t="s">
        <v>2875</v>
      </c>
      <c r="B2848" s="5" t="str">
        <f>IFERROR(__xludf.DUMMYFUNCTION("IF(A2848="""","""",INDEX(SPLIT(A2848,"" ""),COUNTA(SPLIT(A2848,"" ""))))"),"Ora")</f>
        <v>Ora</v>
      </c>
      <c r="C2848" s="6"/>
      <c r="D2848" s="6" t="s">
        <v>2815</v>
      </c>
      <c r="E2848" s="12" t="s">
        <v>2816</v>
      </c>
    </row>
    <row r="2849">
      <c r="A2849" s="4" t="s">
        <v>2876</v>
      </c>
      <c r="B2849" s="5" t="str">
        <f>IFERROR(__xludf.DUMMYFUNCTION("IF(A2849="""","""",INDEX(SPLIT(A2849,"" ""),COUNTA(SPLIT(A2849,"" ""))))"),"Ortisei")</f>
        <v>Ortisei</v>
      </c>
      <c r="C2849" s="6"/>
      <c r="D2849" s="6" t="s">
        <v>2815</v>
      </c>
      <c r="E2849" s="12" t="s">
        <v>2816</v>
      </c>
    </row>
    <row r="2850">
      <c r="A2850" s="4" t="s">
        <v>2877</v>
      </c>
      <c r="B2850" s="5" t="str">
        <f>IFERROR(__xludf.DUMMYFUNCTION("IF(A2850="""","""",INDEX(SPLIT(A2850,"" ""),COUNTA(SPLIT(A2850,"" ""))))"),"Parcines")</f>
        <v>Parcines</v>
      </c>
      <c r="C2850" s="6"/>
      <c r="D2850" s="6" t="s">
        <v>2815</v>
      </c>
      <c r="E2850" s="12" t="s">
        <v>2816</v>
      </c>
    </row>
    <row r="2851">
      <c r="A2851" s="4" t="s">
        <v>2878</v>
      </c>
      <c r="B2851" s="5" t="str">
        <f>IFERROR(__xludf.DUMMYFUNCTION("IF(A2851="""","""",INDEX(SPLIT(A2851,"" ""),COUNTA(SPLIT(A2851,"" ""))))"),"Perca")</f>
        <v>Perca</v>
      </c>
      <c r="C2851" s="6"/>
      <c r="D2851" s="6" t="s">
        <v>2815</v>
      </c>
      <c r="E2851" s="12" t="s">
        <v>2816</v>
      </c>
    </row>
    <row r="2852">
      <c r="A2852" s="4" t="s">
        <v>2879</v>
      </c>
      <c r="B2852" s="5" t="str">
        <f>IFERROR(__xludf.DUMMYFUNCTION("IF(A2852="""","""",INDEX(SPLIT(A2852,"" ""),COUNTA(SPLIT(A2852,"" ""))))"),"Plaus")</f>
        <v>Plaus</v>
      </c>
      <c r="C2852" s="6"/>
      <c r="D2852" s="6" t="s">
        <v>2815</v>
      </c>
      <c r="E2852" s="12" t="s">
        <v>2816</v>
      </c>
    </row>
    <row r="2853">
      <c r="A2853" s="4" t="s">
        <v>2880</v>
      </c>
      <c r="B2853" s="5" t="str">
        <f>IFERROR(__xludf.DUMMYFUNCTION("IF(A2853="""","""",INDEX(SPLIT(A2853,"" ""),COUNTA(SPLIT(A2853,"" ""))))"),"Gardena")</f>
        <v>Gardena</v>
      </c>
      <c r="C2853" s="6"/>
      <c r="D2853" s="6" t="s">
        <v>2815</v>
      </c>
      <c r="E2853" s="12" t="s">
        <v>2816</v>
      </c>
    </row>
    <row r="2854">
      <c r="A2854" s="4" t="s">
        <v>2881</v>
      </c>
      <c r="B2854" s="5" t="str">
        <f>IFERROR(__xludf.DUMMYFUNCTION("IF(A2854="""","""",INDEX(SPLIT(A2854,"" ""),COUNTA(SPLIT(A2854,"" ""))))"),"Postal")</f>
        <v>Postal</v>
      </c>
      <c r="C2854" s="6"/>
      <c r="D2854" s="6" t="s">
        <v>2815</v>
      </c>
      <c r="E2854" s="12" t="s">
        <v>2816</v>
      </c>
    </row>
    <row r="2855">
      <c r="A2855" s="4" t="s">
        <v>2882</v>
      </c>
      <c r="B2855" s="5" t="str">
        <f>IFERROR(__xludf.DUMMYFUNCTION("IF(A2855="""","""",INDEX(SPLIT(A2855,"" ""),COUNTA(SPLIT(A2855,"" ""))))"),"Stelvio")</f>
        <v>Stelvio</v>
      </c>
      <c r="C2855" s="6"/>
      <c r="D2855" s="6" t="s">
        <v>2815</v>
      </c>
      <c r="E2855" s="12" t="s">
        <v>2816</v>
      </c>
    </row>
    <row r="2856">
      <c r="A2856" s="4" t="s">
        <v>2883</v>
      </c>
      <c r="B2856" s="5" t="str">
        <f>IFERROR(__xludf.DUMMYFUNCTION("IF(A2856="""","""",INDEX(SPLIT(A2856,"" ""),COUNTA(SPLIT(A2856,"" ""))))"),"Predoi")</f>
        <v>Predoi</v>
      </c>
      <c r="C2856" s="6"/>
      <c r="D2856" s="6" t="s">
        <v>2815</v>
      </c>
      <c r="E2856" s="12" t="s">
        <v>2816</v>
      </c>
    </row>
    <row r="2857">
      <c r="A2857" s="4" t="s">
        <v>2884</v>
      </c>
      <c r="B2857" s="5" t="str">
        <f>IFERROR(__xludf.DUMMYFUNCTION("IF(A2857="""","""",INDEX(SPLIT(A2857,"" ""),COUNTA(SPLIT(A2857,"" ""))))"),"Proves")</f>
        <v>Proves</v>
      </c>
      <c r="C2857" s="6"/>
      <c r="D2857" s="6" t="s">
        <v>2815</v>
      </c>
      <c r="E2857" s="12" t="s">
        <v>2816</v>
      </c>
    </row>
    <row r="2858">
      <c r="A2858" s="4" t="s">
        <v>2885</v>
      </c>
      <c r="B2858" s="5" t="str">
        <f>IFERROR(__xludf.DUMMYFUNCTION("IF(A2858="""","""",INDEX(SPLIT(A2858,"" ""),COUNTA(SPLIT(A2858,"" ""))))"),"Racines")</f>
        <v>Racines</v>
      </c>
      <c r="C2858" s="6"/>
      <c r="D2858" s="6" t="s">
        <v>2815</v>
      </c>
      <c r="E2858" s="12" t="s">
        <v>2816</v>
      </c>
    </row>
    <row r="2859">
      <c r="A2859" s="4" t="s">
        <v>2886</v>
      </c>
      <c r="B2859" s="5" t="str">
        <f>IFERROR(__xludf.DUMMYFUNCTION("IF(A2859="""","""",INDEX(SPLIT(A2859,"" ""),COUNTA(SPLIT(A2859,"" ""))))"),"RasunAnterselva")</f>
        <v>RasunAnterselva</v>
      </c>
      <c r="C2859" s="6"/>
      <c r="D2859" s="6" t="s">
        <v>2815</v>
      </c>
      <c r="E2859" s="12" t="s">
        <v>2816</v>
      </c>
    </row>
    <row r="2860">
      <c r="A2860" s="4" t="s">
        <v>2887</v>
      </c>
      <c r="B2860" s="5" t="str">
        <f>IFERROR(__xludf.DUMMYFUNCTION("IF(A2860="""","""",INDEX(SPLIT(A2860,"" ""),COUNTA(SPLIT(A2860,"" ""))))"),"Renon")</f>
        <v>Renon</v>
      </c>
      <c r="C2860" s="6"/>
      <c r="D2860" s="6" t="s">
        <v>2815</v>
      </c>
      <c r="E2860" s="12" t="s">
        <v>2816</v>
      </c>
    </row>
    <row r="2861">
      <c r="A2861" s="4" t="s">
        <v>2888</v>
      </c>
      <c r="B2861" s="5" t="str">
        <f>IFERROR(__xludf.DUMMYFUNCTION("IF(A2861="""","""",INDEX(SPLIT(A2861,"" ""),COUNTA(SPLIT(A2861,"" ""))))"),"Rifiano")</f>
        <v>Rifiano</v>
      </c>
      <c r="C2861" s="6"/>
      <c r="D2861" s="6" t="s">
        <v>2815</v>
      </c>
      <c r="E2861" s="12" t="s">
        <v>2816</v>
      </c>
    </row>
    <row r="2862">
      <c r="A2862" s="4" t="s">
        <v>2889</v>
      </c>
      <c r="B2862" s="5" t="str">
        <f>IFERROR(__xludf.DUMMYFUNCTION("IF(A2862="""","""",INDEX(SPLIT(A2862,"" ""),COUNTA(SPLIT(A2862,"" ""))))"),"Pusteria")</f>
        <v>Pusteria</v>
      </c>
      <c r="C2862" s="6"/>
      <c r="D2862" s="6" t="s">
        <v>2815</v>
      </c>
      <c r="E2862" s="12" t="s">
        <v>2816</v>
      </c>
    </row>
    <row r="2863">
      <c r="A2863" s="4" t="s">
        <v>2890</v>
      </c>
      <c r="B2863" s="5" t="str">
        <f>IFERROR(__xludf.DUMMYFUNCTION("IF(A2863="""","""",INDEX(SPLIT(A2863,"" ""),COUNTA(SPLIT(A2863,"" ""))))"),"Rodengo")</f>
        <v>Rodengo</v>
      </c>
      <c r="C2863" s="6"/>
      <c r="D2863" s="6" t="s">
        <v>2815</v>
      </c>
      <c r="E2863" s="12" t="s">
        <v>2816</v>
      </c>
    </row>
    <row r="2864">
      <c r="A2864" s="4" t="s">
        <v>2891</v>
      </c>
      <c r="B2864" s="5" t="str">
        <f>IFERROR(__xludf.DUMMYFUNCTION("IF(A2864="""","""",INDEX(SPLIT(A2864,"" ""),COUNTA(SPLIT(A2864,"" ""))))"),"Salorno")</f>
        <v>Salorno</v>
      </c>
      <c r="C2864" s="6"/>
      <c r="D2864" s="6" t="s">
        <v>2815</v>
      </c>
      <c r="E2864" s="12" t="s">
        <v>2816</v>
      </c>
    </row>
    <row r="2865">
      <c r="A2865" s="4" t="s">
        <v>2892</v>
      </c>
      <c r="B2865" s="5" t="str">
        <f>IFERROR(__xludf.DUMMYFUNCTION("IF(A2865="""","""",INDEX(SPLIT(A2865,"" ""),COUNTA(SPLIT(A2865,"" ""))))"),"Candido")</f>
        <v>Candido</v>
      </c>
      <c r="C2865" s="6"/>
      <c r="D2865" s="6" t="s">
        <v>2815</v>
      </c>
      <c r="E2865" s="12" t="s">
        <v>2816</v>
      </c>
    </row>
    <row r="2866">
      <c r="A2866" s="4" t="s">
        <v>2893</v>
      </c>
      <c r="B2866" s="5" t="str">
        <f>IFERROR(__xludf.DUMMYFUNCTION("IF(A2866="""","""",INDEX(SPLIT(A2866,"" ""),COUNTA(SPLIT(A2866,"" ""))))"),"Atesino")</f>
        <v>Atesino</v>
      </c>
      <c r="C2866" s="6"/>
      <c r="D2866" s="6" t="s">
        <v>2815</v>
      </c>
      <c r="E2866" s="12" t="s">
        <v>2816</v>
      </c>
    </row>
    <row r="2867">
      <c r="A2867" s="4" t="s">
        <v>2894</v>
      </c>
      <c r="B2867" s="5" t="str">
        <f>IFERROR(__xludf.DUMMYFUNCTION("IF(A2867="""","""",INDEX(SPLIT(A2867,"" ""),COUNTA(SPLIT(A2867,"" ""))))"),"Passiria")</f>
        <v>Passiria</v>
      </c>
      <c r="C2867" s="6"/>
      <c r="D2867" s="6" t="s">
        <v>2815</v>
      </c>
      <c r="E2867" s="12" t="s">
        <v>2816</v>
      </c>
    </row>
    <row r="2868">
      <c r="A2868" s="4" t="s">
        <v>2895</v>
      </c>
      <c r="B2868" s="5" t="str">
        <f>IFERROR(__xludf.DUMMYFUNCTION("IF(A2868="""","""",INDEX(SPLIT(A2868,"" ""),COUNTA(SPLIT(A2868,"" ""))))"),"Sebato")</f>
        <v>Sebato</v>
      </c>
      <c r="C2868" s="6"/>
      <c r="D2868" s="6" t="s">
        <v>2815</v>
      </c>
      <c r="E2868" s="12" t="s">
        <v>2816</v>
      </c>
    </row>
    <row r="2869">
      <c r="A2869" s="4" t="s">
        <v>2896</v>
      </c>
      <c r="B2869" s="5" t="str">
        <f>IFERROR(__xludf.DUMMYFUNCTION("IF(A2869="""","""",INDEX(SPLIT(A2869,"" ""),COUNTA(SPLIT(A2869,"" ""))))"),"Badia")</f>
        <v>Badia</v>
      </c>
      <c r="C2869" s="6"/>
      <c r="D2869" s="6" t="s">
        <v>2815</v>
      </c>
      <c r="E2869" s="12" t="s">
        <v>2816</v>
      </c>
    </row>
    <row r="2870">
      <c r="A2870" s="4" t="s">
        <v>2897</v>
      </c>
      <c r="B2870" s="5" t="str">
        <f>IFERROR(__xludf.DUMMYFUNCTION("IF(A2870="""","""",INDEX(SPLIT(A2870,"" ""),COUNTA(SPLIT(A2870,"" ""))))"),"Passiria")</f>
        <v>Passiria</v>
      </c>
      <c r="C2870" s="6"/>
      <c r="D2870" s="6" t="s">
        <v>2815</v>
      </c>
      <c r="E2870" s="12" t="s">
        <v>2816</v>
      </c>
    </row>
    <row r="2871">
      <c r="A2871" s="4" t="s">
        <v>2898</v>
      </c>
      <c r="B2871" s="5" t="str">
        <f>IFERROR(__xludf.DUMMYFUNCTION("IF(A2871="""","""",INDEX(SPLIT(A2871,"" ""),COUNTA(SPLIT(A2871,"" ""))))"),"Pancrazio")</f>
        <v>Pancrazio</v>
      </c>
      <c r="C2871" s="6"/>
      <c r="D2871" s="6" t="s">
        <v>2815</v>
      </c>
      <c r="E2871" s="12" t="s">
        <v>2816</v>
      </c>
    </row>
    <row r="2872">
      <c r="A2872" s="4" t="s">
        <v>2899</v>
      </c>
      <c r="B2872" s="5" t="str">
        <f>IFERROR(__xludf.DUMMYFUNCTION("IF(A2872="""","""",INDEX(SPLIT(A2872,"" ""),COUNTA(SPLIT(A2872,"" ""))))"),"Valgardena")</f>
        <v>Valgardena</v>
      </c>
      <c r="C2872" s="6"/>
      <c r="D2872" s="6" t="s">
        <v>2815</v>
      </c>
      <c r="E2872" s="12" t="s">
        <v>2816</v>
      </c>
    </row>
    <row r="2873">
      <c r="A2873" s="4" t="s">
        <v>2900</v>
      </c>
      <c r="B2873" s="5" t="str">
        <f>IFERROR(__xludf.DUMMYFUNCTION("IF(A2873="""","""",INDEX(SPLIT(A2873,"" ""),COUNTA(SPLIT(A2873,"" ""))))"),"Sarentino")</f>
        <v>Sarentino</v>
      </c>
      <c r="C2873" s="6"/>
      <c r="D2873" s="6" t="s">
        <v>2815</v>
      </c>
      <c r="E2873" s="12" t="s">
        <v>2816</v>
      </c>
    </row>
    <row r="2874">
      <c r="A2874" s="4" t="s">
        <v>2901</v>
      </c>
      <c r="B2874" s="5" t="str">
        <f>IFERROR(__xludf.DUMMYFUNCTION("IF(A2874="""","""",INDEX(SPLIT(A2874,"" ""),COUNTA(SPLIT(A2874,"" ""))))"),"Scena")</f>
        <v>Scena</v>
      </c>
      <c r="C2874" s="6"/>
      <c r="D2874" s="6" t="s">
        <v>2815</v>
      </c>
      <c r="E2874" s="12" t="s">
        <v>2816</v>
      </c>
    </row>
    <row r="2875">
      <c r="A2875" s="4" t="s">
        <v>2902</v>
      </c>
      <c r="B2875" s="5" t="str">
        <f>IFERROR(__xludf.DUMMYFUNCTION("IF(A2875="""","""",INDEX(SPLIT(A2875,"" ""),COUNTA(SPLIT(A2875,"" ""))))"),"Molini")</f>
        <v>Molini</v>
      </c>
      <c r="C2875" s="6"/>
      <c r="D2875" s="6" t="s">
        <v>2815</v>
      </c>
      <c r="E2875" s="12" t="s">
        <v>2816</v>
      </c>
    </row>
    <row r="2876">
      <c r="A2876" s="4" t="s">
        <v>2903</v>
      </c>
      <c r="B2876" s="5" t="str">
        <f>IFERROR(__xludf.DUMMYFUNCTION("IF(A2876="""","""",INDEX(SPLIT(A2876,"" ""),COUNTA(SPLIT(A2876,"" ""))))"),"Gardena")</f>
        <v>Gardena</v>
      </c>
      <c r="C2876" s="6"/>
      <c r="D2876" s="6" t="s">
        <v>2815</v>
      </c>
      <c r="E2876" s="12" t="s">
        <v>2816</v>
      </c>
    </row>
    <row r="2877">
      <c r="A2877" s="4" t="s">
        <v>2904</v>
      </c>
      <c r="B2877" s="5" t="str">
        <f>IFERROR(__xludf.DUMMYFUNCTION("IF(A2877="""","""",INDEX(SPLIT(A2877,"" ""),COUNTA(SPLIT(A2877,"" ""))))"),"Senales")</f>
        <v>Senales</v>
      </c>
      <c r="C2877" s="6"/>
      <c r="D2877" s="6" t="s">
        <v>2815</v>
      </c>
      <c r="E2877" s="12" t="s">
        <v>2816</v>
      </c>
    </row>
    <row r="2878">
      <c r="A2878" s="4" t="s">
        <v>2905</v>
      </c>
      <c r="B2878" s="5" t="str">
        <f>IFERROR(__xludf.DUMMYFUNCTION("IF(A2878="""","""",INDEX(SPLIT(A2878,"" ""),COUNTA(SPLIT(A2878,"" ""))))"),"Sesto")</f>
        <v>Sesto</v>
      </c>
      <c r="C2878" s="6"/>
      <c r="D2878" s="6" t="s">
        <v>2815</v>
      </c>
      <c r="E2878" s="12" t="s">
        <v>2816</v>
      </c>
    </row>
    <row r="2879">
      <c r="A2879" s="4" t="s">
        <v>2906</v>
      </c>
      <c r="B2879" s="5" t="str">
        <f>IFERROR(__xludf.DUMMYFUNCTION("IF(A2879="""","""",INDEX(SPLIT(A2879,"" ""),COUNTA(SPLIT(A2879,"" ""))))"),"Silandro")</f>
        <v>Silandro</v>
      </c>
      <c r="C2879" s="6"/>
      <c r="D2879" s="6" t="s">
        <v>2815</v>
      </c>
      <c r="E2879" s="12" t="s">
        <v>2816</v>
      </c>
    </row>
    <row r="2880">
      <c r="A2880" s="4" t="s">
        <v>2907</v>
      </c>
      <c r="B2880" s="5" t="str">
        <f>IFERROR(__xludf.DUMMYFUNCTION("IF(A2880="""","""",INDEX(SPLIT(A2880,"" ""),COUNTA(SPLIT(A2880,"" ""))))"),"Sluderno")</f>
        <v>Sluderno</v>
      </c>
      <c r="C2880" s="6"/>
      <c r="D2880" s="6" t="s">
        <v>2815</v>
      </c>
      <c r="E2880" s="12" t="s">
        <v>2816</v>
      </c>
    </row>
    <row r="2881">
      <c r="A2881" s="4" t="s">
        <v>2908</v>
      </c>
      <c r="B2881" s="5" t="str">
        <f>IFERROR(__xludf.DUMMYFUNCTION("IF(A2881="""","""",INDEX(SPLIT(A2881,"" ""),COUNTA(SPLIT(A2881,"" ""))))"),"Stelvio")</f>
        <v>Stelvio</v>
      </c>
      <c r="C2881" s="6"/>
      <c r="D2881" s="6" t="s">
        <v>2815</v>
      </c>
      <c r="E2881" s="12" t="s">
        <v>2816</v>
      </c>
    </row>
    <row r="2882">
      <c r="A2882" s="4" t="s">
        <v>2909</v>
      </c>
      <c r="B2882" s="5" t="str">
        <f>IFERROR(__xludf.DUMMYFUNCTION("IF(A2882="""","""",INDEX(SPLIT(A2882,"" ""),COUNTA(SPLIT(A2882,"" ""))))"),"Terento")</f>
        <v>Terento</v>
      </c>
      <c r="C2882" s="6"/>
      <c r="D2882" s="6" t="s">
        <v>2815</v>
      </c>
      <c r="E2882" s="12" t="s">
        <v>2816</v>
      </c>
    </row>
    <row r="2883">
      <c r="A2883" s="4" t="s">
        <v>2910</v>
      </c>
      <c r="B2883" s="5" t="str">
        <f>IFERROR(__xludf.DUMMYFUNCTION("IF(A2883="""","""",INDEX(SPLIT(A2883,"" ""),COUNTA(SPLIT(A2883,"" ""))))"),"Terlano")</f>
        <v>Terlano</v>
      </c>
      <c r="C2883" s="6"/>
      <c r="D2883" s="6" t="s">
        <v>2815</v>
      </c>
      <c r="E2883" s="12" t="s">
        <v>2816</v>
      </c>
    </row>
    <row r="2884">
      <c r="A2884" s="4" t="s">
        <v>2911</v>
      </c>
      <c r="B2884" s="5" t="str">
        <f>IFERROR(__xludf.DUMMYFUNCTION("IF(A2884="""","""",INDEX(SPLIT(A2884,"" ""),COUNTA(SPLIT(A2884,"" ""))))"),"vino")</f>
        <v>vino</v>
      </c>
      <c r="C2884" s="6"/>
      <c r="D2884" s="6" t="s">
        <v>2815</v>
      </c>
      <c r="E2884" s="12" t="s">
        <v>2816</v>
      </c>
    </row>
    <row r="2885">
      <c r="A2885" s="4" t="s">
        <v>2912</v>
      </c>
      <c r="B2885" s="5" t="str">
        <f>IFERROR(__xludf.DUMMYFUNCTION("IF(A2885="""","""",INDEX(SPLIT(A2885,"" ""),COUNTA(SPLIT(A2885,"" ""))))"),"Tesimo")</f>
        <v>Tesimo</v>
      </c>
      <c r="C2885" s="6"/>
      <c r="D2885" s="6" t="s">
        <v>2815</v>
      </c>
      <c r="E2885" s="12" t="s">
        <v>2816</v>
      </c>
    </row>
    <row r="2886">
      <c r="A2886" s="4" t="s">
        <v>2913</v>
      </c>
      <c r="B2886" s="5" t="str">
        <f>IFERROR(__xludf.DUMMYFUNCTION("IF(A2886="""","""",INDEX(SPLIT(A2886,"" ""),COUNTA(SPLIT(A2886,"" ""))))"),"Tires")</f>
        <v>Tires</v>
      </c>
      <c r="C2886" s="6"/>
      <c r="D2886" s="6" t="s">
        <v>2815</v>
      </c>
      <c r="E2886" s="12" t="s">
        <v>2816</v>
      </c>
    </row>
    <row r="2887">
      <c r="A2887" s="4" t="s">
        <v>2914</v>
      </c>
      <c r="B2887" s="5" t="str">
        <f>IFERROR(__xludf.DUMMYFUNCTION("IF(A2887="""","""",INDEX(SPLIT(A2887,"" ""),COUNTA(SPLIT(A2887,"" ""))))"),"Tirolo")</f>
        <v>Tirolo</v>
      </c>
      <c r="C2887" s="6"/>
      <c r="D2887" s="6" t="s">
        <v>2815</v>
      </c>
      <c r="E2887" s="12" t="s">
        <v>2816</v>
      </c>
    </row>
    <row r="2888">
      <c r="A2888" s="4" t="s">
        <v>2915</v>
      </c>
      <c r="B2888" s="5" t="str">
        <f>IFERROR(__xludf.DUMMYFUNCTION("IF(A2888="""","""",INDEX(SPLIT(A2888,"" ""),COUNTA(SPLIT(A2888,"" ""))))"),"naturale")</f>
        <v>naturale</v>
      </c>
      <c r="C2888" s="6"/>
      <c r="D2888" s="6" t="s">
        <v>2815</v>
      </c>
      <c r="E2888" s="12" t="s">
        <v>2816</v>
      </c>
    </row>
    <row r="2889">
      <c r="A2889" s="4" t="s">
        <v>2916</v>
      </c>
      <c r="B2889" s="5" t="str">
        <f>IFERROR(__xludf.DUMMYFUNCTION("IF(A2889="""","""",INDEX(SPLIT(A2889,"" ""),COUNTA(SPLIT(A2889,"" ""))))"),"Tubre")</f>
        <v>Tubre</v>
      </c>
      <c r="C2889" s="6"/>
      <c r="D2889" s="6" t="s">
        <v>2815</v>
      </c>
      <c r="E2889" s="12" t="s">
        <v>2816</v>
      </c>
    </row>
    <row r="2890">
      <c r="A2890" s="4" t="s">
        <v>2917</v>
      </c>
      <c r="B2890" s="5" t="str">
        <f>IFERROR(__xludf.DUMMYFUNCTION("IF(A2890="""","""",INDEX(SPLIT(A2890,"" ""),COUNTA(SPLIT(A2890,"" ""))))"),"Ultimo")</f>
        <v>Ultimo</v>
      </c>
      <c r="C2890" s="6"/>
      <c r="D2890" s="6" t="s">
        <v>2815</v>
      </c>
      <c r="E2890" s="12" t="s">
        <v>2816</v>
      </c>
    </row>
    <row r="2891">
      <c r="A2891" s="4" t="s">
        <v>2918</v>
      </c>
      <c r="B2891" s="5" t="str">
        <f>IFERROR(__xludf.DUMMYFUNCTION("IF(A2891="""","""",INDEX(SPLIT(A2891,"" ""),COUNTA(SPLIT(A2891,"" ""))))"),"Vadena")</f>
        <v>Vadena</v>
      </c>
      <c r="C2891" s="6"/>
      <c r="D2891" s="6" t="s">
        <v>2815</v>
      </c>
      <c r="E2891" s="12" t="s">
        <v>2816</v>
      </c>
    </row>
    <row r="2892">
      <c r="A2892" s="4" t="s">
        <v>2919</v>
      </c>
      <c r="B2892" s="5" t="str">
        <f>IFERROR(__xludf.DUMMYFUNCTION("IF(A2892="""","""",INDEX(SPLIT(A2892,"" ""),COUNTA(SPLIT(A2892,"" ""))))"),"Valdaora")</f>
        <v>Valdaora</v>
      </c>
      <c r="C2892" s="6"/>
      <c r="D2892" s="6" t="s">
        <v>2815</v>
      </c>
      <c r="E2892" s="12" t="s">
        <v>2816</v>
      </c>
    </row>
    <row r="2893">
      <c r="A2893" s="4" t="s">
        <v>2920</v>
      </c>
      <c r="B2893" s="5" t="str">
        <f>IFERROR(__xludf.DUMMYFUNCTION("IF(A2893="""","""",INDEX(SPLIT(A2893,"" ""),COUNTA(SPLIT(A2893,"" ""))))"),"Vizze")</f>
        <v>Vizze</v>
      </c>
      <c r="C2893" s="6"/>
      <c r="D2893" s="6" t="s">
        <v>2815</v>
      </c>
      <c r="E2893" s="12" t="s">
        <v>2816</v>
      </c>
    </row>
    <row r="2894">
      <c r="A2894" s="4" t="s">
        <v>2921</v>
      </c>
      <c r="B2894" s="5" t="str">
        <f>IFERROR(__xludf.DUMMYFUNCTION("IF(A2894="""","""",INDEX(SPLIT(A2894,"" ""),COUNTA(SPLIT(A2894,"" ""))))"),"Aurina")</f>
        <v>Aurina</v>
      </c>
      <c r="C2894" s="6"/>
      <c r="D2894" s="6" t="s">
        <v>2815</v>
      </c>
      <c r="E2894" s="12" t="s">
        <v>2816</v>
      </c>
    </row>
    <row r="2895">
      <c r="A2895" s="4" t="s">
        <v>2922</v>
      </c>
      <c r="B2895" s="5" t="str">
        <f>IFERROR(__xludf.DUMMYFUNCTION("IF(A2895="""","""",INDEX(SPLIT(A2895,"" ""),COUNTA(SPLIT(A2895,"" ""))))"),"Casies")</f>
        <v>Casies</v>
      </c>
      <c r="C2895" s="6"/>
      <c r="D2895" s="6" t="s">
        <v>2815</v>
      </c>
      <c r="E2895" s="12" t="s">
        <v>2816</v>
      </c>
    </row>
    <row r="2896">
      <c r="A2896" s="4" t="s">
        <v>2923</v>
      </c>
      <c r="B2896" s="5" t="str">
        <f>IFERROR(__xludf.DUMMYFUNCTION("IF(A2896="""","""",INDEX(SPLIT(A2896,"" ""),COUNTA(SPLIT(A2896,"" ""))))"),"Vandoies")</f>
        <v>Vandoies</v>
      </c>
      <c r="C2896" s="6"/>
      <c r="D2896" s="6" t="s">
        <v>2815</v>
      </c>
      <c r="E2896" s="12" t="s">
        <v>2816</v>
      </c>
    </row>
    <row r="2897">
      <c r="A2897" s="4" t="s">
        <v>2924</v>
      </c>
      <c r="B2897" s="5" t="str">
        <f>IFERROR(__xludf.DUMMYFUNCTION("IF(A2897="""","""",INDEX(SPLIT(A2897,"" ""),COUNTA(SPLIT(A2897,"" ""))))"),"Varna")</f>
        <v>Varna</v>
      </c>
      <c r="C2897" s="6"/>
      <c r="D2897" s="6" t="s">
        <v>2815</v>
      </c>
      <c r="E2897" s="12" t="s">
        <v>2816</v>
      </c>
    </row>
    <row r="2898">
      <c r="A2898" s="4" t="s">
        <v>2925</v>
      </c>
      <c r="B2898" s="5" t="str">
        <f>IFERROR(__xludf.DUMMYFUNCTION("IF(A2898="""","""",INDEX(SPLIT(A2898,"" ""),COUNTA(SPLIT(A2898,"" ""))))"),"Verano")</f>
        <v>Verano</v>
      </c>
      <c r="C2898" s="6"/>
      <c r="D2898" s="6" t="s">
        <v>2815</v>
      </c>
      <c r="E2898" s="12" t="s">
        <v>2816</v>
      </c>
    </row>
    <row r="2899">
      <c r="A2899" s="4" t="s">
        <v>2926</v>
      </c>
      <c r="B2899" s="5" t="str">
        <f>IFERROR(__xludf.DUMMYFUNCTION("IF(A2899="""","""",INDEX(SPLIT(A2899,"" ""),COUNTA(SPLIT(A2899,"" ""))))"),"Villabassa")</f>
        <v>Villabassa</v>
      </c>
      <c r="C2899" s="6"/>
      <c r="D2899" s="6" t="s">
        <v>2815</v>
      </c>
      <c r="E2899" s="12" t="s">
        <v>2816</v>
      </c>
    </row>
    <row r="2900">
      <c r="A2900" s="4" t="s">
        <v>2927</v>
      </c>
      <c r="B2900" s="5" t="str">
        <f>IFERROR(__xludf.DUMMYFUNCTION("IF(A2900="""","""",INDEX(SPLIT(A2900,"" ""),COUNTA(SPLIT(A2900,"" ""))))"),"Villandro")</f>
        <v>Villandro</v>
      </c>
      <c r="C2900" s="6"/>
      <c r="D2900" s="6" t="s">
        <v>2815</v>
      </c>
      <c r="E2900" s="12" t="s">
        <v>2816</v>
      </c>
    </row>
    <row r="2901">
      <c r="A2901" s="4" t="s">
        <v>2928</v>
      </c>
      <c r="B2901" s="5" t="str">
        <f>IFERROR(__xludf.DUMMYFUNCTION("IF(A2901="""","""",INDEX(SPLIT(A2901,"" ""),COUNTA(SPLIT(A2901,"" ""))))"),"Vipiteno")</f>
        <v>Vipiteno</v>
      </c>
      <c r="C2901" s="6"/>
      <c r="D2901" s="6" t="s">
        <v>2815</v>
      </c>
      <c r="E2901" s="12" t="s">
        <v>2816</v>
      </c>
    </row>
    <row r="2902">
      <c r="A2902" s="4" t="s">
        <v>2929</v>
      </c>
      <c r="B2902" s="5" t="str">
        <f>IFERROR(__xludf.DUMMYFUNCTION("IF(A2902="""","""",INDEX(SPLIT(A2902,"" ""),COUNTA(SPLIT(A2902,"" ""))))"),"Velturno")</f>
        <v>Velturno</v>
      </c>
      <c r="C2902" s="6"/>
      <c r="D2902" s="6" t="s">
        <v>2815</v>
      </c>
      <c r="E2902" s="12" t="s">
        <v>2816</v>
      </c>
    </row>
    <row r="2903">
      <c r="A2903" s="4" t="s">
        <v>2930</v>
      </c>
      <c r="B2903" s="5" t="str">
        <f>IFERROR(__xludf.DUMMYFUNCTION("IF(A2903="""","""",INDEX(SPLIT(A2903,"" ""),COUNTA(SPLIT(A2903,"" ""))))"),"Valle")</f>
        <v>Valle</v>
      </c>
      <c r="C2903" s="6"/>
      <c r="D2903" s="6" t="s">
        <v>2815</v>
      </c>
      <c r="E2903" s="12" t="s">
        <v>2816</v>
      </c>
    </row>
    <row r="2904">
      <c r="A2904" s="4" t="s">
        <v>2931</v>
      </c>
      <c r="B2904" s="5" t="str">
        <f>IFERROR(__xludf.DUMMYFUNCTION("IF(A2904="""","""",INDEX(SPLIT(A2904,"" ""),COUNTA(SPLIT(A2904,"" ""))))"),"Felice")</f>
        <v>Felice</v>
      </c>
      <c r="C2904" s="6"/>
      <c r="D2904" s="6" t="s">
        <v>2815</v>
      </c>
      <c r="E2904" s="12" t="s">
        <v>2816</v>
      </c>
    </row>
    <row r="2905">
      <c r="A2905" s="4" t="s">
        <v>2932</v>
      </c>
      <c r="B2905" s="5" t="str">
        <f>IFERROR(__xludf.DUMMYFUNCTION("IF(A2905="""","""",INDEX(SPLIT(A2905,"" ""),COUNTA(SPLIT(A2905,"" ""))))"),"Ala")</f>
        <v>Ala</v>
      </c>
      <c r="C2905" s="6"/>
      <c r="D2905" s="6" t="s">
        <v>2933</v>
      </c>
      <c r="E2905" s="12" t="s">
        <v>2934</v>
      </c>
    </row>
    <row r="2906">
      <c r="A2906" s="4" t="s">
        <v>2935</v>
      </c>
      <c r="B2906" s="5" t="str">
        <f>IFERROR(__xludf.DUMMYFUNCTION("IF(A2906="""","""",INDEX(SPLIT(A2906,"" ""),COUNTA(SPLIT(A2906,"" ""))))"),"Albiano")</f>
        <v>Albiano</v>
      </c>
      <c r="C2906" s="6"/>
      <c r="D2906" s="6" t="s">
        <v>2933</v>
      </c>
      <c r="E2906" s="12" t="s">
        <v>2934</v>
      </c>
    </row>
    <row r="2907">
      <c r="A2907" s="4" t="s">
        <v>2936</v>
      </c>
      <c r="B2907" s="5" t="str">
        <f>IFERROR(__xludf.DUMMYFUNCTION("IF(A2907="""","""",INDEX(SPLIT(A2907,"" ""),COUNTA(SPLIT(A2907,"" ""))))"),"Aldeno")</f>
        <v>Aldeno</v>
      </c>
      <c r="C2907" s="6"/>
      <c r="D2907" s="6" t="s">
        <v>2933</v>
      </c>
      <c r="E2907" s="12" t="s">
        <v>2934</v>
      </c>
    </row>
    <row r="2908">
      <c r="A2908" s="4" t="s">
        <v>2937</v>
      </c>
      <c r="B2908" s="5" t="str">
        <f>IFERROR(__xludf.DUMMYFUNCTION("IF(A2908="""","""",INDEX(SPLIT(A2908,"" ""),COUNTA(SPLIT(A2908,"" ""))))"),"Andalo")</f>
        <v>Andalo</v>
      </c>
      <c r="C2908" s="6"/>
      <c r="D2908" s="6" t="s">
        <v>2933</v>
      </c>
      <c r="E2908" s="12" t="s">
        <v>2934</v>
      </c>
    </row>
    <row r="2909">
      <c r="A2909" s="4" t="s">
        <v>2938</v>
      </c>
      <c r="B2909" s="5" t="str">
        <f>IFERROR(__xludf.DUMMYFUNCTION("IF(A2909="""","""",INDEX(SPLIT(A2909,"" ""),COUNTA(SPLIT(A2909,"" ""))))"),"Arco")</f>
        <v>Arco</v>
      </c>
      <c r="C2909" s="6"/>
      <c r="D2909" s="6" t="s">
        <v>2933</v>
      </c>
      <c r="E2909" s="12" t="s">
        <v>2934</v>
      </c>
    </row>
    <row r="2910">
      <c r="A2910" s="4" t="s">
        <v>2939</v>
      </c>
      <c r="B2910" s="5" t="str">
        <f>IFERROR(__xludf.DUMMYFUNCTION("IF(A2910="""","""",INDEX(SPLIT(A2910,"" ""),COUNTA(SPLIT(A2910,"" ""))))"),"Avio")</f>
        <v>Avio</v>
      </c>
      <c r="C2910" s="6"/>
      <c r="D2910" s="6" t="s">
        <v>2933</v>
      </c>
      <c r="E2910" s="12" t="s">
        <v>2934</v>
      </c>
    </row>
    <row r="2911">
      <c r="A2911" s="4" t="s">
        <v>2940</v>
      </c>
      <c r="B2911" s="5" t="str">
        <f>IFERROR(__xludf.DUMMYFUNCTION("IF(A2911="""","""",INDEX(SPLIT(A2911,"" ""),COUNTA(SPLIT(A2911,"" ""))))"),"Pinè")</f>
        <v>Pinè</v>
      </c>
      <c r="C2911" s="6"/>
      <c r="D2911" s="6" t="s">
        <v>2933</v>
      </c>
      <c r="E2911" s="12" t="s">
        <v>2934</v>
      </c>
    </row>
    <row r="2912">
      <c r="A2912" s="4" t="s">
        <v>2941</v>
      </c>
      <c r="B2912" s="5" t="str">
        <f>IFERROR(__xludf.DUMMYFUNCTION("IF(A2912="""","""",INDEX(SPLIT(A2912,"" ""),COUNTA(SPLIT(A2912,"" ""))))"),"Bedollo")</f>
        <v>Bedollo</v>
      </c>
      <c r="C2912" s="6"/>
      <c r="D2912" s="6" t="s">
        <v>2933</v>
      </c>
      <c r="E2912" s="12" t="s">
        <v>2934</v>
      </c>
    </row>
    <row r="2913">
      <c r="A2913" s="4" t="s">
        <v>2942</v>
      </c>
      <c r="B2913" s="5" t="str">
        <f>IFERROR(__xludf.DUMMYFUNCTION("IF(A2913="""","""",INDEX(SPLIT(A2913,"" ""),COUNTA(SPLIT(A2913,"" ""))))"),"Besenello")</f>
        <v>Besenello</v>
      </c>
      <c r="C2913" s="6"/>
      <c r="D2913" s="6" t="s">
        <v>2933</v>
      </c>
      <c r="E2913" s="12" t="s">
        <v>2934</v>
      </c>
    </row>
    <row r="2914">
      <c r="A2914" s="4" t="s">
        <v>2943</v>
      </c>
      <c r="B2914" s="5" t="str">
        <f>IFERROR(__xludf.DUMMYFUNCTION("IF(A2914="""","""",INDEX(SPLIT(A2914,"" ""),COUNTA(SPLIT(A2914,"" ""))))"),"Bieno")</f>
        <v>Bieno</v>
      </c>
      <c r="C2914" s="6"/>
      <c r="D2914" s="6" t="s">
        <v>2933</v>
      </c>
      <c r="E2914" s="12" t="s">
        <v>2934</v>
      </c>
    </row>
    <row r="2915">
      <c r="A2915" s="4" t="s">
        <v>2944</v>
      </c>
      <c r="B2915" s="5" t="str">
        <f>IFERROR(__xludf.DUMMYFUNCTION("IF(A2915="""","""",INDEX(SPLIT(A2915,"" ""),COUNTA(SPLIT(A2915,"" ""))))"),"Superiore")</f>
        <v>Superiore</v>
      </c>
      <c r="C2915" s="6"/>
      <c r="D2915" s="6" t="s">
        <v>2933</v>
      </c>
      <c r="E2915" s="12" t="s">
        <v>2934</v>
      </c>
    </row>
    <row r="2916">
      <c r="A2916" s="4" t="s">
        <v>2945</v>
      </c>
      <c r="B2916" s="5" t="str">
        <f>IFERROR(__xludf.DUMMYFUNCTION("IF(A2916="""","""",INDEX(SPLIT(A2916,"" ""),COUNTA(SPLIT(A2916,"" ""))))"),"Bocenago")</f>
        <v>Bocenago</v>
      </c>
      <c r="C2916" s="6"/>
      <c r="D2916" s="6" t="s">
        <v>2933</v>
      </c>
      <c r="E2916" s="12" t="s">
        <v>2934</v>
      </c>
    </row>
    <row r="2917">
      <c r="A2917" s="4" t="s">
        <v>2946</v>
      </c>
      <c r="B2917" s="5" t="str">
        <f>IFERROR(__xludf.DUMMYFUNCTION("IF(A2917="""","""",INDEX(SPLIT(A2917,"" ""),COUNTA(SPLIT(A2917,"" ""))))"),"Bondone")</f>
        <v>Bondone</v>
      </c>
      <c r="C2917" s="6"/>
      <c r="D2917" s="6" t="s">
        <v>2933</v>
      </c>
      <c r="E2917" s="12" t="s">
        <v>2934</v>
      </c>
    </row>
    <row r="2918">
      <c r="A2918" s="4" t="s">
        <v>2947</v>
      </c>
      <c r="B2918" s="5" t="str">
        <f>IFERROR(__xludf.DUMMYFUNCTION("IF(A2918="""","""",INDEX(SPLIT(A2918,"" ""),COUNTA(SPLIT(A2918,"" ""))))"),"Valsugana")</f>
        <v>Valsugana</v>
      </c>
      <c r="C2918" s="6"/>
      <c r="D2918" s="6" t="s">
        <v>2933</v>
      </c>
      <c r="E2918" s="12" t="s">
        <v>2934</v>
      </c>
    </row>
    <row r="2919">
      <c r="A2919" s="4" t="s">
        <v>2948</v>
      </c>
      <c r="B2919" s="5" t="str">
        <f>IFERROR(__xludf.DUMMYFUNCTION("IF(A2919="""","""",INDEX(SPLIT(A2919,"" ""),COUNTA(SPLIT(A2919,"" ""))))"),"Brentonico")</f>
        <v>Brentonico</v>
      </c>
      <c r="C2919" s="6"/>
      <c r="D2919" s="6" t="s">
        <v>2933</v>
      </c>
      <c r="E2919" s="12" t="s">
        <v>2934</v>
      </c>
    </row>
    <row r="2920">
      <c r="A2920" s="4" t="s">
        <v>2949</v>
      </c>
      <c r="B2920" s="5" t="str">
        <f>IFERROR(__xludf.DUMMYFUNCTION("IF(A2920="""","""",INDEX(SPLIT(A2920,"" ""),COUNTA(SPLIT(A2920,"" ""))))"),"Bresimo")</f>
        <v>Bresimo</v>
      </c>
      <c r="C2920" s="6"/>
      <c r="D2920" s="6" t="s">
        <v>2933</v>
      </c>
      <c r="E2920" s="12" t="s">
        <v>2934</v>
      </c>
    </row>
    <row r="2921">
      <c r="A2921" s="4" t="s">
        <v>2950</v>
      </c>
      <c r="B2921" s="5" t="str">
        <f>IFERROR(__xludf.DUMMYFUNCTION("IF(A2921="""","""",INDEX(SPLIT(A2921,"" ""),COUNTA(SPLIT(A2921,"" ""))))"),"Brez")</f>
        <v>Brez</v>
      </c>
      <c r="C2921" s="6"/>
      <c r="D2921" s="6" t="s">
        <v>2933</v>
      </c>
      <c r="E2921" s="12" t="s">
        <v>2934</v>
      </c>
    </row>
    <row r="2922">
      <c r="A2922" s="4" t="s">
        <v>2951</v>
      </c>
      <c r="B2922" s="5" t="str">
        <f>IFERROR(__xludf.DUMMYFUNCTION("IF(A2922="""","""",INDEX(SPLIT(A2922,"" ""),COUNTA(SPLIT(A2922,"" ""))))"),"Terme")</f>
        <v>Terme</v>
      </c>
      <c r="C2922" s="6"/>
      <c r="D2922" s="6" t="s">
        <v>2933</v>
      </c>
      <c r="E2922" s="12" t="s">
        <v>2934</v>
      </c>
    </row>
    <row r="2923">
      <c r="A2923" s="4" t="s">
        <v>2952</v>
      </c>
      <c r="B2923" s="5" t="str">
        <f>IFERROR(__xludf.DUMMYFUNCTION("IF(A2923="""","""",INDEX(SPLIT(A2923,"" ""),COUNTA(SPLIT(A2923,"" ""))))"),"Cagnò")</f>
        <v>Cagnò</v>
      </c>
      <c r="C2923" s="6"/>
      <c r="D2923" s="6" t="s">
        <v>2933</v>
      </c>
      <c r="E2923" s="12" t="s">
        <v>2934</v>
      </c>
    </row>
    <row r="2924">
      <c r="A2924" s="4" t="s">
        <v>2953</v>
      </c>
      <c r="B2924" s="5" t="str">
        <f>IFERROR(__xludf.DUMMYFUNCTION("IF(A2924="""","""",INDEX(SPLIT(A2924,"" ""),COUNTA(SPLIT(A2924,"" ""))))"),"Lago")</f>
        <v>Lago</v>
      </c>
      <c r="C2924" s="6"/>
      <c r="D2924" s="6" t="s">
        <v>2933</v>
      </c>
      <c r="E2924" s="12" t="s">
        <v>2934</v>
      </c>
    </row>
    <row r="2925">
      <c r="A2925" s="4" t="s">
        <v>2954</v>
      </c>
      <c r="B2925" s="5" t="str">
        <f>IFERROR(__xludf.DUMMYFUNCTION("IF(A2925="""","""",INDEX(SPLIT(A2925,"" ""),COUNTA(SPLIT(A2925,"" ""))))"),"Caldes")</f>
        <v>Caldes</v>
      </c>
      <c r="C2925" s="6"/>
      <c r="D2925" s="6" t="s">
        <v>2933</v>
      </c>
      <c r="E2925" s="12" t="s">
        <v>2934</v>
      </c>
    </row>
    <row r="2926">
      <c r="A2926" s="4" t="s">
        <v>2955</v>
      </c>
      <c r="B2926" s="5" t="str">
        <f>IFERROR(__xludf.DUMMYFUNCTION("IF(A2926="""","""",INDEX(SPLIT(A2926,"" ""),COUNTA(SPLIT(A2926,"" ""))))"),"Caldonazzo")</f>
        <v>Caldonazzo</v>
      </c>
      <c r="C2926" s="6"/>
      <c r="D2926" s="6" t="s">
        <v>2933</v>
      </c>
      <c r="E2926" s="12" t="s">
        <v>2934</v>
      </c>
    </row>
    <row r="2927">
      <c r="A2927" s="4" t="s">
        <v>758</v>
      </c>
      <c r="B2927" s="5" t="str">
        <f>IFERROR(__xludf.DUMMYFUNCTION("IF(A2927="""","""",INDEX(SPLIT(A2927,"" ""),COUNTA(SPLIT(A2927,"" ""))))"),"Calliano")</f>
        <v>Calliano</v>
      </c>
      <c r="C2927" s="6"/>
      <c r="D2927" s="6" t="s">
        <v>2933</v>
      </c>
      <c r="E2927" s="12" t="s">
        <v>2934</v>
      </c>
    </row>
    <row r="2928">
      <c r="A2928" s="4" t="s">
        <v>2956</v>
      </c>
      <c r="B2928" s="5" t="str">
        <f>IFERROR(__xludf.DUMMYFUNCTION("IF(A2928="""","""",INDEX(SPLIT(A2928,"" ""),COUNTA(SPLIT(A2928,"" ""))))"),"Fassa")</f>
        <v>Fassa</v>
      </c>
      <c r="C2928" s="6"/>
      <c r="D2928" s="6" t="s">
        <v>2933</v>
      </c>
      <c r="E2928" s="12" t="s">
        <v>2934</v>
      </c>
    </row>
    <row r="2929">
      <c r="A2929" s="4" t="s">
        <v>2957</v>
      </c>
      <c r="B2929" s="5" t="str">
        <f>IFERROR(__xludf.DUMMYFUNCTION("IF(A2929="""","""",INDEX(SPLIT(A2929,"" ""),COUNTA(SPLIT(A2929,"" ""))))"),"Campodenno")</f>
        <v>Campodenno</v>
      </c>
      <c r="C2929" s="6"/>
      <c r="D2929" s="6" t="s">
        <v>2933</v>
      </c>
      <c r="E2929" s="12" t="s">
        <v>2934</v>
      </c>
    </row>
    <row r="2930">
      <c r="A2930" s="4" t="s">
        <v>2958</v>
      </c>
      <c r="B2930" s="5" t="str">
        <f>IFERROR(__xludf.DUMMYFUNCTION("IF(A2930="""","""",INDEX(SPLIT(A2930,"" ""),COUNTA(SPLIT(A2930,"" ""))))"),"Bovo")</f>
        <v>Bovo</v>
      </c>
      <c r="C2930" s="6"/>
      <c r="D2930" s="6" t="s">
        <v>2933</v>
      </c>
      <c r="E2930" s="12" t="s">
        <v>2934</v>
      </c>
    </row>
    <row r="2931">
      <c r="A2931" s="4" t="s">
        <v>2959</v>
      </c>
      <c r="B2931" s="5" t="str">
        <f>IFERROR(__xludf.DUMMYFUNCTION("IF(A2931="""","""",INDEX(SPLIT(A2931,"" ""),COUNTA(SPLIT(A2931,"" ""))))"),"Canazei")</f>
        <v>Canazei</v>
      </c>
      <c r="C2931" s="6"/>
      <c r="D2931" s="6" t="s">
        <v>2933</v>
      </c>
      <c r="E2931" s="12" t="s">
        <v>2934</v>
      </c>
    </row>
    <row r="2932">
      <c r="A2932" s="4" t="s">
        <v>2960</v>
      </c>
      <c r="B2932" s="5" t="str">
        <f>IFERROR(__xludf.DUMMYFUNCTION("IF(A2932="""","""",INDEX(SPLIT(A2932,"" ""),COUNTA(SPLIT(A2932,"" ""))))"),"Capriana")</f>
        <v>Capriana</v>
      </c>
      <c r="C2932" s="6"/>
      <c r="D2932" s="6" t="s">
        <v>2933</v>
      </c>
      <c r="E2932" s="12" t="s">
        <v>2934</v>
      </c>
    </row>
    <row r="2933">
      <c r="A2933" s="4" t="s">
        <v>2961</v>
      </c>
      <c r="B2933" s="5" t="str">
        <f>IFERROR(__xludf.DUMMYFUNCTION("IF(A2933="""","""",INDEX(SPLIT(A2933,"" ""),COUNTA(SPLIT(A2933,"" ""))))"),"Carano")</f>
        <v>Carano</v>
      </c>
      <c r="C2933" s="6"/>
      <c r="D2933" s="6" t="s">
        <v>2933</v>
      </c>
      <c r="E2933" s="12" t="s">
        <v>2934</v>
      </c>
    </row>
    <row r="2934">
      <c r="A2934" s="4" t="s">
        <v>2962</v>
      </c>
      <c r="B2934" s="5" t="str">
        <f>IFERROR(__xludf.DUMMYFUNCTION("IF(A2934="""","""",INDEX(SPLIT(A2934,"" ""),COUNTA(SPLIT(A2934,"" ""))))"),"Carisolo")</f>
        <v>Carisolo</v>
      </c>
      <c r="C2934" s="6"/>
      <c r="D2934" s="6" t="s">
        <v>2933</v>
      </c>
      <c r="E2934" s="12" t="s">
        <v>2934</v>
      </c>
    </row>
    <row r="2935">
      <c r="A2935" s="4" t="s">
        <v>2963</v>
      </c>
      <c r="B2935" s="5" t="str">
        <f>IFERROR(__xludf.DUMMYFUNCTION("IF(A2935="""","""",INDEX(SPLIT(A2935,"" ""),COUNTA(SPLIT(A2935,"" ""))))"),"Carzano")</f>
        <v>Carzano</v>
      </c>
      <c r="C2935" s="6"/>
      <c r="D2935" s="6" t="s">
        <v>2933</v>
      </c>
      <c r="E2935" s="12" t="s">
        <v>2934</v>
      </c>
    </row>
    <row r="2936">
      <c r="A2936" s="4" t="s">
        <v>2964</v>
      </c>
      <c r="B2936" s="5" t="str">
        <f>IFERROR(__xludf.DUMMYFUNCTION("IF(A2936="""","""",INDEX(SPLIT(A2936,"" ""),COUNTA(SPLIT(A2936,"" ""))))"),"Condino")</f>
        <v>Condino</v>
      </c>
      <c r="C2936" s="6"/>
      <c r="D2936" s="6" t="s">
        <v>2933</v>
      </c>
      <c r="E2936" s="12" t="s">
        <v>2934</v>
      </c>
    </row>
    <row r="2937">
      <c r="A2937" s="4" t="s">
        <v>2965</v>
      </c>
      <c r="B2937" s="5" t="str">
        <f>IFERROR(__xludf.DUMMYFUNCTION("IF(A2937="""","""",INDEX(SPLIT(A2937,"" ""),COUNTA(SPLIT(A2937,"" ""))))"),"Castelfondo")</f>
        <v>Castelfondo</v>
      </c>
      <c r="C2937" s="6"/>
      <c r="D2937" s="6" t="s">
        <v>2933</v>
      </c>
      <c r="E2937" s="12" t="s">
        <v>2934</v>
      </c>
    </row>
    <row r="2938">
      <c r="A2938" s="4" t="s">
        <v>2966</v>
      </c>
      <c r="B2938" s="5" t="str">
        <f>IFERROR(__xludf.DUMMYFUNCTION("IF(A2938="""","""",INDEX(SPLIT(A2938,"" ""),COUNTA(SPLIT(A2938,"" ""))))"),"Fiemme")</f>
        <v>Fiemme</v>
      </c>
      <c r="C2938" s="6"/>
      <c r="D2938" s="6" t="s">
        <v>2933</v>
      </c>
      <c r="E2938" s="12" t="s">
        <v>2934</v>
      </c>
    </row>
    <row r="2939">
      <c r="A2939" s="4" t="s">
        <v>2967</v>
      </c>
      <c r="B2939" s="5" t="str">
        <f>IFERROR(__xludf.DUMMYFUNCTION("IF(A2939="""","""",INDEX(SPLIT(A2939,"" ""),COUNTA(SPLIT(A2939,"" ""))))"),"Tesino")</f>
        <v>Tesino</v>
      </c>
      <c r="C2939" s="6"/>
      <c r="D2939" s="6" t="s">
        <v>2933</v>
      </c>
      <c r="E2939" s="12" t="s">
        <v>2934</v>
      </c>
    </row>
    <row r="2940">
      <c r="A2940" s="4" t="s">
        <v>2968</v>
      </c>
      <c r="B2940" s="5" t="str">
        <f>IFERROR(__xludf.DUMMYFUNCTION("IF(A2940="""","""",INDEX(SPLIT(A2940,"" ""),COUNTA(SPLIT(A2940,"" ""))))"),"Castelnuovo")</f>
        <v>Castelnuovo</v>
      </c>
      <c r="C2940" s="6"/>
      <c r="D2940" s="6" t="s">
        <v>2933</v>
      </c>
      <c r="E2940" s="12" t="s">
        <v>2934</v>
      </c>
    </row>
    <row r="2941">
      <c r="A2941" s="4" t="s">
        <v>2969</v>
      </c>
      <c r="B2941" s="5" t="str">
        <f>IFERROR(__xludf.DUMMYFUNCTION("IF(A2941="""","""",INDEX(SPLIT(A2941,"" ""),COUNTA(SPLIT(A2941,"" ""))))"),"Cavalese")</f>
        <v>Cavalese</v>
      </c>
      <c r="C2941" s="6"/>
      <c r="D2941" s="6" t="s">
        <v>2933</v>
      </c>
      <c r="E2941" s="12" t="s">
        <v>2934</v>
      </c>
    </row>
    <row r="2942">
      <c r="A2942" s="4" t="s">
        <v>2970</v>
      </c>
      <c r="B2942" s="5" t="str">
        <f>IFERROR(__xludf.DUMMYFUNCTION("IF(A2942="""","""",INDEX(SPLIT(A2942,"" ""),COUNTA(SPLIT(A2942,"" ""))))"),"Cavareno")</f>
        <v>Cavareno</v>
      </c>
      <c r="C2942" s="6"/>
      <c r="D2942" s="6" t="s">
        <v>2933</v>
      </c>
      <c r="E2942" s="12" t="s">
        <v>2934</v>
      </c>
    </row>
    <row r="2943">
      <c r="A2943" s="4" t="s">
        <v>2971</v>
      </c>
      <c r="B2943" s="5" t="str">
        <f>IFERROR(__xludf.DUMMYFUNCTION("IF(A2943="""","""",INDEX(SPLIT(A2943,"" ""),COUNTA(SPLIT(A2943,"" ""))))"),"Cavedago")</f>
        <v>Cavedago</v>
      </c>
      <c r="C2943" s="6"/>
      <c r="D2943" s="6" t="s">
        <v>2933</v>
      </c>
      <c r="E2943" s="12" t="s">
        <v>2934</v>
      </c>
    </row>
    <row r="2944">
      <c r="A2944" s="4" t="s">
        <v>2972</v>
      </c>
      <c r="B2944" s="5" t="str">
        <f>IFERROR(__xludf.DUMMYFUNCTION("IF(A2944="""","""",INDEX(SPLIT(A2944,"" ""),COUNTA(SPLIT(A2944,"" ""))))"),"Cavedine")</f>
        <v>Cavedine</v>
      </c>
      <c r="C2944" s="6"/>
      <c r="D2944" s="6" t="s">
        <v>2933</v>
      </c>
      <c r="E2944" s="12" t="s">
        <v>2934</v>
      </c>
    </row>
    <row r="2945">
      <c r="A2945" s="4" t="s">
        <v>2973</v>
      </c>
      <c r="B2945" s="5" t="str">
        <f>IFERROR(__xludf.DUMMYFUNCTION("IF(A2945="""","""",INDEX(SPLIT(A2945,"" ""),COUNTA(SPLIT(A2945,"" ""))))"),"Cavizzana")</f>
        <v>Cavizzana</v>
      </c>
      <c r="C2945" s="6"/>
      <c r="D2945" s="6" t="s">
        <v>2933</v>
      </c>
      <c r="E2945" s="12" t="s">
        <v>2934</v>
      </c>
    </row>
    <row r="2946">
      <c r="A2946" s="4" t="s">
        <v>2974</v>
      </c>
      <c r="B2946" s="5" t="str">
        <f>IFERROR(__xludf.DUMMYFUNCTION("IF(A2946="""","""",INDEX(SPLIT(A2946,"" ""),COUNTA(SPLIT(A2946,"" ""))))"),"Cimone")</f>
        <v>Cimone</v>
      </c>
      <c r="C2946" s="6"/>
      <c r="D2946" s="6" t="s">
        <v>2933</v>
      </c>
      <c r="E2946" s="12" t="s">
        <v>2934</v>
      </c>
    </row>
    <row r="2947">
      <c r="A2947" s="4" t="s">
        <v>2975</v>
      </c>
      <c r="B2947" s="5" t="str">
        <f>IFERROR(__xludf.DUMMYFUNCTION("IF(A2947="""","""",INDEX(SPLIT(A2947,"" ""),COUNTA(SPLIT(A2947,"" ""))))"),"Tesino")</f>
        <v>Tesino</v>
      </c>
      <c r="C2947" s="6"/>
      <c r="D2947" s="6" t="s">
        <v>2933</v>
      </c>
      <c r="E2947" s="12" t="s">
        <v>2934</v>
      </c>
    </row>
    <row r="2948">
      <c r="A2948" s="4" t="s">
        <v>2976</v>
      </c>
      <c r="B2948" s="5" t="str">
        <f>IFERROR(__xludf.DUMMYFUNCTION("IF(A2948="""","""",INDEX(SPLIT(A2948,"" ""),COUNTA(SPLIT(A2948,"" ""))))"),"Cis")</f>
        <v>Cis</v>
      </c>
      <c r="C2948" s="6"/>
      <c r="D2948" s="6" t="s">
        <v>2933</v>
      </c>
      <c r="E2948" s="12" t="s">
        <v>2934</v>
      </c>
    </row>
    <row r="2949">
      <c r="A2949" s="4" t="s">
        <v>2977</v>
      </c>
      <c r="B2949" s="5" t="str">
        <f>IFERROR(__xludf.DUMMYFUNCTION("IF(A2949="""","""",INDEX(SPLIT(A2949,"" ""),COUNTA(SPLIT(A2949,"" ""))))"),"Civezzano")</f>
        <v>Civezzano</v>
      </c>
      <c r="C2949" s="6"/>
      <c r="D2949" s="6" t="s">
        <v>2933</v>
      </c>
      <c r="E2949" s="12" t="s">
        <v>2934</v>
      </c>
    </row>
    <row r="2950">
      <c r="A2950" s="4" t="s">
        <v>2978</v>
      </c>
      <c r="B2950" s="5" t="str">
        <f>IFERROR(__xludf.DUMMYFUNCTION("IF(A2950="""","""",INDEX(SPLIT(A2950,"" ""),COUNTA(SPLIT(A2950,"" ""))))"),"Cles")</f>
        <v>Cles</v>
      </c>
      <c r="C2950" s="6"/>
      <c r="D2950" s="6" t="s">
        <v>2933</v>
      </c>
      <c r="E2950" s="12" t="s">
        <v>2934</v>
      </c>
    </row>
    <row r="2951">
      <c r="A2951" s="4" t="s">
        <v>2979</v>
      </c>
      <c r="B2951" s="5" t="str">
        <f>IFERROR(__xludf.DUMMYFUNCTION("IF(A2951="""","""",INDEX(SPLIT(A2951,"" ""),COUNTA(SPLIT(A2951,"" ""))))"),"Cloz")</f>
        <v>Cloz</v>
      </c>
      <c r="C2951" s="6"/>
      <c r="D2951" s="6" t="s">
        <v>2933</v>
      </c>
      <c r="E2951" s="12" t="s">
        <v>2934</v>
      </c>
    </row>
    <row r="2952">
      <c r="A2952" s="4" t="s">
        <v>2980</v>
      </c>
      <c r="B2952" s="5" t="str">
        <f>IFERROR(__xludf.DUMMYFUNCTION("IF(A2952="""","""",INDEX(SPLIT(A2952,"" ""),COUNTA(SPLIT(A2952,"" ""))))"),"Commezzadura")</f>
        <v>Commezzadura</v>
      </c>
      <c r="C2952" s="6"/>
      <c r="D2952" s="6" t="s">
        <v>2933</v>
      </c>
      <c r="E2952" s="12" t="s">
        <v>2934</v>
      </c>
    </row>
    <row r="2953">
      <c r="A2953" s="4" t="s">
        <v>2981</v>
      </c>
      <c r="B2953" s="5" t="str">
        <f>IFERROR(__xludf.DUMMYFUNCTION("IF(A2953="""","""",INDEX(SPLIT(A2953,"" ""),COUNTA(SPLIT(A2953,"" ""))))"),"Croviana")</f>
        <v>Croviana</v>
      </c>
      <c r="C2953" s="6"/>
      <c r="D2953" s="6" t="s">
        <v>2933</v>
      </c>
      <c r="E2953" s="12" t="s">
        <v>2934</v>
      </c>
    </row>
    <row r="2954">
      <c r="A2954" s="4" t="s">
        <v>2982</v>
      </c>
      <c r="B2954" s="5" t="str">
        <f>IFERROR(__xludf.DUMMYFUNCTION("IF(A2954="""","""",INDEX(SPLIT(A2954,"" ""),COUNTA(SPLIT(A2954,"" ""))))"),"Daiano")</f>
        <v>Daiano</v>
      </c>
      <c r="C2954" s="6"/>
      <c r="D2954" s="6" t="s">
        <v>2933</v>
      </c>
      <c r="E2954" s="12" t="s">
        <v>2934</v>
      </c>
    </row>
    <row r="2955">
      <c r="A2955" s="4" t="s">
        <v>2983</v>
      </c>
      <c r="B2955" s="5" t="str">
        <f>IFERROR(__xludf.DUMMYFUNCTION("IF(A2955="""","""",INDEX(SPLIT(A2955,"" ""),COUNTA(SPLIT(A2955,"" ""))))"),"Dambel")</f>
        <v>Dambel</v>
      </c>
      <c r="C2955" s="6"/>
      <c r="D2955" s="6" t="s">
        <v>2933</v>
      </c>
      <c r="E2955" s="12" t="s">
        <v>2934</v>
      </c>
    </row>
    <row r="2956">
      <c r="A2956" s="4" t="s">
        <v>2984</v>
      </c>
      <c r="B2956" s="5" t="str">
        <f>IFERROR(__xludf.DUMMYFUNCTION("IF(A2956="""","""",INDEX(SPLIT(A2956,"" ""),COUNTA(SPLIT(A2956,"" ""))))"),"Denno")</f>
        <v>Denno</v>
      </c>
      <c r="C2956" s="6"/>
      <c r="D2956" s="6" t="s">
        <v>2933</v>
      </c>
      <c r="E2956" s="12" t="s">
        <v>2934</v>
      </c>
    </row>
    <row r="2957">
      <c r="A2957" s="4" t="s">
        <v>2985</v>
      </c>
      <c r="B2957" s="5" t="str">
        <f>IFERROR(__xludf.DUMMYFUNCTION("IF(A2957="""","""",INDEX(SPLIT(A2957,"" ""),COUNTA(SPLIT(A2957,"" ""))))"),"Drena")</f>
        <v>Drena</v>
      </c>
      <c r="C2957" s="6"/>
      <c r="D2957" s="6" t="s">
        <v>2933</v>
      </c>
      <c r="E2957" s="12" t="s">
        <v>2934</v>
      </c>
    </row>
    <row r="2958">
      <c r="A2958" s="4" t="s">
        <v>2986</v>
      </c>
      <c r="B2958" s="5" t="str">
        <f>IFERROR(__xludf.DUMMYFUNCTION("IF(A2958="""","""",INDEX(SPLIT(A2958,"" ""),COUNTA(SPLIT(A2958,"" ""))))"),"Dro")</f>
        <v>Dro</v>
      </c>
      <c r="C2958" s="6"/>
      <c r="D2958" s="6" t="s">
        <v>2933</v>
      </c>
      <c r="E2958" s="12" t="s">
        <v>2934</v>
      </c>
    </row>
    <row r="2959">
      <c r="A2959" s="4" t="s">
        <v>2987</v>
      </c>
      <c r="B2959" s="5" t="str">
        <f>IFERROR(__xludf.DUMMYFUNCTION("IF(A2959="""","""",INDEX(SPLIT(A2959,"" ""),COUNTA(SPLIT(A2959,"" ""))))"),"Faedo")</f>
        <v>Faedo</v>
      </c>
      <c r="C2959" s="6"/>
      <c r="D2959" s="6" t="s">
        <v>2933</v>
      </c>
      <c r="E2959" s="12" t="s">
        <v>2934</v>
      </c>
    </row>
    <row r="2960">
      <c r="A2960" s="4" t="s">
        <v>2988</v>
      </c>
      <c r="B2960" s="5" t="str">
        <f>IFERROR(__xludf.DUMMYFUNCTION("IF(A2960="""","""",INDEX(SPLIT(A2960,"" ""),COUNTA(SPLIT(A2960,"" ""))))"),"Paganella")</f>
        <v>Paganella</v>
      </c>
      <c r="C2960" s="6"/>
      <c r="D2960" s="6" t="s">
        <v>2933</v>
      </c>
      <c r="E2960" s="12" t="s">
        <v>2934</v>
      </c>
    </row>
    <row r="2961">
      <c r="A2961" s="4" t="s">
        <v>2989</v>
      </c>
      <c r="B2961" s="5" t="str">
        <f>IFERROR(__xludf.DUMMYFUNCTION("IF(A2961="""","""",INDEX(SPLIT(A2961,"" ""),COUNTA(SPLIT(A2961,"" ""))))"),"Fiavè")</f>
        <v>Fiavè</v>
      </c>
      <c r="C2961" s="6"/>
      <c r="D2961" s="6" t="s">
        <v>2933</v>
      </c>
      <c r="E2961" s="12" t="s">
        <v>2934</v>
      </c>
    </row>
    <row r="2962">
      <c r="A2962" s="4" t="s">
        <v>2990</v>
      </c>
      <c r="B2962" s="5" t="str">
        <f>IFERROR(__xludf.DUMMYFUNCTION("IF(A2962="""","""",INDEX(SPLIT(A2962,"" ""),COUNTA(SPLIT(A2962,"" ""))))"),"Fierozzo")</f>
        <v>Fierozzo</v>
      </c>
      <c r="C2962" s="6"/>
      <c r="D2962" s="6" t="s">
        <v>2933</v>
      </c>
      <c r="E2962" s="12" t="s">
        <v>2934</v>
      </c>
    </row>
    <row r="2963">
      <c r="A2963" s="4" t="s">
        <v>2991</v>
      </c>
      <c r="B2963" s="5" t="str">
        <f>IFERROR(__xludf.DUMMYFUNCTION("IF(A2963="""","""",INDEX(SPLIT(A2963,"" ""),COUNTA(SPLIT(A2963,"" ""))))"),"Folgaria")</f>
        <v>Folgaria</v>
      </c>
      <c r="C2963" s="6"/>
      <c r="D2963" s="6" t="s">
        <v>2933</v>
      </c>
      <c r="E2963" s="12" t="s">
        <v>2934</v>
      </c>
    </row>
    <row r="2964">
      <c r="A2964" s="4" t="s">
        <v>2992</v>
      </c>
      <c r="B2964" s="5" t="str">
        <f>IFERROR(__xludf.DUMMYFUNCTION("IF(A2964="""","""",INDEX(SPLIT(A2964,"" ""),COUNTA(SPLIT(A2964,"" ""))))"),"Fondo")</f>
        <v>Fondo</v>
      </c>
      <c r="C2964" s="6"/>
      <c r="D2964" s="6" t="s">
        <v>2933</v>
      </c>
      <c r="E2964" s="12" t="s">
        <v>2934</v>
      </c>
    </row>
    <row r="2965">
      <c r="A2965" s="4" t="s">
        <v>2993</v>
      </c>
      <c r="B2965" s="5" t="str">
        <f>IFERROR(__xludf.DUMMYFUNCTION("IF(A2965="""","""",INDEX(SPLIT(A2965,"" ""),COUNTA(SPLIT(A2965,"" ""))))"),"Fornace")</f>
        <v>Fornace</v>
      </c>
      <c r="C2965" s="6"/>
      <c r="D2965" s="6" t="s">
        <v>2933</v>
      </c>
      <c r="E2965" s="12" t="s">
        <v>2934</v>
      </c>
    </row>
    <row r="2966">
      <c r="A2966" s="4" t="s">
        <v>2994</v>
      </c>
      <c r="B2966" s="5" t="str">
        <f>IFERROR(__xludf.DUMMYFUNCTION("IF(A2966="""","""",INDEX(SPLIT(A2966,"" ""),COUNTA(SPLIT(A2966,"" ""))))"),"Frassilongo")</f>
        <v>Frassilongo</v>
      </c>
      <c r="C2966" s="6"/>
      <c r="D2966" s="6" t="s">
        <v>2933</v>
      </c>
      <c r="E2966" s="12" t="s">
        <v>2934</v>
      </c>
    </row>
    <row r="2967">
      <c r="A2967" s="4" t="s">
        <v>2995</v>
      </c>
      <c r="B2967" s="5" t="str">
        <f>IFERROR(__xludf.DUMMYFUNCTION("IF(A2967="""","""",INDEX(SPLIT(A2967,"" ""),COUNTA(SPLIT(A2967,"" ""))))"),"Terme")</f>
        <v>Terme</v>
      </c>
      <c r="C2967" s="6"/>
      <c r="D2967" s="6" t="s">
        <v>2933</v>
      </c>
      <c r="E2967" s="12" t="s">
        <v>2934</v>
      </c>
    </row>
    <row r="2968">
      <c r="A2968" s="4" t="s">
        <v>2996</v>
      </c>
      <c r="B2968" s="5" t="str">
        <f>IFERROR(__xludf.DUMMYFUNCTION("IF(A2968="""","""",INDEX(SPLIT(A2968,"" ""),COUNTA(SPLIT(A2968,"" ""))))"),"Giovo")</f>
        <v>Giovo</v>
      </c>
      <c r="C2968" s="6"/>
      <c r="D2968" s="6" t="s">
        <v>2933</v>
      </c>
      <c r="E2968" s="12" t="s">
        <v>2934</v>
      </c>
    </row>
    <row r="2969">
      <c r="A2969" s="4" t="s">
        <v>2997</v>
      </c>
      <c r="B2969" s="5" t="str">
        <f>IFERROR(__xludf.DUMMYFUNCTION("IF(A2969="""","""",INDEX(SPLIT(A2969,"" ""),COUNTA(SPLIT(A2969,"" ""))))"),"Giustino")</f>
        <v>Giustino</v>
      </c>
      <c r="C2969" s="6"/>
      <c r="D2969" s="6" t="s">
        <v>2933</v>
      </c>
      <c r="E2969" s="12" t="s">
        <v>2934</v>
      </c>
    </row>
    <row r="2970">
      <c r="A2970" s="4" t="s">
        <v>2998</v>
      </c>
      <c r="B2970" s="5" t="str">
        <f>IFERROR(__xludf.DUMMYFUNCTION("IF(A2970="""","""",INDEX(SPLIT(A2970,"" ""),COUNTA(SPLIT(A2970,"" ""))))"),"Grigno")</f>
        <v>Grigno</v>
      </c>
      <c r="C2970" s="6"/>
      <c r="D2970" s="6" t="s">
        <v>2933</v>
      </c>
      <c r="E2970" s="12" t="s">
        <v>2934</v>
      </c>
    </row>
    <row r="2971">
      <c r="A2971" s="4" t="s">
        <v>2999</v>
      </c>
      <c r="B2971" s="5" t="str">
        <f>IFERROR(__xludf.DUMMYFUNCTION("IF(A2971="""","""",INDEX(SPLIT(A2971,"" ""),COUNTA(SPLIT(A2971,"" ""))))"),"Imer")</f>
        <v>Imer</v>
      </c>
      <c r="C2971" s="6"/>
      <c r="D2971" s="6" t="s">
        <v>2933</v>
      </c>
      <c r="E2971" s="12" t="s">
        <v>2934</v>
      </c>
    </row>
    <row r="2972">
      <c r="A2972" s="4" t="s">
        <v>3000</v>
      </c>
      <c r="B2972" s="5" t="str">
        <f>IFERROR(__xludf.DUMMYFUNCTION("IF(A2972="""","""",INDEX(SPLIT(A2972,"" ""),COUNTA(SPLIT(A2972,"" ""))))"),"Isera")</f>
        <v>Isera</v>
      </c>
      <c r="C2972" s="6"/>
      <c r="D2972" s="6" t="s">
        <v>2933</v>
      </c>
      <c r="E2972" s="12" t="s">
        <v>2934</v>
      </c>
    </row>
    <row r="2973">
      <c r="A2973" s="4" t="s">
        <v>3001</v>
      </c>
      <c r="B2973" s="5" t="str">
        <f>IFERROR(__xludf.DUMMYFUNCTION("IF(A2973="""","""",INDEX(SPLIT(A2973,"" ""),COUNTA(SPLIT(A2973,"" ""))))"),"Lavarone")</f>
        <v>Lavarone</v>
      </c>
      <c r="C2973" s="6"/>
      <c r="D2973" s="6" t="s">
        <v>2933</v>
      </c>
      <c r="E2973" s="12" t="s">
        <v>2934</v>
      </c>
    </row>
    <row r="2974">
      <c r="A2974" s="4" t="s">
        <v>3002</v>
      </c>
      <c r="B2974" s="5" t="str">
        <f>IFERROR(__xludf.DUMMYFUNCTION("IF(A2974="""","""",INDEX(SPLIT(A2974,"" ""),COUNTA(SPLIT(A2974,"" ""))))"),"Lavis")</f>
        <v>Lavis</v>
      </c>
      <c r="C2974" s="6"/>
      <c r="D2974" s="6" t="s">
        <v>2933</v>
      </c>
      <c r="E2974" s="12" t="s">
        <v>2934</v>
      </c>
    </row>
    <row r="2975">
      <c r="A2975" s="4" t="s">
        <v>3003</v>
      </c>
      <c r="B2975" s="5" t="str">
        <f>IFERROR(__xludf.DUMMYFUNCTION("IF(A2975="""","""",INDEX(SPLIT(A2975,"" ""),COUNTA(SPLIT(A2975,"" ""))))"),"Terme")</f>
        <v>Terme</v>
      </c>
      <c r="C2975" s="6"/>
      <c r="D2975" s="6" t="s">
        <v>2933</v>
      </c>
      <c r="E2975" s="12" t="s">
        <v>2934</v>
      </c>
    </row>
    <row r="2976">
      <c r="A2976" s="4" t="s">
        <v>1503</v>
      </c>
      <c r="B2976" s="5" t="str">
        <f>IFERROR(__xludf.DUMMYFUNCTION("IF(A2976="""","""",INDEX(SPLIT(A2976,"" ""),COUNTA(SPLIT(A2976,"" ""))))"),"Livo")</f>
        <v>Livo</v>
      </c>
      <c r="C2976" s="6"/>
      <c r="D2976" s="6" t="s">
        <v>2933</v>
      </c>
      <c r="E2976" s="12" t="s">
        <v>2934</v>
      </c>
    </row>
    <row r="2977">
      <c r="A2977" s="4" t="s">
        <v>3004</v>
      </c>
      <c r="B2977" s="5" t="str">
        <f>IFERROR(__xludf.DUMMYFUNCTION("IF(A2977="""","""",INDEX(SPLIT(A2977,"" ""),COUNTA(SPLIT(A2977,"" ""))))"),"LonaLases")</f>
        <v>LonaLases</v>
      </c>
      <c r="C2977" s="6"/>
      <c r="D2977" s="6" t="s">
        <v>2933</v>
      </c>
      <c r="E2977" s="12" t="s">
        <v>2934</v>
      </c>
    </row>
    <row r="2978">
      <c r="A2978" s="4" t="s">
        <v>3005</v>
      </c>
      <c r="B2978" s="5" t="str">
        <f>IFERROR(__xludf.DUMMYFUNCTION("IF(A2978="""","""",INDEX(SPLIT(A2978,"" ""),COUNTA(SPLIT(A2978,"" ""))))"),"Luserna")</f>
        <v>Luserna</v>
      </c>
      <c r="C2978" s="6"/>
      <c r="D2978" s="6" t="s">
        <v>2933</v>
      </c>
      <c r="E2978" s="12" t="s">
        <v>2934</v>
      </c>
    </row>
    <row r="2979">
      <c r="A2979" s="4" t="s">
        <v>3006</v>
      </c>
      <c r="B2979" s="5" t="str">
        <f>IFERROR(__xludf.DUMMYFUNCTION("IF(A2979="""","""",INDEX(SPLIT(A2979,"" ""),COUNTA(SPLIT(A2979,"" ""))))"),"Malé")</f>
        <v>Malé</v>
      </c>
      <c r="C2979" s="6"/>
      <c r="D2979" s="6" t="s">
        <v>2933</v>
      </c>
      <c r="E2979" s="12" t="s">
        <v>2934</v>
      </c>
    </row>
    <row r="2980">
      <c r="A2980" s="4" t="s">
        <v>3007</v>
      </c>
      <c r="B2980" s="5" t="str">
        <f>IFERROR(__xludf.DUMMYFUNCTION("IF(A2980="""","""",INDEX(SPLIT(A2980,"" ""),COUNTA(SPLIT(A2980,"" ""))))"),"Malosco")</f>
        <v>Malosco</v>
      </c>
      <c r="C2980" s="6"/>
      <c r="D2980" s="6" t="s">
        <v>2933</v>
      </c>
      <c r="E2980" s="12" t="s">
        <v>2934</v>
      </c>
    </row>
    <row r="2981">
      <c r="A2981" s="4" t="s">
        <v>3008</v>
      </c>
      <c r="B2981" s="5" t="str">
        <f>IFERROR(__xludf.DUMMYFUNCTION("IF(A2981="""","""",INDEX(SPLIT(A2981,"" ""),COUNTA(SPLIT(A2981,"" ""))))"),"Massimeno")</f>
        <v>Massimeno</v>
      </c>
      <c r="C2981" s="6"/>
      <c r="D2981" s="6" t="s">
        <v>2933</v>
      </c>
      <c r="E2981" s="12" t="s">
        <v>2934</v>
      </c>
    </row>
    <row r="2982">
      <c r="A2982" s="4" t="s">
        <v>3009</v>
      </c>
      <c r="B2982" s="5" t="str">
        <f>IFERROR(__xludf.DUMMYFUNCTION("IF(A2982="""","""",INDEX(SPLIT(A2982,"" ""),COUNTA(SPLIT(A2982,"" ""))))"),"Mazzin")</f>
        <v>Mazzin</v>
      </c>
      <c r="C2982" s="6"/>
      <c r="D2982" s="6" t="s">
        <v>2933</v>
      </c>
      <c r="E2982" s="12" t="s">
        <v>2934</v>
      </c>
    </row>
    <row r="2983">
      <c r="A2983" s="4" t="s">
        <v>3010</v>
      </c>
      <c r="B2983" s="5" t="str">
        <f>IFERROR(__xludf.DUMMYFUNCTION("IF(A2983="""","""",INDEX(SPLIT(A2983,"" ""),COUNTA(SPLIT(A2983,"" ""))))"),"Mezzana")</f>
        <v>Mezzana</v>
      </c>
      <c r="C2983" s="6"/>
      <c r="D2983" s="6" t="s">
        <v>2933</v>
      </c>
      <c r="E2983" s="12" t="s">
        <v>2934</v>
      </c>
    </row>
    <row r="2984">
      <c r="A2984" s="4" t="s">
        <v>3011</v>
      </c>
      <c r="B2984" s="5" t="str">
        <f>IFERROR(__xludf.DUMMYFUNCTION("IF(A2984="""","""",INDEX(SPLIT(A2984,"" ""),COUNTA(SPLIT(A2984,"" ""))))"),"Mezzano")</f>
        <v>Mezzano</v>
      </c>
      <c r="C2984" s="6"/>
      <c r="D2984" s="6" t="s">
        <v>2933</v>
      </c>
      <c r="E2984" s="12" t="s">
        <v>2934</v>
      </c>
    </row>
    <row r="2985">
      <c r="A2985" s="4" t="s">
        <v>3012</v>
      </c>
      <c r="B2985" s="5" t="str">
        <f>IFERROR(__xludf.DUMMYFUNCTION("IF(A2985="""","""",INDEX(SPLIT(A2985,"" ""),COUNTA(SPLIT(A2985,"" ""))))"),"Mezzocorona")</f>
        <v>Mezzocorona</v>
      </c>
      <c r="C2985" s="6"/>
      <c r="D2985" s="6" t="s">
        <v>2933</v>
      </c>
      <c r="E2985" s="12" t="s">
        <v>2934</v>
      </c>
    </row>
    <row r="2986">
      <c r="A2986" s="4" t="s">
        <v>3013</v>
      </c>
      <c r="B2986" s="5" t="str">
        <f>IFERROR(__xludf.DUMMYFUNCTION("IF(A2986="""","""",INDEX(SPLIT(A2986,"" ""),COUNTA(SPLIT(A2986,"" ""))))"),"Mezzolombardo")</f>
        <v>Mezzolombardo</v>
      </c>
      <c r="C2986" s="6"/>
      <c r="D2986" s="6" t="s">
        <v>2933</v>
      </c>
      <c r="E2986" s="12" t="s">
        <v>2934</v>
      </c>
    </row>
    <row r="2987">
      <c r="A2987" s="4" t="s">
        <v>3014</v>
      </c>
      <c r="B2987" s="5" t="str">
        <f>IFERROR(__xludf.DUMMYFUNCTION("IF(A2987="""","""",INDEX(SPLIT(A2987,"" ""),COUNTA(SPLIT(A2987,"" ""))))"),"Moena")</f>
        <v>Moena</v>
      </c>
      <c r="C2987" s="6"/>
      <c r="D2987" s="6" t="s">
        <v>2933</v>
      </c>
      <c r="E2987" s="12" t="s">
        <v>2934</v>
      </c>
    </row>
    <row r="2988">
      <c r="A2988" s="4" t="s">
        <v>3015</v>
      </c>
      <c r="B2988" s="5" t="str">
        <f>IFERROR(__xludf.DUMMYFUNCTION("IF(A2988="""","""",INDEX(SPLIT(A2988,"" ""),COUNTA(SPLIT(A2988,"" ""))))"),"Molveno")</f>
        <v>Molveno</v>
      </c>
      <c r="C2988" s="6"/>
      <c r="D2988" s="6" t="s">
        <v>2933</v>
      </c>
      <c r="E2988" s="12" t="s">
        <v>2934</v>
      </c>
    </row>
    <row r="2989">
      <c r="A2989" s="4" t="s">
        <v>3016</v>
      </c>
      <c r="B2989" s="5" t="str">
        <f>IFERROR(__xludf.DUMMYFUNCTION("IF(A2989="""","""",INDEX(SPLIT(A2989,"" ""),COUNTA(SPLIT(A2989,"" ""))))"),"Mori")</f>
        <v>Mori</v>
      </c>
      <c r="C2989" s="6"/>
      <c r="D2989" s="6" t="s">
        <v>2933</v>
      </c>
      <c r="E2989" s="12" t="s">
        <v>2934</v>
      </c>
    </row>
    <row r="2990">
      <c r="A2990" s="4" t="s">
        <v>3017</v>
      </c>
      <c r="B2990" s="5" t="str">
        <f>IFERROR(__xludf.DUMMYFUNCTION("IF(A2990="""","""",INDEX(SPLIT(A2990,"" ""),COUNTA(SPLIT(A2990,"" ""))))"),"NagoTorbole")</f>
        <v>NagoTorbole</v>
      </c>
      <c r="C2990" s="6"/>
      <c r="D2990" s="6" t="s">
        <v>2933</v>
      </c>
      <c r="E2990" s="12" t="s">
        <v>2934</v>
      </c>
    </row>
    <row r="2991">
      <c r="A2991" s="4" t="s">
        <v>3018</v>
      </c>
      <c r="B2991" s="5" t="str">
        <f>IFERROR(__xludf.DUMMYFUNCTION("IF(A2991="""","""",INDEX(SPLIT(A2991,"" ""),COUNTA(SPLIT(A2991,"" ""))))"),"Rocco")</f>
        <v>Rocco</v>
      </c>
      <c r="C2991" s="6"/>
      <c r="D2991" s="6" t="s">
        <v>2933</v>
      </c>
      <c r="E2991" s="12" t="s">
        <v>2934</v>
      </c>
    </row>
    <row r="2992">
      <c r="A2992" s="4" t="s">
        <v>3019</v>
      </c>
      <c r="B2992" s="5" t="str">
        <f>IFERROR(__xludf.DUMMYFUNCTION("IF(A2992="""","""",INDEX(SPLIT(A2992,"" ""),COUNTA(SPLIT(A2992,"" ""))))"),"Nogaredo")</f>
        <v>Nogaredo</v>
      </c>
      <c r="C2992" s="6"/>
      <c r="D2992" s="6" t="s">
        <v>2933</v>
      </c>
      <c r="E2992" s="12" t="s">
        <v>2934</v>
      </c>
    </row>
    <row r="2993">
      <c r="A2993" s="4" t="s">
        <v>3020</v>
      </c>
      <c r="B2993" s="5" t="str">
        <f>IFERROR(__xludf.DUMMYFUNCTION("IF(A2993="""","""",INDEX(SPLIT(A2993,"" ""),COUNTA(SPLIT(A2993,"" ""))))"),"Nomi")</f>
        <v>Nomi</v>
      </c>
      <c r="C2993" s="6"/>
      <c r="D2993" s="6" t="s">
        <v>2933</v>
      </c>
      <c r="E2993" s="12" t="s">
        <v>2934</v>
      </c>
    </row>
    <row r="2994">
      <c r="A2994" s="4" t="s">
        <v>3021</v>
      </c>
      <c r="B2994" s="5" t="str">
        <f>IFERROR(__xludf.DUMMYFUNCTION("IF(A2994="""","""",INDEX(SPLIT(A2994,"" ""),COUNTA(SPLIT(A2994,"" ""))))"),"Novaledo")</f>
        <v>Novaledo</v>
      </c>
      <c r="C2994" s="6"/>
      <c r="D2994" s="6" t="s">
        <v>2933</v>
      </c>
      <c r="E2994" s="12" t="s">
        <v>2934</v>
      </c>
    </row>
    <row r="2995">
      <c r="A2995" s="4" t="s">
        <v>3022</v>
      </c>
      <c r="B2995" s="5" t="str">
        <f>IFERROR(__xludf.DUMMYFUNCTION("IF(A2995="""","""",INDEX(SPLIT(A2995,"" ""),COUNTA(SPLIT(A2995,"" ""))))"),"Ospedaletto")</f>
        <v>Ospedaletto</v>
      </c>
      <c r="C2995" s="6"/>
      <c r="D2995" s="6" t="s">
        <v>2933</v>
      </c>
      <c r="E2995" s="12" t="s">
        <v>2934</v>
      </c>
    </row>
    <row r="2996">
      <c r="A2996" s="4" t="s">
        <v>3023</v>
      </c>
      <c r="B2996" s="5" t="str">
        <f>IFERROR(__xludf.DUMMYFUNCTION("IF(A2996="""","""",INDEX(SPLIT(A2996,"" ""),COUNTA(SPLIT(A2996,"" ""))))"),"Ossana")</f>
        <v>Ossana</v>
      </c>
      <c r="C2996" s="6"/>
      <c r="D2996" s="6" t="s">
        <v>2933</v>
      </c>
      <c r="E2996" s="12" t="s">
        <v>2934</v>
      </c>
    </row>
    <row r="2997">
      <c r="A2997" s="4" t="s">
        <v>3024</v>
      </c>
      <c r="B2997" s="5" t="str">
        <f>IFERROR(__xludf.DUMMYFUNCTION("IF(A2997="""","""",INDEX(SPLIT(A2997,"" ""),COUNTA(SPLIT(A2997,"" ""))))"),"Fersina")</f>
        <v>Fersina</v>
      </c>
      <c r="C2997" s="6"/>
      <c r="D2997" s="6" t="s">
        <v>2933</v>
      </c>
      <c r="E2997" s="12" t="s">
        <v>2934</v>
      </c>
    </row>
    <row r="2998">
      <c r="A2998" s="4" t="s">
        <v>3025</v>
      </c>
      <c r="B2998" s="5" t="str">
        <f>IFERROR(__xludf.DUMMYFUNCTION("IF(A2998="""","""",INDEX(SPLIT(A2998,"" ""),COUNTA(SPLIT(A2998,"" ""))))"),"Panchià")</f>
        <v>Panchià</v>
      </c>
      <c r="C2998" s="6"/>
      <c r="D2998" s="6" t="s">
        <v>2933</v>
      </c>
      <c r="E2998" s="12" t="s">
        <v>2934</v>
      </c>
    </row>
    <row r="2999">
      <c r="A2999" s="4" t="s">
        <v>3026</v>
      </c>
      <c r="B2999" s="5" t="str">
        <f>IFERROR(__xludf.DUMMYFUNCTION("IF(A2999="""","""",INDEX(SPLIT(A2999,"" ""),COUNTA(SPLIT(A2999,"" ""))))"),"RonzoChienis")</f>
        <v>RonzoChienis</v>
      </c>
      <c r="C2999" s="6"/>
      <c r="D2999" s="6" t="s">
        <v>2933</v>
      </c>
      <c r="E2999" s="12" t="s">
        <v>2934</v>
      </c>
    </row>
    <row r="3000">
      <c r="A3000" s="4" t="s">
        <v>3027</v>
      </c>
      <c r="B3000" s="5" t="str">
        <f>IFERROR(__xludf.DUMMYFUNCTION("IF(A3000="""","""",INDEX(SPLIT(A3000,"" ""),COUNTA(SPLIT(A3000,"" ""))))"),"Peio")</f>
        <v>Peio</v>
      </c>
      <c r="C3000" s="6"/>
      <c r="D3000" s="6" t="s">
        <v>2933</v>
      </c>
      <c r="E3000" s="12" t="s">
        <v>2934</v>
      </c>
    </row>
    <row r="3001">
      <c r="A3001" s="4" t="s">
        <v>3028</v>
      </c>
      <c r="B3001" s="5" t="str">
        <f>IFERROR(__xludf.DUMMYFUNCTION("IF(A3001="""","""",INDEX(SPLIT(A3001,"" ""),COUNTA(SPLIT(A3001,"" ""))))"),"Pellizzano")</f>
        <v>Pellizzano</v>
      </c>
      <c r="C3001" s="6"/>
      <c r="D3001" s="6" t="s">
        <v>2933</v>
      </c>
      <c r="E3001" s="12" t="s">
        <v>2934</v>
      </c>
    </row>
    <row r="3002">
      <c r="A3002" s="4" t="s">
        <v>3029</v>
      </c>
      <c r="B3002" s="5" t="str">
        <f>IFERROR(__xludf.DUMMYFUNCTION("IF(A3002="""","""",INDEX(SPLIT(A3002,"" ""),COUNTA(SPLIT(A3002,"" ""))))"),"Pelugo")</f>
        <v>Pelugo</v>
      </c>
      <c r="C3002" s="6"/>
      <c r="D3002" s="6" t="s">
        <v>2933</v>
      </c>
      <c r="E3002" s="12" t="s">
        <v>2934</v>
      </c>
    </row>
    <row r="3003">
      <c r="A3003" s="4" t="s">
        <v>3030</v>
      </c>
      <c r="B3003" s="5" t="str">
        <f>IFERROR(__xludf.DUMMYFUNCTION("IF(A3003="""","""",INDEX(SPLIT(A3003,"" ""),COUNTA(SPLIT(A3003,"" ""))))"),"Valsugana")</f>
        <v>Valsugana</v>
      </c>
      <c r="C3003" s="6"/>
      <c r="D3003" s="6" t="s">
        <v>2933</v>
      </c>
      <c r="E3003" s="12" t="s">
        <v>2934</v>
      </c>
    </row>
    <row r="3004">
      <c r="A3004" s="4" t="s">
        <v>3031</v>
      </c>
      <c r="B3004" s="5" t="str">
        <f>IFERROR(__xludf.DUMMYFUNCTION("IF(A3004="""","""",INDEX(SPLIT(A3004,"" ""),COUNTA(SPLIT(A3004,"" ""))))"),"Tesino")</f>
        <v>Tesino</v>
      </c>
      <c r="C3004" s="6"/>
      <c r="D3004" s="6" t="s">
        <v>2933</v>
      </c>
      <c r="E3004" s="12" t="s">
        <v>2934</v>
      </c>
    </row>
    <row r="3005">
      <c r="A3005" s="4" t="s">
        <v>3032</v>
      </c>
      <c r="B3005" s="5" t="str">
        <f>IFERROR(__xludf.DUMMYFUNCTION("IF(A3005="""","""",INDEX(SPLIT(A3005,"" ""),COUNTA(SPLIT(A3005,"" ""))))"),"Pinzolo")</f>
        <v>Pinzolo</v>
      </c>
      <c r="C3005" s="6"/>
      <c r="D3005" s="6" t="s">
        <v>2933</v>
      </c>
      <c r="E3005" s="12" t="s">
        <v>2934</v>
      </c>
    </row>
    <row r="3006">
      <c r="A3006" s="4" t="s">
        <v>3033</v>
      </c>
      <c r="B3006" s="5" t="str">
        <f>IFERROR(__xludf.DUMMYFUNCTION("IF(A3006="""","""",INDEX(SPLIT(A3006,"" ""),COUNTA(SPLIT(A3006,"" ""))))"),"Pomarolo")</f>
        <v>Pomarolo</v>
      </c>
      <c r="C3006" s="6"/>
      <c r="D3006" s="6" t="s">
        <v>2933</v>
      </c>
      <c r="E3006" s="12" t="s">
        <v>2934</v>
      </c>
    </row>
    <row r="3007">
      <c r="A3007" s="4" t="s">
        <v>3034</v>
      </c>
      <c r="B3007" s="5" t="str">
        <f>IFERROR(__xludf.DUMMYFUNCTION("IF(A3007="""","""",INDEX(SPLIT(A3007,"" ""),COUNTA(SPLIT(A3007,"" ""))))"),"Predazzo")</f>
        <v>Predazzo</v>
      </c>
      <c r="C3007" s="6"/>
      <c r="D3007" s="6" t="s">
        <v>2933</v>
      </c>
      <c r="E3007" s="12" t="s">
        <v>2934</v>
      </c>
    </row>
    <row r="3008">
      <c r="A3008" s="4" t="s">
        <v>3035</v>
      </c>
      <c r="B3008" s="5" t="str">
        <f>IFERROR(__xludf.DUMMYFUNCTION("IF(A3008="""","""",INDEX(SPLIT(A3008,"" ""),COUNTA(SPLIT(A3008,"" ""))))"),"Rabbi")</f>
        <v>Rabbi</v>
      </c>
      <c r="C3008" s="6"/>
      <c r="D3008" s="6" t="s">
        <v>2933</v>
      </c>
      <c r="E3008" s="12" t="s">
        <v>2934</v>
      </c>
    </row>
    <row r="3009">
      <c r="A3009" s="4" t="s">
        <v>3036</v>
      </c>
      <c r="B3009" s="5" t="str">
        <f>IFERROR(__xludf.DUMMYFUNCTION("IF(A3009="""","""",INDEX(SPLIT(A3009,"" ""),COUNTA(SPLIT(A3009,"" ""))))"),"Revò")</f>
        <v>Revò</v>
      </c>
      <c r="C3009" s="6"/>
      <c r="D3009" s="6" t="s">
        <v>2933</v>
      </c>
      <c r="E3009" s="12" t="s">
        <v>2934</v>
      </c>
    </row>
    <row r="3010">
      <c r="A3010" s="4" t="s">
        <v>3037</v>
      </c>
      <c r="B3010" s="5" t="str">
        <f>IFERROR(__xludf.DUMMYFUNCTION("IF(A3010="""","""",INDEX(SPLIT(A3010,"" ""),COUNTA(SPLIT(A3010,"" ""))))"),"Garda")</f>
        <v>Garda</v>
      </c>
      <c r="C3010" s="6"/>
      <c r="D3010" s="6" t="s">
        <v>2933</v>
      </c>
      <c r="E3010" s="12" t="s">
        <v>2934</v>
      </c>
    </row>
    <row r="3011">
      <c r="A3011" s="4" t="s">
        <v>3038</v>
      </c>
      <c r="B3011" s="5" t="str">
        <f>IFERROR(__xludf.DUMMYFUNCTION("IF(A3011="""","""",INDEX(SPLIT(A3011,"" ""),COUNTA(SPLIT(A3011,"" ""))))"),"Romallo")</f>
        <v>Romallo</v>
      </c>
      <c r="C3011" s="6"/>
      <c r="D3011" s="6" t="s">
        <v>2933</v>
      </c>
      <c r="E3011" s="12" t="s">
        <v>2934</v>
      </c>
    </row>
    <row r="3012">
      <c r="A3012" s="4" t="s">
        <v>3039</v>
      </c>
      <c r="B3012" s="5" t="str">
        <f>IFERROR(__xludf.DUMMYFUNCTION("IF(A3012="""","""",INDEX(SPLIT(A3012,"" ""),COUNTA(SPLIT(A3012,"" ""))))"),"Romeno")</f>
        <v>Romeno</v>
      </c>
      <c r="C3012" s="6"/>
      <c r="D3012" s="6" t="s">
        <v>2933</v>
      </c>
      <c r="E3012" s="12" t="s">
        <v>2934</v>
      </c>
    </row>
    <row r="3013">
      <c r="A3013" s="4" t="s">
        <v>3040</v>
      </c>
      <c r="B3013" s="5" t="str">
        <f>IFERROR(__xludf.DUMMYFUNCTION("IF(A3013="""","""",INDEX(SPLIT(A3013,"" ""),COUNTA(SPLIT(A3013,"" ""))))"),"Terme")</f>
        <v>Terme</v>
      </c>
      <c r="C3013" s="6"/>
      <c r="D3013" s="6" t="s">
        <v>2933</v>
      </c>
      <c r="E3013" s="12" t="s">
        <v>2934</v>
      </c>
    </row>
    <row r="3014">
      <c r="A3014" s="4" t="s">
        <v>3041</v>
      </c>
      <c r="B3014" s="5" t="str">
        <f>IFERROR(__xludf.DUMMYFUNCTION("IF(A3014="""","""",INDEX(SPLIT(A3014,"" ""),COUNTA(SPLIT(A3014,"" ""))))"),"Valsugana")</f>
        <v>Valsugana</v>
      </c>
      <c r="C3014" s="6"/>
      <c r="D3014" s="6" t="s">
        <v>2933</v>
      </c>
      <c r="E3014" s="12" t="s">
        <v>2934</v>
      </c>
    </row>
    <row r="3015">
      <c r="A3015" s="4" t="s">
        <v>3042</v>
      </c>
      <c r="B3015" s="5" t="str">
        <f>IFERROR(__xludf.DUMMYFUNCTION("IF(A3015="""","""",INDEX(SPLIT(A3015,"" ""),COUNTA(SPLIT(A3015,"" ""))))"),"Ronzone")</f>
        <v>Ronzone</v>
      </c>
      <c r="C3015" s="6"/>
      <c r="D3015" s="6" t="s">
        <v>2933</v>
      </c>
      <c r="E3015" s="12" t="s">
        <v>2934</v>
      </c>
    </row>
    <row r="3016">
      <c r="A3016" s="4" t="s">
        <v>3043</v>
      </c>
      <c r="B3016" s="5" t="str">
        <f>IFERROR(__xludf.DUMMYFUNCTION("IF(A3016="""","""",INDEX(SPLIT(A3016,"" ""),COUNTA(SPLIT(A3016,"" ""))))"),"Luna")</f>
        <v>Luna</v>
      </c>
      <c r="C3016" s="6"/>
      <c r="D3016" s="6" t="s">
        <v>2933</v>
      </c>
      <c r="E3016" s="12" t="s">
        <v>2934</v>
      </c>
    </row>
    <row r="3017">
      <c r="A3017" s="4" t="s">
        <v>3044</v>
      </c>
      <c r="B3017" s="5" t="str">
        <f>IFERROR(__xludf.DUMMYFUNCTION("IF(A3017="""","""",INDEX(SPLIT(A3017,"" ""),COUNTA(SPLIT(A3017,"" ""))))"),"Rovereto")</f>
        <v>Rovereto</v>
      </c>
      <c r="C3017" s="6"/>
      <c r="D3017" s="6" t="s">
        <v>2933</v>
      </c>
      <c r="E3017" s="12" t="s">
        <v>2934</v>
      </c>
    </row>
    <row r="3018">
      <c r="A3018" s="4" t="s">
        <v>3045</v>
      </c>
      <c r="B3018" s="5" t="str">
        <f>IFERROR(__xludf.DUMMYFUNCTION("IF(A3018="""","""",INDEX(SPLIT(A3018,"" ""),COUNTA(SPLIT(A3018,"" ""))))"),"RuffrèMendola")</f>
        <v>RuffrèMendola</v>
      </c>
      <c r="C3018" s="6"/>
      <c r="D3018" s="6" t="s">
        <v>2933</v>
      </c>
      <c r="E3018" s="12" t="s">
        <v>2934</v>
      </c>
    </row>
    <row r="3019">
      <c r="A3019" s="4" t="s">
        <v>3046</v>
      </c>
      <c r="B3019" s="5" t="str">
        <f>IFERROR(__xludf.DUMMYFUNCTION("IF(A3019="""","""",INDEX(SPLIT(A3019,"" ""),COUNTA(SPLIT(A3019,"" ""))))"),"Rumo")</f>
        <v>Rumo</v>
      </c>
      <c r="C3019" s="6"/>
      <c r="D3019" s="6" t="s">
        <v>2933</v>
      </c>
      <c r="E3019" s="12" t="s">
        <v>2934</v>
      </c>
    </row>
    <row r="3020">
      <c r="A3020" s="4" t="s">
        <v>3047</v>
      </c>
      <c r="B3020" s="5" t="str">
        <f>IFERROR(__xludf.DUMMYFUNCTION("IF(A3020="""","""",INDEX(SPLIT(A3020,"" ""),COUNTA(SPLIT(A3020,"" ""))))"),"Mis")</f>
        <v>Mis</v>
      </c>
      <c r="C3020" s="6"/>
      <c r="D3020" s="6" t="s">
        <v>2933</v>
      </c>
      <c r="E3020" s="12" t="s">
        <v>2934</v>
      </c>
    </row>
    <row r="3021">
      <c r="A3021" s="4" t="s">
        <v>239</v>
      </c>
      <c r="B3021" s="5" t="str">
        <f>IFERROR(__xludf.DUMMYFUNCTION("IF(A3021="""","""",INDEX(SPLIT(A3021,"" ""),COUNTA(SPLIT(A3021,"" ""))))"),"Samone")</f>
        <v>Samone</v>
      </c>
      <c r="C3021" s="6"/>
      <c r="D3021" s="6" t="s">
        <v>2933</v>
      </c>
      <c r="E3021" s="12" t="s">
        <v>2934</v>
      </c>
    </row>
    <row r="3022">
      <c r="A3022" s="4" t="s">
        <v>3048</v>
      </c>
      <c r="B3022" s="5" t="str">
        <f>IFERROR(__xludf.DUMMYFUNCTION("IF(A3022="""","""",INDEX(SPLIT(A3022,"" ""),COUNTA(SPLIT(A3022,"" ""))))"),"all'Adige")</f>
        <v>all'Adige</v>
      </c>
      <c r="C3022" s="6"/>
      <c r="D3022" s="6" t="s">
        <v>2933</v>
      </c>
      <c r="E3022" s="12" t="s">
        <v>2934</v>
      </c>
    </row>
    <row r="3023">
      <c r="A3023" s="4" t="s">
        <v>3049</v>
      </c>
      <c r="B3023" s="5" t="str">
        <f>IFERROR(__xludf.DUMMYFUNCTION("IF(A3023="""","""",INDEX(SPLIT(A3023,"" ""),COUNTA(SPLIT(A3023,"" ""))))"),"Terme")</f>
        <v>Terme</v>
      </c>
      <c r="C3023" s="6"/>
      <c r="D3023" s="6" t="s">
        <v>2933</v>
      </c>
      <c r="E3023" s="12" t="s">
        <v>2934</v>
      </c>
    </row>
    <row r="3024">
      <c r="A3024" s="4" t="s">
        <v>3050</v>
      </c>
      <c r="B3024" s="5" t="str">
        <f>IFERROR(__xludf.DUMMYFUNCTION("IF(A3024="""","""",INDEX(SPLIT(A3024,"" ""),COUNTA(SPLIT(A3024,"" ""))))"),"Sanzeno")</f>
        <v>Sanzeno</v>
      </c>
      <c r="C3024" s="6"/>
      <c r="D3024" s="6" t="s">
        <v>2933</v>
      </c>
      <c r="E3024" s="12" t="s">
        <v>2934</v>
      </c>
    </row>
    <row r="3025">
      <c r="A3025" s="4" t="s">
        <v>3051</v>
      </c>
      <c r="B3025" s="5" t="str">
        <f>IFERROR(__xludf.DUMMYFUNCTION("IF(A3025="""","""",INDEX(SPLIT(A3025,"" ""),COUNTA(SPLIT(A3025,"" ""))))"),"Sarnonico")</f>
        <v>Sarnonico</v>
      </c>
      <c r="C3025" s="6"/>
      <c r="D3025" s="6" t="s">
        <v>2933</v>
      </c>
      <c r="E3025" s="12" t="s">
        <v>2934</v>
      </c>
    </row>
    <row r="3026">
      <c r="A3026" s="4" t="s">
        <v>3052</v>
      </c>
      <c r="B3026" s="5" t="str">
        <f>IFERROR(__xludf.DUMMYFUNCTION("IF(A3026="""","""",INDEX(SPLIT(A3026,"" ""),COUNTA(SPLIT(A3026,"" ""))))"),"Scurelle")</f>
        <v>Scurelle</v>
      </c>
      <c r="C3026" s="6"/>
      <c r="D3026" s="6" t="s">
        <v>2933</v>
      </c>
      <c r="E3026" s="12" t="s">
        <v>2934</v>
      </c>
    </row>
    <row r="3027">
      <c r="A3027" s="4" t="s">
        <v>3053</v>
      </c>
      <c r="B3027" s="5" t="str">
        <f>IFERROR(__xludf.DUMMYFUNCTION("IF(A3027="""","""",INDEX(SPLIT(A3027,"" ""),COUNTA(SPLIT(A3027,"" ""))))"),"Segonzano")</f>
        <v>Segonzano</v>
      </c>
      <c r="C3027" s="6"/>
      <c r="D3027" s="6" t="s">
        <v>2933</v>
      </c>
      <c r="E3027" s="12" t="s">
        <v>2934</v>
      </c>
    </row>
    <row r="3028">
      <c r="A3028" s="4" t="s">
        <v>3054</v>
      </c>
      <c r="B3028" s="5" t="str">
        <f>IFERROR(__xludf.DUMMYFUNCTION("IF(A3028="""","""",INDEX(SPLIT(A3028,"" ""),COUNTA(SPLIT(A3028,"" ""))))"),"Sfruz")</f>
        <v>Sfruz</v>
      </c>
      <c r="C3028" s="6"/>
      <c r="D3028" s="6" t="s">
        <v>2933</v>
      </c>
      <c r="E3028" s="12" t="s">
        <v>2934</v>
      </c>
    </row>
    <row r="3029">
      <c r="A3029" s="4" t="s">
        <v>3055</v>
      </c>
      <c r="B3029" s="5" t="str">
        <f>IFERROR(__xludf.DUMMYFUNCTION("IF(A3029="""","""",INDEX(SPLIT(A3029,"" ""),COUNTA(SPLIT(A3029,"" ""))))"),"Fassa")</f>
        <v>Fassa</v>
      </c>
      <c r="C3029" s="6"/>
      <c r="D3029" s="6" t="s">
        <v>2933</v>
      </c>
      <c r="E3029" s="12" t="s">
        <v>2934</v>
      </c>
    </row>
    <row r="3030">
      <c r="A3030" s="4" t="s">
        <v>3056</v>
      </c>
      <c r="B3030" s="5" t="str">
        <f>IFERROR(__xludf.DUMMYFUNCTION("IF(A3030="""","""",INDEX(SPLIT(A3030,"" ""),COUNTA(SPLIT(A3030,"" ""))))"),"Sover")</f>
        <v>Sover</v>
      </c>
      <c r="C3030" s="6"/>
      <c r="D3030" s="6" t="s">
        <v>2933</v>
      </c>
      <c r="E3030" s="12" t="s">
        <v>2934</v>
      </c>
    </row>
    <row r="3031">
      <c r="A3031" s="4" t="s">
        <v>3057</v>
      </c>
      <c r="B3031" s="5" t="str">
        <f>IFERROR(__xludf.DUMMYFUNCTION("IF(A3031="""","""",INDEX(SPLIT(A3031,"" ""),COUNTA(SPLIT(A3031,"" ""))))"),"Spiazzo")</f>
        <v>Spiazzo</v>
      </c>
      <c r="C3031" s="6"/>
      <c r="D3031" s="6" t="s">
        <v>2933</v>
      </c>
      <c r="E3031" s="12" t="s">
        <v>2934</v>
      </c>
    </row>
    <row r="3032">
      <c r="A3032" s="4" t="s">
        <v>3058</v>
      </c>
      <c r="B3032" s="5" t="str">
        <f>IFERROR(__xludf.DUMMYFUNCTION("IF(A3032="""","""",INDEX(SPLIT(A3032,"" ""),COUNTA(SPLIT(A3032,"" ""))))"),"Spormaggiore")</f>
        <v>Spormaggiore</v>
      </c>
      <c r="C3032" s="6"/>
      <c r="D3032" s="6" t="s">
        <v>2933</v>
      </c>
      <c r="E3032" s="12" t="s">
        <v>2934</v>
      </c>
    </row>
    <row r="3033">
      <c r="A3033" s="4" t="s">
        <v>3059</v>
      </c>
      <c r="B3033" s="5" t="str">
        <f>IFERROR(__xludf.DUMMYFUNCTION("IF(A3033="""","""",INDEX(SPLIT(A3033,"" ""),COUNTA(SPLIT(A3033,"" ""))))"),"Sporminore")</f>
        <v>Sporminore</v>
      </c>
      <c r="C3033" s="6"/>
      <c r="D3033" s="6" t="s">
        <v>2933</v>
      </c>
      <c r="E3033" s="12" t="s">
        <v>2934</v>
      </c>
    </row>
    <row r="3034">
      <c r="A3034" s="4" t="s">
        <v>3060</v>
      </c>
      <c r="B3034" s="5" t="str">
        <f>IFERROR(__xludf.DUMMYFUNCTION("IF(A3034="""","""",INDEX(SPLIT(A3034,"" ""),COUNTA(SPLIT(A3034,"" ""))))"),"Stenico")</f>
        <v>Stenico</v>
      </c>
      <c r="C3034" s="6"/>
      <c r="D3034" s="6" t="s">
        <v>2933</v>
      </c>
      <c r="E3034" s="12" t="s">
        <v>2934</v>
      </c>
    </row>
    <row r="3035">
      <c r="A3035" s="4" t="s">
        <v>3061</v>
      </c>
      <c r="B3035" s="5" t="str">
        <f>IFERROR(__xludf.DUMMYFUNCTION("IF(A3035="""","""",INDEX(SPLIT(A3035,"" ""),COUNTA(SPLIT(A3035,"" ""))))"),"Storo")</f>
        <v>Storo</v>
      </c>
      <c r="C3035" s="6"/>
      <c r="D3035" s="6" t="s">
        <v>2933</v>
      </c>
      <c r="E3035" s="12" t="s">
        <v>2934</v>
      </c>
    </row>
    <row r="3036">
      <c r="A3036" s="4" t="s">
        <v>3062</v>
      </c>
      <c r="B3036" s="5" t="str">
        <f>IFERROR(__xludf.DUMMYFUNCTION("IF(A3036="""","""",INDEX(SPLIT(A3036,"" ""),COUNTA(SPLIT(A3036,"" ""))))"),"Strembo")</f>
        <v>Strembo</v>
      </c>
      <c r="C3036" s="6"/>
      <c r="D3036" s="6" t="s">
        <v>2933</v>
      </c>
      <c r="E3036" s="12" t="s">
        <v>2934</v>
      </c>
    </row>
    <row r="3037">
      <c r="A3037" s="4" t="s">
        <v>3063</v>
      </c>
      <c r="B3037" s="5" t="str">
        <f>IFERROR(__xludf.DUMMYFUNCTION("IF(A3037="""","""",INDEX(SPLIT(A3037,"" ""),COUNTA(SPLIT(A3037,"" ""))))"),"Telve")</f>
        <v>Telve</v>
      </c>
      <c r="C3037" s="6"/>
      <c r="D3037" s="6" t="s">
        <v>2933</v>
      </c>
      <c r="E3037" s="12" t="s">
        <v>2934</v>
      </c>
    </row>
    <row r="3038">
      <c r="A3038" s="4" t="s">
        <v>3064</v>
      </c>
      <c r="B3038" s="5" t="str">
        <f>IFERROR(__xludf.DUMMYFUNCTION("IF(A3038="""","""",INDEX(SPLIT(A3038,"" ""),COUNTA(SPLIT(A3038,"" ""))))"),"Sopra")</f>
        <v>Sopra</v>
      </c>
      <c r="C3038" s="6"/>
      <c r="D3038" s="6" t="s">
        <v>2933</v>
      </c>
      <c r="E3038" s="12" t="s">
        <v>2934</v>
      </c>
    </row>
    <row r="3039">
      <c r="A3039" s="4" t="s">
        <v>3065</v>
      </c>
      <c r="B3039" s="5" t="str">
        <f>IFERROR(__xludf.DUMMYFUNCTION("IF(A3039="""","""",INDEX(SPLIT(A3039,"" ""),COUNTA(SPLIT(A3039,"" ""))))"),"Tenna")</f>
        <v>Tenna</v>
      </c>
      <c r="C3039" s="6"/>
      <c r="D3039" s="6" t="s">
        <v>2933</v>
      </c>
      <c r="E3039" s="12" t="s">
        <v>2934</v>
      </c>
    </row>
    <row r="3040">
      <c r="A3040" s="4" t="s">
        <v>3066</v>
      </c>
      <c r="B3040" s="5" t="str">
        <f>IFERROR(__xludf.DUMMYFUNCTION("IF(A3040="""","""",INDEX(SPLIT(A3040,"" ""),COUNTA(SPLIT(A3040,"" ""))))"),"Tenno")</f>
        <v>Tenno</v>
      </c>
      <c r="C3040" s="6"/>
      <c r="D3040" s="6" t="s">
        <v>2933</v>
      </c>
      <c r="E3040" s="12" t="s">
        <v>2934</v>
      </c>
    </row>
    <row r="3041">
      <c r="A3041" s="4" t="s">
        <v>3067</v>
      </c>
      <c r="B3041" s="5" t="str">
        <f>IFERROR(__xludf.DUMMYFUNCTION("IF(A3041="""","""",INDEX(SPLIT(A3041,"" ""),COUNTA(SPLIT(A3041,"" ""))))"),"Terragnolo")</f>
        <v>Terragnolo</v>
      </c>
      <c r="C3041" s="6"/>
      <c r="D3041" s="6" t="s">
        <v>2933</v>
      </c>
      <c r="E3041" s="12" t="s">
        <v>2934</v>
      </c>
    </row>
    <row r="3042">
      <c r="A3042" s="4" t="s">
        <v>3068</v>
      </c>
      <c r="B3042" s="5" t="str">
        <f>IFERROR(__xludf.DUMMYFUNCTION("IF(A3042="""","""",INDEX(SPLIT(A3042,"" ""),COUNTA(SPLIT(A3042,"" ""))))"),"Terzolas")</f>
        <v>Terzolas</v>
      </c>
      <c r="C3042" s="6"/>
      <c r="D3042" s="6" t="s">
        <v>2933</v>
      </c>
      <c r="E3042" s="12" t="s">
        <v>2934</v>
      </c>
    </row>
    <row r="3043">
      <c r="A3043" s="4" t="s">
        <v>3069</v>
      </c>
      <c r="B3043" s="5" t="str">
        <f>IFERROR(__xludf.DUMMYFUNCTION("IF(A3043="""","""",INDEX(SPLIT(A3043,"" ""),COUNTA(SPLIT(A3043,"" ""))))"),"Tesero")</f>
        <v>Tesero</v>
      </c>
      <c r="C3043" s="6"/>
      <c r="D3043" s="6" t="s">
        <v>2933</v>
      </c>
      <c r="E3043" s="12" t="s">
        <v>2934</v>
      </c>
    </row>
    <row r="3044">
      <c r="A3044" s="4" t="s">
        <v>3070</v>
      </c>
      <c r="B3044" s="5" t="str">
        <f>IFERROR(__xludf.DUMMYFUNCTION("IF(A3044="""","""",INDEX(SPLIT(A3044,"" ""),COUNTA(SPLIT(A3044,"" ""))))"),"Trento")</f>
        <v>Trento</v>
      </c>
      <c r="C3044" s="6"/>
      <c r="D3044" s="6" t="s">
        <v>2933</v>
      </c>
      <c r="E3044" s="12" t="s">
        <v>2934</v>
      </c>
    </row>
    <row r="3045">
      <c r="A3045" s="4" t="s">
        <v>3071</v>
      </c>
      <c r="B3045" s="5" t="str">
        <f>IFERROR(__xludf.DUMMYFUNCTION("IF(A3045="""","""",INDEX(SPLIT(A3045,"" ""),COUNTA(SPLIT(A3045,"" ""))))"),"Ton")</f>
        <v>Ton</v>
      </c>
      <c r="C3045" s="6"/>
      <c r="D3045" s="6" t="s">
        <v>2933</v>
      </c>
      <c r="E3045" s="12" t="s">
        <v>2934</v>
      </c>
    </row>
    <row r="3046">
      <c r="A3046" s="4" t="s">
        <v>3072</v>
      </c>
      <c r="B3046" s="5" t="str">
        <f>IFERROR(__xludf.DUMMYFUNCTION("IF(A3046="""","""",INDEX(SPLIT(A3046,"" ""),COUNTA(SPLIT(A3046,"" ""))))"),"Torcegno")</f>
        <v>Torcegno</v>
      </c>
      <c r="C3046" s="6"/>
      <c r="D3046" s="6" t="s">
        <v>2933</v>
      </c>
      <c r="E3046" s="12" t="s">
        <v>2934</v>
      </c>
    </row>
    <row r="3047">
      <c r="A3047" s="4" t="s">
        <v>3073</v>
      </c>
      <c r="B3047" s="5" t="str">
        <f>IFERROR(__xludf.DUMMYFUNCTION("IF(A3047="""","""",INDEX(SPLIT(A3047,"" ""),COUNTA(SPLIT(A3047,"" ""))))"),"Trambileno")</f>
        <v>Trambileno</v>
      </c>
      <c r="C3047" s="6"/>
      <c r="D3047" s="6" t="s">
        <v>2933</v>
      </c>
      <c r="E3047" s="12" t="s">
        <v>2934</v>
      </c>
    </row>
    <row r="3048">
      <c r="A3048" s="4" t="s">
        <v>2933</v>
      </c>
      <c r="B3048" s="5" t="str">
        <f>IFERROR(__xludf.DUMMYFUNCTION("IF(A3048="""","""",INDEX(SPLIT(A3048,"" ""),COUNTA(SPLIT(A3048,"" ""))))"),"Trento")</f>
        <v>Trento</v>
      </c>
      <c r="C3048" s="6"/>
      <c r="D3048" s="6" t="s">
        <v>2933</v>
      </c>
      <c r="E3048" s="12" t="s">
        <v>2934</v>
      </c>
    </row>
    <row r="3049">
      <c r="A3049" s="4" t="s">
        <v>3074</v>
      </c>
      <c r="B3049" s="5" t="str">
        <f>IFERROR(__xludf.DUMMYFUNCTION("IF(A3049="""","""",INDEX(SPLIT(A3049,"" ""),COUNTA(SPLIT(A3049,"" ""))))"),"Valfloriana")</f>
        <v>Valfloriana</v>
      </c>
      <c r="C3049" s="6"/>
      <c r="D3049" s="6" t="s">
        <v>2933</v>
      </c>
      <c r="E3049" s="12" t="s">
        <v>2934</v>
      </c>
    </row>
    <row r="3050">
      <c r="A3050" s="4" t="s">
        <v>3075</v>
      </c>
      <c r="B3050" s="5" t="str">
        <f>IFERROR(__xludf.DUMMYFUNCTION("IF(A3050="""","""",INDEX(SPLIT(A3050,"" ""),COUNTA(SPLIT(A3050,"" ""))))"),"Vallarsa")</f>
        <v>Vallarsa</v>
      </c>
      <c r="C3050" s="6"/>
      <c r="D3050" s="6" t="s">
        <v>2933</v>
      </c>
      <c r="E3050" s="12" t="s">
        <v>2934</v>
      </c>
    </row>
    <row r="3051">
      <c r="A3051" s="4" t="s">
        <v>3076</v>
      </c>
      <c r="B3051" s="5" t="str">
        <f>IFERROR(__xludf.DUMMYFUNCTION("IF(A3051="""","""",INDEX(SPLIT(A3051,"" ""),COUNTA(SPLIT(A3051,"" ""))))"),"Varena")</f>
        <v>Varena</v>
      </c>
      <c r="C3051" s="6"/>
      <c r="D3051" s="6" t="s">
        <v>2933</v>
      </c>
      <c r="E3051" s="12" t="s">
        <v>2934</v>
      </c>
    </row>
    <row r="3052">
      <c r="A3052" s="4" t="s">
        <v>3077</v>
      </c>
      <c r="B3052" s="5" t="str">
        <f>IFERROR(__xludf.DUMMYFUNCTION("IF(A3052="""","""",INDEX(SPLIT(A3052,"" ""),COUNTA(SPLIT(A3052,"" ""))))"),"Vermiglio")</f>
        <v>Vermiglio</v>
      </c>
      <c r="C3052" s="6"/>
      <c r="D3052" s="6" t="s">
        <v>2933</v>
      </c>
      <c r="E3052" s="12" t="s">
        <v>2934</v>
      </c>
    </row>
    <row r="3053">
      <c r="A3053" s="4" t="s">
        <v>3078</v>
      </c>
      <c r="B3053" s="5" t="str">
        <f>IFERROR(__xludf.DUMMYFUNCTION("IF(A3053="""","""",INDEX(SPLIT(A3053,"" ""),COUNTA(SPLIT(A3053,"" ""))))"),"VignolaFalesina")</f>
        <v>VignolaFalesina</v>
      </c>
      <c r="C3053" s="6"/>
      <c r="D3053" s="6" t="s">
        <v>2933</v>
      </c>
      <c r="E3053" s="12" t="s">
        <v>2934</v>
      </c>
    </row>
    <row r="3054">
      <c r="A3054" s="4" t="s">
        <v>3079</v>
      </c>
      <c r="B3054" s="5" t="str">
        <f>IFERROR(__xludf.DUMMYFUNCTION("IF(A3054="""","""",INDEX(SPLIT(A3054,"" ""),COUNTA(SPLIT(A3054,"" ""))))"),"Lagarina")</f>
        <v>Lagarina</v>
      </c>
      <c r="C3054" s="6"/>
      <c r="D3054" s="6" t="s">
        <v>2933</v>
      </c>
      <c r="E3054" s="12" t="s">
        <v>2934</v>
      </c>
    </row>
    <row r="3055">
      <c r="A3055" s="4" t="s">
        <v>3080</v>
      </c>
      <c r="B3055" s="5" t="str">
        <f>IFERROR(__xludf.DUMMYFUNCTION("IF(A3055="""","""",INDEX(SPLIT(A3055,"" ""),COUNTA(SPLIT(A3055,"" ""))))"),"Volano")</f>
        <v>Volano</v>
      </c>
      <c r="C3055" s="6"/>
      <c r="D3055" s="6" t="s">
        <v>2933</v>
      </c>
      <c r="E3055" s="12" t="s">
        <v>2934</v>
      </c>
    </row>
    <row r="3056">
      <c r="A3056" s="4" t="s">
        <v>3081</v>
      </c>
      <c r="B3056" s="5" t="str">
        <f>IFERROR(__xludf.DUMMYFUNCTION("IF(A3056="""","""",INDEX(SPLIT(A3056,"" ""),COUNTA(SPLIT(A3056,"" ""))))"),"Zambana")</f>
        <v>Zambana</v>
      </c>
      <c r="C3056" s="6"/>
      <c r="D3056" s="6" t="s">
        <v>2933</v>
      </c>
      <c r="E3056" s="12" t="s">
        <v>2934</v>
      </c>
    </row>
    <row r="3057">
      <c r="A3057" s="4" t="s">
        <v>3082</v>
      </c>
      <c r="B3057" s="5" t="str">
        <f>IFERROR(__xludf.DUMMYFUNCTION("IF(A3057="""","""",INDEX(SPLIT(A3057,"" ""),COUNTA(SPLIT(A3057,"" ""))))"),"Fiemme")</f>
        <v>Fiemme</v>
      </c>
      <c r="C3057" s="6"/>
      <c r="D3057" s="6" t="s">
        <v>2933</v>
      </c>
      <c r="E3057" s="12" t="s">
        <v>2934</v>
      </c>
    </row>
    <row r="3058">
      <c r="A3058" s="4" t="s">
        <v>3083</v>
      </c>
      <c r="B3058" s="5" t="str">
        <f>IFERROR(__xludf.DUMMYFUNCTION("IF(A3058="""","""",INDEX(SPLIT(A3058,"" ""),COUNTA(SPLIT(A3058,"" ""))))"),"Terme")</f>
        <v>Terme</v>
      </c>
      <c r="C3058" s="6"/>
      <c r="D3058" s="6" t="s">
        <v>2933</v>
      </c>
      <c r="E3058" s="12" t="s">
        <v>2934</v>
      </c>
    </row>
    <row r="3059">
      <c r="A3059" s="4" t="s">
        <v>3084</v>
      </c>
      <c r="B3059" s="5" t="str">
        <f>IFERROR(__xludf.DUMMYFUNCTION("IF(A3059="""","""",INDEX(SPLIT(A3059,"" ""),COUNTA(SPLIT(A3059,"" ""))))"),"Ledro")</f>
        <v>Ledro</v>
      </c>
      <c r="C3059" s="6"/>
      <c r="D3059" s="6" t="s">
        <v>2933</v>
      </c>
      <c r="E3059" s="12" t="s">
        <v>2934</v>
      </c>
    </row>
    <row r="3060">
      <c r="A3060" s="4" t="s">
        <v>3085</v>
      </c>
      <c r="B3060" s="5" t="str">
        <f>IFERROR(__xludf.DUMMYFUNCTION("IF(A3060="""","""",INDEX(SPLIT(A3060,"" ""),COUNTA(SPLIT(A3060,"" ""))))"),"Predaia")</f>
        <v>Predaia</v>
      </c>
      <c r="C3060" s="6"/>
      <c r="D3060" s="6" t="s">
        <v>2933</v>
      </c>
      <c r="E3060" s="12" t="s">
        <v>2934</v>
      </c>
    </row>
    <row r="3061">
      <c r="A3061" s="4" t="s">
        <v>3086</v>
      </c>
      <c r="B3061" s="5" t="str">
        <f>IFERROR(__xludf.DUMMYFUNCTION("IF(A3061="""","""",INDEX(SPLIT(A3061,"" ""),COUNTA(SPLIT(A3061,"" ""))))"),"Dorsino")</f>
        <v>Dorsino</v>
      </c>
      <c r="C3061" s="6"/>
      <c r="D3061" s="6" t="s">
        <v>2933</v>
      </c>
      <c r="E3061" s="12" t="s">
        <v>2934</v>
      </c>
    </row>
    <row r="3062">
      <c r="A3062" s="4" t="s">
        <v>3087</v>
      </c>
      <c r="B3062" s="5" t="str">
        <f>IFERROR(__xludf.DUMMYFUNCTION("IF(A3062="""","""",INDEX(SPLIT(A3062,"" ""),COUNTA(SPLIT(A3062,"" ""))))"),"Valdaone")</f>
        <v>Valdaone</v>
      </c>
      <c r="C3062" s="6"/>
      <c r="D3062" s="6" t="s">
        <v>2933</v>
      </c>
      <c r="E3062" s="12" t="s">
        <v>2934</v>
      </c>
    </row>
    <row r="3063">
      <c r="A3063" s="4" t="s">
        <v>3088</v>
      </c>
      <c r="B3063" s="5" t="str">
        <f>IFERROR(__xludf.DUMMYFUNCTION("IF(A3063="""","""",INDEX(SPLIT(A3063,"" ""),COUNTA(SPLIT(A3063,"" ""))))"),"Folgarida")</f>
        <v>Folgarida</v>
      </c>
      <c r="C3063" s="6"/>
      <c r="D3063" s="6" t="s">
        <v>2933</v>
      </c>
      <c r="E3063" s="12" t="s">
        <v>2934</v>
      </c>
    </row>
    <row r="3064">
      <c r="A3064" s="4" t="s">
        <v>3089</v>
      </c>
      <c r="B3064" s="5" t="str">
        <f>IFERROR(__xludf.DUMMYFUNCTION("IF(A3064="""","""",INDEX(SPLIT(A3064,"" ""),COUNTA(SPLIT(A3064,"" ""))))"),"BonoPrezzo")</f>
        <v>BonoPrezzo</v>
      </c>
      <c r="C3064" s="6"/>
      <c r="D3064" s="6" t="s">
        <v>2933</v>
      </c>
      <c r="E3064" s="12" t="s">
        <v>2934</v>
      </c>
    </row>
    <row r="3065">
      <c r="A3065" s="4" t="s">
        <v>3090</v>
      </c>
      <c r="B3065" s="5" t="str">
        <f>IFERROR(__xludf.DUMMYFUNCTION("IF(A3065="""","""",INDEX(SPLIT(A3065,"" ""),COUNTA(SPLIT(A3065,"" ""))))"),"Altavalle")</f>
        <v>Altavalle</v>
      </c>
      <c r="C3065" s="6"/>
      <c r="D3065" s="6" t="s">
        <v>2933</v>
      </c>
      <c r="E3065" s="12" t="s">
        <v>2934</v>
      </c>
    </row>
    <row r="3066">
      <c r="A3066" s="4" t="s">
        <v>3091</v>
      </c>
      <c r="B3066" s="5" t="str">
        <f>IFERROR(__xludf.DUMMYFUNCTION("IF(A3066="""","""",INDEX(SPLIT(A3066,"" ""),COUNTA(SPLIT(A3066,"" ""))))"),"Vigolana")</f>
        <v>Vigolana</v>
      </c>
      <c r="C3066" s="6"/>
      <c r="D3066" s="6" t="s">
        <v>2933</v>
      </c>
      <c r="E3066" s="12" t="s">
        <v>2934</v>
      </c>
    </row>
    <row r="3067">
      <c r="A3067" s="4" t="s">
        <v>3092</v>
      </c>
      <c r="B3067" s="5" t="str">
        <f>IFERROR(__xludf.DUMMYFUNCTION("IF(A3067="""","""",INDEX(SPLIT(A3067,"" ""),COUNTA(SPLIT(A3067,"" ""))))"),"AmblarDon")</f>
        <v>AmblarDon</v>
      </c>
      <c r="C3067" s="6"/>
      <c r="D3067" s="6" t="s">
        <v>2933</v>
      </c>
      <c r="E3067" s="12" t="s">
        <v>2934</v>
      </c>
    </row>
    <row r="3068">
      <c r="A3068" s="4" t="s">
        <v>3093</v>
      </c>
      <c r="B3068" s="5" t="str">
        <f>IFERROR(__xludf.DUMMYFUNCTION("IF(A3068="""","""",INDEX(SPLIT(A3068,"" ""),COUNTA(SPLIT(A3068,"" ""))))"),"Chiese")</f>
        <v>Chiese</v>
      </c>
      <c r="C3068" s="6"/>
      <c r="D3068" s="6" t="s">
        <v>2933</v>
      </c>
      <c r="E3068" s="12" t="s">
        <v>2934</v>
      </c>
    </row>
    <row r="3069">
      <c r="A3069" s="4" t="s">
        <v>3094</v>
      </c>
      <c r="B3069" s="5" t="str">
        <f>IFERROR(__xludf.DUMMYFUNCTION("IF(A3069="""","""",INDEX(SPLIT(A3069,"" ""),COUNTA(SPLIT(A3069,"" ""))))"),"Lares")</f>
        <v>Lares</v>
      </c>
      <c r="C3069" s="6"/>
      <c r="D3069" s="6" t="s">
        <v>2933</v>
      </c>
      <c r="E3069" s="12" t="s">
        <v>2934</v>
      </c>
    </row>
    <row r="3070">
      <c r="A3070" s="4" t="s">
        <v>3095</v>
      </c>
      <c r="B3070" s="5" t="str">
        <f>IFERROR(__xludf.DUMMYFUNCTION("IF(A3070="""","""",INDEX(SPLIT(A3070,"" ""),COUNTA(SPLIT(A3070,"" ""))))"),"Ivano")</f>
        <v>Ivano</v>
      </c>
      <c r="C3070" s="6"/>
      <c r="D3070" s="6" t="s">
        <v>2933</v>
      </c>
      <c r="E3070" s="12" t="s">
        <v>2934</v>
      </c>
    </row>
    <row r="3071">
      <c r="A3071" s="4" t="s">
        <v>3096</v>
      </c>
      <c r="B3071" s="5" t="str">
        <f>IFERROR(__xludf.DUMMYFUNCTION("IF(A3071="""","""",INDEX(SPLIT(A3071,"" ""),COUNTA(SPLIT(A3071,"" ""))))"),"Lisignago")</f>
        <v>Lisignago</v>
      </c>
      <c r="C3071" s="6"/>
      <c r="D3071" s="6" t="s">
        <v>2933</v>
      </c>
      <c r="E3071" s="12" t="s">
        <v>2934</v>
      </c>
    </row>
    <row r="3072">
      <c r="A3072" s="4" t="s">
        <v>3097</v>
      </c>
      <c r="B3072" s="5" t="str">
        <f>IFERROR(__xludf.DUMMYFUNCTION("IF(A3072="""","""",INDEX(SPLIT(A3072,"" ""),COUNTA(SPLIT(A3072,"" ""))))"),"Contà")</f>
        <v>Contà</v>
      </c>
      <c r="C3072" s="6"/>
      <c r="D3072" s="6" t="s">
        <v>2933</v>
      </c>
      <c r="E3072" s="12" t="s">
        <v>2934</v>
      </c>
    </row>
    <row r="3073">
      <c r="A3073" s="4" t="s">
        <v>3098</v>
      </c>
      <c r="B3073" s="5" t="str">
        <f>IFERROR(__xludf.DUMMYFUNCTION("IF(A3073="""","""",INDEX(SPLIT(A3073,"" ""),COUNTA(SPLIT(A3073,"" ""))))"),"Madruzzo")</f>
        <v>Madruzzo</v>
      </c>
      <c r="C3073" s="6"/>
      <c r="D3073" s="6" t="s">
        <v>2933</v>
      </c>
      <c r="E3073" s="12" t="s">
        <v>2934</v>
      </c>
    </row>
    <row r="3074">
      <c r="A3074" s="4" t="s">
        <v>3099</v>
      </c>
      <c r="B3074" s="5" t="str">
        <f>IFERROR(__xludf.DUMMYFUNCTION("IF(A3074="""","""",INDEX(SPLIT(A3074,"" ""),COUNTA(SPLIT(A3074,"" ""))))"),"Rendena")</f>
        <v>Rendena</v>
      </c>
      <c r="C3074" s="6"/>
      <c r="D3074" s="6" t="s">
        <v>2933</v>
      </c>
      <c r="E3074" s="12" t="s">
        <v>2934</v>
      </c>
    </row>
    <row r="3075">
      <c r="A3075" s="4" t="s">
        <v>3100</v>
      </c>
      <c r="B3075" s="5" t="str">
        <f>IFERROR(__xludf.DUMMYFUNCTION("IF(A3075="""","""",INDEX(SPLIT(A3075,"" ""),COUNTA(SPLIT(A3075,"" ""))))"),"Castrozza")</f>
        <v>Castrozza</v>
      </c>
      <c r="C3075" s="6"/>
      <c r="D3075" s="6" t="s">
        <v>2933</v>
      </c>
      <c r="E3075" s="12" t="s">
        <v>2934</v>
      </c>
    </row>
    <row r="3076">
      <c r="A3076" s="4" t="s">
        <v>3101</v>
      </c>
      <c r="B3076" s="5" t="str">
        <f>IFERROR(__xludf.DUMMYFUNCTION("IF(A3076="""","""",INDEX(SPLIT(A3076,"" ""),COUNTA(SPLIT(A3076,"" ""))))"),"Giudicarie")</f>
        <v>Giudicarie</v>
      </c>
      <c r="C3076" s="6"/>
      <c r="D3076" s="6" t="s">
        <v>2933</v>
      </c>
      <c r="E3076" s="12" t="s">
        <v>2934</v>
      </c>
    </row>
    <row r="3077">
      <c r="A3077" s="4" t="s">
        <v>3102</v>
      </c>
      <c r="B3077" s="5" t="str">
        <f>IFERROR(__xludf.DUMMYFUNCTION("IF(A3077="""","""",INDEX(SPLIT(A3077,"" ""),COUNTA(SPLIT(A3077,"" ""))))"),"Ville")</f>
        <v>Ville</v>
      </c>
      <c r="C3077" s="6"/>
      <c r="D3077" s="6" t="s">
        <v>2933</v>
      </c>
      <c r="E3077" s="12" t="s">
        <v>2934</v>
      </c>
    </row>
    <row r="3078">
      <c r="A3078" s="4" t="s">
        <v>3103</v>
      </c>
      <c r="B3078" s="5" t="str">
        <f>IFERROR(__xludf.DUMMYFUNCTION("IF(A3078="""","""",INDEX(SPLIT(A3078,"" ""),COUNTA(SPLIT(A3078,"" ""))))"),"Vallelaghi")</f>
        <v>Vallelaghi</v>
      </c>
      <c r="C3078" s="6"/>
      <c r="D3078" s="6" t="s">
        <v>2933</v>
      </c>
      <c r="E3078" s="12" t="s">
        <v>2934</v>
      </c>
    </row>
    <row r="3079">
      <c r="A3079" s="4" t="s">
        <v>3104</v>
      </c>
      <c r="B3079" s="5" t="str">
        <f>IFERROR(__xludf.DUMMYFUNCTION("IF(A3079="""","""",INDEX(SPLIT(A3079,"" ""),COUNTA(SPLIT(A3079,"" ""))))"),"d'Anaunia")</f>
        <v>d'Anaunia</v>
      </c>
      <c r="C3079" s="6"/>
      <c r="D3079" s="6" t="s">
        <v>2933</v>
      </c>
      <c r="E3079" s="12" t="s">
        <v>2934</v>
      </c>
    </row>
    <row r="3080">
      <c r="A3080" s="4" t="s">
        <v>3105</v>
      </c>
      <c r="B3080" s="5" t="str">
        <f>IFERROR(__xludf.DUMMYFUNCTION("IF(A3080="""","""",INDEX(SPLIT(A3080,"" ""),COUNTA(SPLIT(A3080,"" ""))))"),"Fassa")</f>
        <v>Fassa</v>
      </c>
      <c r="C3080" s="6"/>
      <c r="D3080" s="6" t="s">
        <v>2933</v>
      </c>
      <c r="E3080" s="12" t="s">
        <v>2934</v>
      </c>
    </row>
    <row r="3081">
      <c r="A3081" s="4" t="s">
        <v>3106</v>
      </c>
      <c r="B3081" s="5" t="str">
        <f>IFERROR(__xludf.DUMMYFUNCTION("IF(A3081="""","""",INDEX(SPLIT(A3081,"" ""),COUNTA(SPLIT(A3081,"" ""))))"),"Affi")</f>
        <v>Affi</v>
      </c>
      <c r="C3081" s="6"/>
      <c r="D3081" s="6" t="s">
        <v>3107</v>
      </c>
      <c r="E3081" s="12" t="s">
        <v>3108</v>
      </c>
    </row>
    <row r="3082">
      <c r="A3082" s="4" t="s">
        <v>3109</v>
      </c>
      <c r="B3082" s="5" t="str">
        <f>IFERROR(__xludf.DUMMYFUNCTION("IF(A3082="""","""",INDEX(SPLIT(A3082,"" ""),COUNTA(SPLIT(A3082,"" ""))))"),"d'Adige")</f>
        <v>d'Adige</v>
      </c>
      <c r="C3082" s="6"/>
      <c r="D3082" s="6" t="s">
        <v>3107</v>
      </c>
      <c r="E3082" s="12" t="s">
        <v>3108</v>
      </c>
    </row>
    <row r="3083">
      <c r="A3083" s="4" t="s">
        <v>3110</v>
      </c>
      <c r="B3083" s="5" t="str">
        <f>IFERROR(__xludf.DUMMYFUNCTION("IF(A3083="""","""",INDEX(SPLIT(A3083,"" ""),COUNTA(SPLIT(A3083,"" ""))))"),"Angiari")</f>
        <v>Angiari</v>
      </c>
      <c r="C3083" s="6"/>
      <c r="D3083" s="6" t="s">
        <v>3107</v>
      </c>
      <c r="E3083" s="12" t="s">
        <v>3108</v>
      </c>
    </row>
    <row r="3084">
      <c r="A3084" s="4" t="s">
        <v>3111</v>
      </c>
      <c r="B3084" s="5" t="str">
        <f>IFERROR(__xludf.DUMMYFUNCTION("IF(A3084="""","""",INDEX(SPLIT(A3084,"" ""),COUNTA(SPLIT(A3084,"" ""))))"),"Arcole")</f>
        <v>Arcole</v>
      </c>
      <c r="C3084" s="6"/>
      <c r="D3084" s="6" t="s">
        <v>3107</v>
      </c>
      <c r="E3084" s="12" t="s">
        <v>3108</v>
      </c>
    </row>
    <row r="3085">
      <c r="A3085" s="4" t="s">
        <v>3112</v>
      </c>
      <c r="B3085" s="5" t="str">
        <f>IFERROR(__xludf.DUMMYFUNCTION("IF(A3085="""","""",INDEX(SPLIT(A3085,"" ""),COUNTA(SPLIT(A3085,"" ""))))"),"Calavena")</f>
        <v>Calavena</v>
      </c>
      <c r="C3085" s="6"/>
      <c r="D3085" s="6" t="s">
        <v>3107</v>
      </c>
      <c r="E3085" s="12" t="s">
        <v>3108</v>
      </c>
    </row>
    <row r="3086">
      <c r="A3086" s="4" t="s">
        <v>3113</v>
      </c>
      <c r="B3086" s="5" t="str">
        <f>IFERROR(__xludf.DUMMYFUNCTION("IF(A3086="""","""",INDEX(SPLIT(A3086,"" ""),COUNTA(SPLIT(A3086,"" ""))))"),"Bardolino")</f>
        <v>Bardolino</v>
      </c>
      <c r="C3086" s="6"/>
      <c r="D3086" s="6" t="s">
        <v>3107</v>
      </c>
      <c r="E3086" s="12" t="s">
        <v>3108</v>
      </c>
    </row>
    <row r="3087">
      <c r="A3087" s="4" t="s">
        <v>3114</v>
      </c>
      <c r="B3087" s="5" t="str">
        <f>IFERROR(__xludf.DUMMYFUNCTION("IF(A3087="""","""",INDEX(SPLIT(A3087,"" ""),COUNTA(SPLIT(A3087,"" ""))))"),"Belfiore")</f>
        <v>Belfiore</v>
      </c>
      <c r="C3087" s="6"/>
      <c r="D3087" s="6" t="s">
        <v>3107</v>
      </c>
      <c r="E3087" s="12" t="s">
        <v>3108</v>
      </c>
    </row>
    <row r="3088">
      <c r="A3088" s="4" t="s">
        <v>3115</v>
      </c>
      <c r="B3088" s="5" t="str">
        <f>IFERROR(__xludf.DUMMYFUNCTION("IF(A3088="""","""",INDEX(SPLIT(A3088,"" ""),COUNTA(SPLIT(A3088,"" ""))))"),"Bevilacqua")</f>
        <v>Bevilacqua</v>
      </c>
      <c r="C3088" s="6"/>
      <c r="D3088" s="6" t="s">
        <v>3107</v>
      </c>
      <c r="E3088" s="12" t="s">
        <v>3108</v>
      </c>
    </row>
    <row r="3089">
      <c r="A3089" s="4" t="s">
        <v>3116</v>
      </c>
      <c r="B3089" s="5" t="str">
        <f>IFERROR(__xludf.DUMMYFUNCTION("IF(A3089="""","""",INDEX(SPLIT(A3089,"" ""),COUNTA(SPLIT(A3089,"" ""))))"),"Bonavigo")</f>
        <v>Bonavigo</v>
      </c>
      <c r="C3089" s="6"/>
      <c r="D3089" s="6" t="s">
        <v>3107</v>
      </c>
      <c r="E3089" s="12" t="s">
        <v>3108</v>
      </c>
    </row>
    <row r="3090">
      <c r="A3090" s="4" t="s">
        <v>3117</v>
      </c>
      <c r="B3090" s="5" t="str">
        <f>IFERROR(__xludf.DUMMYFUNCTION("IF(A3090="""","""",INDEX(SPLIT(A3090,"" ""),COUNTA(SPLIT(A3090,"" ""))))"),"Sant'Anna")</f>
        <v>Sant'Anna</v>
      </c>
      <c r="C3090" s="6"/>
      <c r="D3090" s="6" t="s">
        <v>3107</v>
      </c>
      <c r="E3090" s="12" t="s">
        <v>3108</v>
      </c>
    </row>
    <row r="3091">
      <c r="A3091" s="4" t="s">
        <v>3118</v>
      </c>
      <c r="B3091" s="5" t="str">
        <f>IFERROR(__xludf.DUMMYFUNCTION("IF(A3091="""","""",INDEX(SPLIT(A3091,"" ""),COUNTA(SPLIT(A3091,"" ""))))"),"Chiesanuova")</f>
        <v>Chiesanuova</v>
      </c>
      <c r="C3091" s="6"/>
      <c r="D3091" s="6" t="s">
        <v>3107</v>
      </c>
      <c r="E3091" s="12" t="s">
        <v>3108</v>
      </c>
    </row>
    <row r="3092">
      <c r="A3092" s="4" t="s">
        <v>3119</v>
      </c>
      <c r="B3092" s="5" t="str">
        <f>IFERROR(__xludf.DUMMYFUNCTION("IF(A3092="""","""",INDEX(SPLIT(A3092,"" ""),COUNTA(SPLIT(A3092,"" ""))))"),"Bovolone")</f>
        <v>Bovolone</v>
      </c>
      <c r="C3092" s="6"/>
      <c r="D3092" s="6" t="s">
        <v>3107</v>
      </c>
      <c r="E3092" s="12" t="s">
        <v>3108</v>
      </c>
    </row>
    <row r="3093">
      <c r="A3093" s="4" t="s">
        <v>3120</v>
      </c>
      <c r="B3093" s="5" t="str">
        <f>IFERROR(__xludf.DUMMYFUNCTION("IF(A3093="""","""",INDEX(SPLIT(A3093,"" ""),COUNTA(SPLIT(A3093,"" ""))))"),"Belluno")</f>
        <v>Belluno</v>
      </c>
      <c r="C3093" s="6"/>
      <c r="D3093" s="6" t="s">
        <v>3107</v>
      </c>
      <c r="E3093" s="12" t="s">
        <v>3108</v>
      </c>
    </row>
    <row r="3094">
      <c r="A3094" s="4" t="s">
        <v>3121</v>
      </c>
      <c r="B3094" s="5" t="str">
        <f>IFERROR(__xludf.DUMMYFUNCTION("IF(A3094="""","""",INDEX(SPLIT(A3094,"" ""),COUNTA(SPLIT(A3094,"" ""))))"),"Garda")</f>
        <v>Garda</v>
      </c>
      <c r="C3094" s="6"/>
      <c r="D3094" s="6" t="s">
        <v>3107</v>
      </c>
      <c r="E3094" s="12" t="s">
        <v>3108</v>
      </c>
    </row>
    <row r="3095">
      <c r="A3095" s="4" t="s">
        <v>3122</v>
      </c>
      <c r="B3095" s="5" t="str">
        <f>IFERROR(__xludf.DUMMYFUNCTION("IF(A3095="""","""",INDEX(SPLIT(A3095,"" ""),COUNTA(SPLIT(A3095,"" ""))))"),"Bussolengo")</f>
        <v>Bussolengo</v>
      </c>
      <c r="C3095" s="6"/>
      <c r="D3095" s="6" t="s">
        <v>3107</v>
      </c>
      <c r="E3095" s="12" t="s">
        <v>3108</v>
      </c>
    </row>
    <row r="3096">
      <c r="A3096" s="4" t="s">
        <v>3123</v>
      </c>
      <c r="B3096" s="5" t="str">
        <f>IFERROR(__xludf.DUMMYFUNCTION("IF(A3096="""","""",INDEX(SPLIT(A3096,"" ""),COUNTA(SPLIT(A3096,"" ""))))"),"Buttapietra")</f>
        <v>Buttapietra</v>
      </c>
      <c r="C3096" s="6"/>
      <c r="D3096" s="6" t="s">
        <v>3107</v>
      </c>
      <c r="E3096" s="12" t="s">
        <v>3108</v>
      </c>
    </row>
    <row r="3097">
      <c r="A3097" s="4" t="s">
        <v>3124</v>
      </c>
      <c r="B3097" s="5" t="str">
        <f>IFERROR(__xludf.DUMMYFUNCTION("IF(A3097="""","""",INDEX(SPLIT(A3097,"" ""),COUNTA(SPLIT(A3097,"" ""))))"),"Caldiero")</f>
        <v>Caldiero</v>
      </c>
      <c r="C3097" s="6"/>
      <c r="D3097" s="6" t="s">
        <v>3107</v>
      </c>
      <c r="E3097" s="12" t="s">
        <v>3108</v>
      </c>
    </row>
    <row r="3098">
      <c r="A3098" s="4" t="s">
        <v>3125</v>
      </c>
      <c r="B3098" s="5" t="str">
        <f>IFERROR(__xludf.DUMMYFUNCTION("IF(A3098="""","""",INDEX(SPLIT(A3098,"" ""),COUNTA(SPLIT(A3098,"" ""))))"),"Veronese")</f>
        <v>Veronese</v>
      </c>
      <c r="C3098" s="6"/>
      <c r="D3098" s="6" t="s">
        <v>3107</v>
      </c>
      <c r="E3098" s="12" t="s">
        <v>3108</v>
      </c>
    </row>
    <row r="3099">
      <c r="A3099" s="4" t="s">
        <v>3126</v>
      </c>
      <c r="B3099" s="5" t="str">
        <f>IFERROR(__xludf.DUMMYFUNCTION("IF(A3099="""","""",INDEX(SPLIT(A3099,"" ""),COUNTA(SPLIT(A3099,"" ""))))"),"Casaleone")</f>
        <v>Casaleone</v>
      </c>
      <c r="C3099" s="6"/>
      <c r="D3099" s="6" t="s">
        <v>3107</v>
      </c>
      <c r="E3099" s="12" t="s">
        <v>3108</v>
      </c>
    </row>
    <row r="3100">
      <c r="A3100" s="4" t="s">
        <v>3127</v>
      </c>
      <c r="B3100" s="5" t="str">
        <f>IFERROR(__xludf.DUMMYFUNCTION("IF(A3100="""","""",INDEX(SPLIT(A3100,"" ""),COUNTA(SPLIT(A3100,"" ""))))"),"Castagnaro")</f>
        <v>Castagnaro</v>
      </c>
      <c r="C3100" s="6"/>
      <c r="D3100" s="6" t="s">
        <v>3107</v>
      </c>
      <c r="E3100" s="12" t="s">
        <v>3108</v>
      </c>
    </row>
    <row r="3101">
      <c r="A3101" s="4" t="s">
        <v>3128</v>
      </c>
      <c r="B3101" s="5" t="str">
        <f>IFERROR(__xludf.DUMMYFUNCTION("IF(A3101="""","""",INDEX(SPLIT(A3101,"" ""),COUNTA(SPLIT(A3101,"" ""))))"),"d'Azzano")</f>
        <v>d'Azzano</v>
      </c>
      <c r="C3101" s="6"/>
      <c r="D3101" s="6" t="s">
        <v>3107</v>
      </c>
      <c r="E3101" s="12" t="s">
        <v>3108</v>
      </c>
    </row>
    <row r="3102">
      <c r="A3102" s="4" t="s">
        <v>3129</v>
      </c>
      <c r="B3102" s="5" t="str">
        <f>IFERROR(__xludf.DUMMYFUNCTION("IF(A3102="""","""",INDEX(SPLIT(A3102,"" ""),COUNTA(SPLIT(A3102,"" ""))))"),"Garda")</f>
        <v>Garda</v>
      </c>
      <c r="C3102" s="6"/>
      <c r="D3102" s="6" t="s">
        <v>3107</v>
      </c>
      <c r="E3102" s="12" t="s">
        <v>3108</v>
      </c>
    </row>
    <row r="3103">
      <c r="A3103" s="4" t="s">
        <v>3130</v>
      </c>
      <c r="B3103" s="5" t="str">
        <f>IFERROR(__xludf.DUMMYFUNCTION("IF(A3103="""","""",INDEX(SPLIT(A3103,"" ""),COUNTA(SPLIT(A3103,"" ""))))"),"Veronese")</f>
        <v>Veronese</v>
      </c>
      <c r="C3103" s="6"/>
      <c r="D3103" s="6" t="s">
        <v>3107</v>
      </c>
      <c r="E3103" s="12" t="s">
        <v>3108</v>
      </c>
    </row>
    <row r="3104">
      <c r="A3104" s="4" t="s">
        <v>3131</v>
      </c>
      <c r="B3104" s="5" t="str">
        <f>IFERROR(__xludf.DUMMYFUNCTION("IF(A3104="""","""",INDEX(SPLIT(A3104,"" ""),COUNTA(SPLIT(A3104,"" ""))))"),"Tramigna")</f>
        <v>Tramigna</v>
      </c>
      <c r="C3104" s="6"/>
      <c r="D3104" s="6" t="s">
        <v>3107</v>
      </c>
      <c r="E3104" s="12" t="s">
        <v>3108</v>
      </c>
    </row>
    <row r="3105">
      <c r="A3105" s="4" t="s">
        <v>3132</v>
      </c>
      <c r="B3105" s="5" t="str">
        <f>IFERROR(__xludf.DUMMYFUNCTION("IF(A3105="""","""",INDEX(SPLIT(A3105,"" ""),COUNTA(SPLIT(A3105,"" ""))))"),"Cerea")</f>
        <v>Cerea</v>
      </c>
      <c r="C3105" s="6"/>
      <c r="D3105" s="6" t="s">
        <v>3107</v>
      </c>
      <c r="E3105" s="12" t="s">
        <v>3108</v>
      </c>
    </row>
    <row r="3106">
      <c r="A3106" s="4" t="s">
        <v>3133</v>
      </c>
      <c r="B3106" s="5" t="str">
        <f>IFERROR(__xludf.DUMMYFUNCTION("IF(A3106="""","""",INDEX(SPLIT(A3106,"" ""),COUNTA(SPLIT(A3106,"" ""))))"),"Veronese")</f>
        <v>Veronese</v>
      </c>
      <c r="C3106" s="6"/>
      <c r="D3106" s="6" t="s">
        <v>3107</v>
      </c>
      <c r="E3106" s="12" t="s">
        <v>3108</v>
      </c>
    </row>
    <row r="3107">
      <c r="A3107" s="4" t="s">
        <v>3134</v>
      </c>
      <c r="B3107" s="5" t="str">
        <f>IFERROR(__xludf.DUMMYFUNCTION("IF(A3107="""","""",INDEX(SPLIT(A3107,"" ""),COUNTA(SPLIT(A3107,"" ""))))"),"Veneta")</f>
        <v>Veneta</v>
      </c>
      <c r="C3107" s="6"/>
      <c r="D3107" s="6" t="s">
        <v>3107</v>
      </c>
      <c r="E3107" s="12" t="s">
        <v>3108</v>
      </c>
    </row>
    <row r="3108">
      <c r="A3108" s="4" t="s">
        <v>3135</v>
      </c>
      <c r="B3108" s="5" t="str">
        <f>IFERROR(__xludf.DUMMYFUNCTION("IF(A3108="""","""",INDEX(SPLIT(A3108,"" ""),COUNTA(SPLIT(A3108,"" ""))))"),"Colli")</f>
        <v>Colli</v>
      </c>
      <c r="C3108" s="6"/>
      <c r="D3108" s="6" t="s">
        <v>3107</v>
      </c>
      <c r="E3108" s="12" t="s">
        <v>3108</v>
      </c>
    </row>
    <row r="3109">
      <c r="A3109" s="4" t="s">
        <v>3136</v>
      </c>
      <c r="B3109" s="5" t="str">
        <f>IFERROR(__xludf.DUMMYFUNCTION("IF(A3109="""","""",INDEX(SPLIT(A3109,"" ""),COUNTA(SPLIT(A3109,"" ""))))"),"Concamarise")</f>
        <v>Concamarise</v>
      </c>
      <c r="C3109" s="6"/>
      <c r="D3109" s="6" t="s">
        <v>3107</v>
      </c>
      <c r="E3109" s="12" t="s">
        <v>3108</v>
      </c>
    </row>
    <row r="3110">
      <c r="A3110" s="4" t="s">
        <v>3137</v>
      </c>
      <c r="B3110" s="5" t="str">
        <f>IFERROR(__xludf.DUMMYFUNCTION("IF(A3110="""","""",INDEX(SPLIT(A3110,"" ""),COUNTA(SPLIT(A3110,"" ""))))"),"Garda")</f>
        <v>Garda</v>
      </c>
      <c r="C3110" s="6"/>
      <c r="D3110" s="6" t="s">
        <v>3107</v>
      </c>
      <c r="E3110" s="12" t="s">
        <v>3108</v>
      </c>
    </row>
    <row r="3111">
      <c r="A3111" s="4" t="s">
        <v>3138</v>
      </c>
      <c r="B3111" s="5" t="str">
        <f>IFERROR(__xludf.DUMMYFUNCTION("IF(A3111="""","""",INDEX(SPLIT(A3111,"" ""),COUNTA(SPLIT(A3111,"" ""))))"),"Dolcè")</f>
        <v>Dolcè</v>
      </c>
      <c r="C3111" s="6"/>
      <c r="D3111" s="6" t="s">
        <v>3107</v>
      </c>
      <c r="E3111" s="12" t="s">
        <v>3108</v>
      </c>
    </row>
    <row r="3112">
      <c r="A3112" s="4" t="s">
        <v>3139</v>
      </c>
      <c r="B3112" s="5" t="str">
        <f>IFERROR(__xludf.DUMMYFUNCTION("IF(A3112="""","""",INDEX(SPLIT(A3112,"" ""),COUNTA(SPLIT(A3112,"" ""))))"),"Erbè")</f>
        <v>Erbè</v>
      </c>
      <c r="C3112" s="6"/>
      <c r="D3112" s="6" t="s">
        <v>3107</v>
      </c>
      <c r="E3112" s="12" t="s">
        <v>3108</v>
      </c>
    </row>
    <row r="3113">
      <c r="A3113" s="4" t="s">
        <v>3140</v>
      </c>
      <c r="B3113" s="5" t="str">
        <f>IFERROR(__xludf.DUMMYFUNCTION("IF(A3113="""","""",INDEX(SPLIT(A3113,"" ""),COUNTA(SPLIT(A3113,"" ""))))"),"Erbezzo")</f>
        <v>Erbezzo</v>
      </c>
      <c r="C3113" s="6"/>
      <c r="D3113" s="6" t="s">
        <v>3107</v>
      </c>
      <c r="E3113" s="12" t="s">
        <v>3108</v>
      </c>
    </row>
    <row r="3114">
      <c r="A3114" s="4" t="s">
        <v>3141</v>
      </c>
      <c r="B3114" s="5" t="str">
        <f>IFERROR(__xludf.DUMMYFUNCTION("IF(A3114="""","""",INDEX(SPLIT(A3114,"" ""),COUNTA(SPLIT(A3114,"" ""))))"),"Baldo")</f>
        <v>Baldo</v>
      </c>
      <c r="C3114" s="6"/>
      <c r="D3114" s="6" t="s">
        <v>3107</v>
      </c>
      <c r="E3114" s="12" t="s">
        <v>3108</v>
      </c>
    </row>
    <row r="3115">
      <c r="A3115" s="4" t="s">
        <v>3142</v>
      </c>
      <c r="B3115" s="5" t="str">
        <f>IFERROR(__xludf.DUMMYFUNCTION("IF(A3115="""","""",INDEX(SPLIT(A3115,"" ""),COUNTA(SPLIT(A3115,"" ""))))"),"Fumane")</f>
        <v>Fumane</v>
      </c>
      <c r="C3115" s="6"/>
      <c r="D3115" s="6" t="s">
        <v>3107</v>
      </c>
      <c r="E3115" s="12" t="s">
        <v>3108</v>
      </c>
    </row>
    <row r="3116">
      <c r="A3116" s="4" t="s">
        <v>3143</v>
      </c>
      <c r="B3116" s="5" t="str">
        <f>IFERROR(__xludf.DUMMYFUNCTION("IF(A3116="""","""",INDEX(SPLIT(A3116,"" ""),COUNTA(SPLIT(A3116,"" ""))))"),"Garda")</f>
        <v>Garda</v>
      </c>
      <c r="C3116" s="6"/>
      <c r="D3116" s="6" t="s">
        <v>3107</v>
      </c>
      <c r="E3116" s="12" t="s">
        <v>3108</v>
      </c>
    </row>
    <row r="3117">
      <c r="A3117" s="4" t="s">
        <v>3144</v>
      </c>
      <c r="B3117" s="5" t="str">
        <f>IFERROR(__xludf.DUMMYFUNCTION("IF(A3117="""","""",INDEX(SPLIT(A3117,"" ""),COUNTA(SPLIT(A3117,"" ""))))"),"Veronese")</f>
        <v>Veronese</v>
      </c>
      <c r="C3117" s="6"/>
      <c r="D3117" s="6" t="s">
        <v>3107</v>
      </c>
      <c r="E3117" s="12" t="s">
        <v>3108</v>
      </c>
    </row>
    <row r="3118">
      <c r="A3118" s="4" t="s">
        <v>3145</v>
      </c>
      <c r="B3118" s="5" t="str">
        <f>IFERROR(__xludf.DUMMYFUNCTION("IF(A3118="""","""",INDEX(SPLIT(A3118,"" ""),COUNTA(SPLIT(A3118,"" ""))))"),"Grezzana")</f>
        <v>Grezzana</v>
      </c>
      <c r="C3118" s="6"/>
      <c r="D3118" s="6" t="s">
        <v>3107</v>
      </c>
      <c r="E3118" s="12" t="s">
        <v>3108</v>
      </c>
    </row>
    <row r="3119">
      <c r="A3119" s="4" t="s">
        <v>3146</v>
      </c>
      <c r="B3119" s="5" t="str">
        <f>IFERROR(__xludf.DUMMYFUNCTION("IF(A3119="""","""",INDEX(SPLIT(A3119,"" ""),COUNTA(SPLIT(A3119,"" ""))))"),"Illasi")</f>
        <v>Illasi</v>
      </c>
      <c r="C3119" s="6"/>
      <c r="D3119" s="6" t="s">
        <v>3107</v>
      </c>
      <c r="E3119" s="12" t="s">
        <v>3108</v>
      </c>
    </row>
    <row r="3120">
      <c r="A3120" s="4" t="s">
        <v>3147</v>
      </c>
      <c r="B3120" s="5" t="str">
        <f>IFERROR(__xludf.DUMMYFUNCTION("IF(A3120="""","""",INDEX(SPLIT(A3120,"" ""),COUNTA(SPLIT(A3120,"" ""))))"),"Scala")</f>
        <v>Scala</v>
      </c>
      <c r="C3120" s="6"/>
      <c r="D3120" s="6" t="s">
        <v>3107</v>
      </c>
      <c r="E3120" s="12" t="s">
        <v>3108</v>
      </c>
    </row>
    <row r="3121">
      <c r="A3121" s="4" t="s">
        <v>3148</v>
      </c>
      <c r="B3121" s="5" t="str">
        <f>IFERROR(__xludf.DUMMYFUNCTION("IF(A3121="""","""",INDEX(SPLIT(A3121,"" ""),COUNTA(SPLIT(A3121,"" ""))))"),"Rizza")</f>
        <v>Rizza</v>
      </c>
      <c r="C3121" s="6"/>
      <c r="D3121" s="6" t="s">
        <v>3107</v>
      </c>
      <c r="E3121" s="12" t="s">
        <v>3108</v>
      </c>
    </row>
    <row r="3122">
      <c r="A3122" s="4" t="s">
        <v>3149</v>
      </c>
      <c r="B3122" s="5" t="str">
        <f>IFERROR(__xludf.DUMMYFUNCTION("IF(A3122="""","""",INDEX(SPLIT(A3122,"" ""),COUNTA(SPLIT(A3122,"" ""))))"),"Lavagno")</f>
        <v>Lavagno</v>
      </c>
      <c r="C3122" s="6"/>
      <c r="D3122" s="6" t="s">
        <v>3107</v>
      </c>
      <c r="E3122" s="12" t="s">
        <v>3108</v>
      </c>
    </row>
    <row r="3123">
      <c r="A3123" s="4" t="s">
        <v>3150</v>
      </c>
      <c r="B3123" s="5" t="str">
        <f>IFERROR(__xludf.DUMMYFUNCTION("IF(A3123="""","""",INDEX(SPLIT(A3123,"" ""),COUNTA(SPLIT(A3123,"" ""))))"),"Lazise")</f>
        <v>Lazise</v>
      </c>
      <c r="C3123" s="6"/>
      <c r="D3123" s="6" t="s">
        <v>3107</v>
      </c>
      <c r="E3123" s="12" t="s">
        <v>3108</v>
      </c>
    </row>
    <row r="3124">
      <c r="A3124" s="4" t="s">
        <v>3151</v>
      </c>
      <c r="B3124" s="5" t="str">
        <f>IFERROR(__xludf.DUMMYFUNCTION("IF(A3124="""","""",INDEX(SPLIT(A3124,"" ""),COUNTA(SPLIT(A3124,"" ""))))"),"Legnago")</f>
        <v>Legnago</v>
      </c>
      <c r="C3124" s="6"/>
      <c r="D3124" s="6" t="s">
        <v>3107</v>
      </c>
      <c r="E3124" s="12" t="s">
        <v>3108</v>
      </c>
    </row>
    <row r="3125">
      <c r="A3125" s="4" t="s">
        <v>3152</v>
      </c>
      <c r="B3125" s="5" t="str">
        <f>IFERROR(__xludf.DUMMYFUNCTION("IF(A3125="""","""",INDEX(SPLIT(A3125,"" ""),COUNTA(SPLIT(A3125,"" ""))))"),"Malcesine")</f>
        <v>Malcesine</v>
      </c>
      <c r="C3125" s="6"/>
      <c r="D3125" s="6" t="s">
        <v>3107</v>
      </c>
      <c r="E3125" s="12" t="s">
        <v>3108</v>
      </c>
    </row>
    <row r="3126">
      <c r="A3126" s="4" t="s">
        <v>3153</v>
      </c>
      <c r="B3126" s="5" t="str">
        <f>IFERROR(__xludf.DUMMYFUNCTION("IF(A3126="""","""",INDEX(SPLIT(A3126,"" ""),COUNTA(SPLIT(A3126,"" ""))))"),"Valpolicella")</f>
        <v>Valpolicella</v>
      </c>
      <c r="C3126" s="6"/>
      <c r="D3126" s="6" t="s">
        <v>3107</v>
      </c>
      <c r="E3126" s="12" t="s">
        <v>3108</v>
      </c>
    </row>
    <row r="3127">
      <c r="A3127" s="4" t="s">
        <v>3154</v>
      </c>
      <c r="B3127" s="5" t="str">
        <f>IFERROR(__xludf.DUMMYFUNCTION("IF(A3127="""","""",INDEX(SPLIT(A3127,"" ""),COUNTA(SPLIT(A3127,"" ""))))"),"Sotto")</f>
        <v>Sotto</v>
      </c>
      <c r="C3127" s="6"/>
      <c r="D3127" s="6" t="s">
        <v>3107</v>
      </c>
      <c r="E3127" s="12" t="s">
        <v>3108</v>
      </c>
    </row>
    <row r="3128">
      <c r="A3128" s="4" t="s">
        <v>3155</v>
      </c>
      <c r="B3128" s="5" t="str">
        <f>IFERROR(__xludf.DUMMYFUNCTION("IF(A3128="""","""",INDEX(SPLIT(A3128,"" ""),COUNTA(SPLIT(A3128,"" ""))))"),"Minerbe")</f>
        <v>Minerbe</v>
      </c>
      <c r="C3128" s="6"/>
      <c r="D3128" s="6" t="s">
        <v>3107</v>
      </c>
      <c r="E3128" s="12" t="s">
        <v>3108</v>
      </c>
    </row>
    <row r="3129">
      <c r="A3129" s="4" t="s">
        <v>3156</v>
      </c>
      <c r="B3129" s="5" t="str">
        <f>IFERROR(__xludf.DUMMYFUNCTION("IF(A3129="""","""",INDEX(SPLIT(A3129,"" ""),COUNTA(SPLIT(A3129,"" ""))))"),"Crosara")</f>
        <v>Crosara</v>
      </c>
      <c r="C3129" s="6"/>
      <c r="D3129" s="6" t="s">
        <v>3107</v>
      </c>
      <c r="E3129" s="12" t="s">
        <v>3108</v>
      </c>
    </row>
    <row r="3130">
      <c r="A3130" s="4" t="s">
        <v>3157</v>
      </c>
      <c r="B3130" s="5" t="str">
        <f>IFERROR(__xludf.DUMMYFUNCTION("IF(A3130="""","""",INDEX(SPLIT(A3130,"" ""),COUNTA(SPLIT(A3130,"" ""))))"),"d'Alpone")</f>
        <v>d'Alpone</v>
      </c>
      <c r="C3130" s="6"/>
      <c r="D3130" s="6" t="s">
        <v>3107</v>
      </c>
      <c r="E3130" s="12" t="s">
        <v>3108</v>
      </c>
    </row>
    <row r="3131">
      <c r="A3131" s="4" t="s">
        <v>3158</v>
      </c>
      <c r="B3131" s="5" t="str">
        <f>IFERROR(__xludf.DUMMYFUNCTION("IF(A3131="""","""",INDEX(SPLIT(A3131,"" ""),COUNTA(SPLIT(A3131,"" ""))))"),"Mozzecane")</f>
        <v>Mozzecane</v>
      </c>
      <c r="C3131" s="6"/>
      <c r="D3131" s="6" t="s">
        <v>3107</v>
      </c>
      <c r="E3131" s="12" t="s">
        <v>3108</v>
      </c>
    </row>
    <row r="3132">
      <c r="A3132" s="4" t="s">
        <v>3159</v>
      </c>
      <c r="B3132" s="5" t="str">
        <f>IFERROR(__xludf.DUMMYFUNCTION("IF(A3132="""","""",INDEX(SPLIT(A3132,"" ""),COUNTA(SPLIT(A3132,"" ""))))"),"Negrar")</f>
        <v>Negrar</v>
      </c>
      <c r="C3132" s="6"/>
      <c r="D3132" s="6" t="s">
        <v>3107</v>
      </c>
      <c r="E3132" s="12" t="s">
        <v>3108</v>
      </c>
    </row>
    <row r="3133">
      <c r="A3133" s="4" t="s">
        <v>3160</v>
      </c>
      <c r="B3133" s="5" t="str">
        <f>IFERROR(__xludf.DUMMYFUNCTION("IF(A3133="""","""",INDEX(SPLIT(A3133,"" ""),COUNTA(SPLIT(A3133,"" ""))))"),"Nogara")</f>
        <v>Nogara</v>
      </c>
      <c r="C3133" s="6"/>
      <c r="D3133" s="6" t="s">
        <v>3107</v>
      </c>
      <c r="E3133" s="12" t="s">
        <v>3108</v>
      </c>
    </row>
    <row r="3134">
      <c r="A3134" s="4" t="s">
        <v>3161</v>
      </c>
      <c r="B3134" s="5" t="str">
        <f>IFERROR(__xludf.DUMMYFUNCTION("IF(A3134="""","""",INDEX(SPLIT(A3134,"" ""),COUNTA(SPLIT(A3134,"" ""))))"),"Rocca")</f>
        <v>Rocca</v>
      </c>
      <c r="C3134" s="6"/>
      <c r="D3134" s="6" t="s">
        <v>3107</v>
      </c>
      <c r="E3134" s="12" t="s">
        <v>3108</v>
      </c>
    </row>
    <row r="3135">
      <c r="A3135" s="4" t="s">
        <v>3162</v>
      </c>
      <c r="B3135" s="5" t="str">
        <f>IFERROR(__xludf.DUMMYFUNCTION("IF(A3135="""","""",INDEX(SPLIT(A3135,"" ""),COUNTA(SPLIT(A3135,"" ""))))"),"Oppeano")</f>
        <v>Oppeano</v>
      </c>
      <c r="C3135" s="6"/>
      <c r="D3135" s="6" t="s">
        <v>3107</v>
      </c>
      <c r="E3135" s="12" t="s">
        <v>3108</v>
      </c>
    </row>
    <row r="3136">
      <c r="A3136" s="4" t="s">
        <v>3163</v>
      </c>
      <c r="B3136" s="5" t="str">
        <f>IFERROR(__xludf.DUMMYFUNCTION("IF(A3136="""","""",INDEX(SPLIT(A3136,"" ""),COUNTA(SPLIT(A3136,"" ""))))"),"Palù")</f>
        <v>Palù</v>
      </c>
      <c r="C3136" s="6"/>
      <c r="D3136" s="6" t="s">
        <v>3107</v>
      </c>
      <c r="E3136" s="12" t="s">
        <v>3108</v>
      </c>
    </row>
    <row r="3137">
      <c r="A3137" s="4" t="s">
        <v>3164</v>
      </c>
      <c r="B3137" s="5" t="str">
        <f>IFERROR(__xludf.DUMMYFUNCTION("IF(A3137="""","""",INDEX(SPLIT(A3137,"" ""),COUNTA(SPLIT(A3137,"" ""))))"),"Pastrengo")</f>
        <v>Pastrengo</v>
      </c>
      <c r="C3137" s="6"/>
      <c r="D3137" s="6" t="s">
        <v>3107</v>
      </c>
      <c r="E3137" s="12" t="s">
        <v>3108</v>
      </c>
    </row>
    <row r="3138">
      <c r="A3138" s="4" t="s">
        <v>3165</v>
      </c>
      <c r="B3138" s="5" t="str">
        <f>IFERROR(__xludf.DUMMYFUNCTION("IF(A3138="""","""",INDEX(SPLIT(A3138,"" ""),COUNTA(SPLIT(A3138,"" ""))))"),"Pescantina")</f>
        <v>Pescantina</v>
      </c>
      <c r="C3138" s="6"/>
      <c r="D3138" s="6" t="s">
        <v>3107</v>
      </c>
      <c r="E3138" s="12" t="s">
        <v>3108</v>
      </c>
    </row>
    <row r="3139">
      <c r="A3139" s="4" t="s">
        <v>3166</v>
      </c>
      <c r="B3139" s="5" t="str">
        <f>IFERROR(__xludf.DUMMYFUNCTION("IF(A3139="""","""",INDEX(SPLIT(A3139,"" ""),COUNTA(SPLIT(A3139,"" ""))))"),"Garda")</f>
        <v>Garda</v>
      </c>
      <c r="C3139" s="6"/>
      <c r="D3139" s="6" t="s">
        <v>3107</v>
      </c>
      <c r="E3139" s="12" t="s">
        <v>3108</v>
      </c>
    </row>
    <row r="3140">
      <c r="A3140" s="4" t="s">
        <v>3167</v>
      </c>
      <c r="B3140" s="5" t="str">
        <f>IFERROR(__xludf.DUMMYFUNCTION("IF(A3140="""","""",INDEX(SPLIT(A3140,"" ""),COUNTA(SPLIT(A3140,"" ""))))"),"Veronese")</f>
        <v>Veronese</v>
      </c>
      <c r="C3140" s="6"/>
      <c r="D3140" s="6" t="s">
        <v>3107</v>
      </c>
      <c r="E3140" s="12" t="s">
        <v>3108</v>
      </c>
    </row>
    <row r="3141">
      <c r="A3141" s="4" t="s">
        <v>3168</v>
      </c>
      <c r="B3141" s="5" t="str">
        <f>IFERROR(__xludf.DUMMYFUNCTION("IF(A3141="""","""",INDEX(SPLIT(A3141,"" ""),COUNTA(SPLIT(A3141,"" ""))))"),"Pressana")</f>
        <v>Pressana</v>
      </c>
      <c r="C3141" s="6"/>
      <c r="D3141" s="6" t="s">
        <v>3107</v>
      </c>
      <c r="E3141" s="12" t="s">
        <v>3108</v>
      </c>
    </row>
    <row r="3142">
      <c r="A3142" s="4" t="s">
        <v>3169</v>
      </c>
      <c r="B3142" s="5" t="str">
        <f>IFERROR(__xludf.DUMMYFUNCTION("IF(A3142="""","""",INDEX(SPLIT(A3142,"" ""),COUNTA(SPLIT(A3142,"" ""))))"),"Veronese")</f>
        <v>Veronese</v>
      </c>
      <c r="C3142" s="6"/>
      <c r="D3142" s="6" t="s">
        <v>3107</v>
      </c>
      <c r="E3142" s="12" t="s">
        <v>3108</v>
      </c>
    </row>
    <row r="3143">
      <c r="A3143" s="4" t="s">
        <v>3170</v>
      </c>
      <c r="B3143" s="5" t="str">
        <f>IFERROR(__xludf.DUMMYFUNCTION("IF(A3143="""","""",INDEX(SPLIT(A3143,"" ""),COUNTA(SPLIT(A3143,"" ""))))"),"Roncà")</f>
        <v>Roncà</v>
      </c>
      <c r="C3143" s="6"/>
      <c r="D3143" s="6" t="s">
        <v>3107</v>
      </c>
      <c r="E3143" s="12" t="s">
        <v>3108</v>
      </c>
    </row>
    <row r="3144">
      <c r="A3144" s="4" t="s">
        <v>3171</v>
      </c>
      <c r="B3144" s="5" t="str">
        <f>IFERROR(__xludf.DUMMYFUNCTION("IF(A3144="""","""",INDEX(SPLIT(A3144,"" ""),COUNTA(SPLIT(A3144,"" ""))))"),"all'Adige")</f>
        <v>all'Adige</v>
      </c>
      <c r="C3144" s="6"/>
      <c r="D3144" s="6" t="s">
        <v>3107</v>
      </c>
      <c r="E3144" s="12" t="s">
        <v>3108</v>
      </c>
    </row>
    <row r="3145">
      <c r="A3145" s="4" t="s">
        <v>3172</v>
      </c>
      <c r="B3145" s="5" t="str">
        <f>IFERROR(__xludf.DUMMYFUNCTION("IF(A3145="""","""",INDEX(SPLIT(A3145,"" ""),COUNTA(SPLIT(A3145,"" ""))))"),"Roverchiara")</f>
        <v>Roverchiara</v>
      </c>
      <c r="C3145" s="6"/>
      <c r="D3145" s="6" t="s">
        <v>3107</v>
      </c>
      <c r="E3145" s="12" t="s">
        <v>3108</v>
      </c>
    </row>
    <row r="3146">
      <c r="A3146" s="4" t="s">
        <v>3173</v>
      </c>
      <c r="B3146" s="5" t="str">
        <f>IFERROR(__xludf.DUMMYFUNCTION("IF(A3146="""","""",INDEX(SPLIT(A3146,"" ""),COUNTA(SPLIT(A3146,"" ""))))"),"Guà")</f>
        <v>Guà</v>
      </c>
      <c r="C3146" s="6"/>
      <c r="D3146" s="6" t="s">
        <v>3107</v>
      </c>
      <c r="E3146" s="12" t="s">
        <v>3108</v>
      </c>
    </row>
    <row r="3147">
      <c r="A3147" s="4" t="s">
        <v>3174</v>
      </c>
      <c r="B3147" s="5" t="str">
        <f>IFERROR(__xludf.DUMMYFUNCTION("IF(A3147="""","""",INDEX(SPLIT(A3147,"" ""),COUNTA(SPLIT(A3147,"" ""))))"),"Veronese")</f>
        <v>Veronese</v>
      </c>
      <c r="C3147" s="6"/>
      <c r="D3147" s="6" t="s">
        <v>3107</v>
      </c>
      <c r="E3147" s="12" t="s">
        <v>3108</v>
      </c>
    </row>
    <row r="3148">
      <c r="A3148" s="4" t="s">
        <v>3175</v>
      </c>
      <c r="B3148" s="5" t="str">
        <f>IFERROR(__xludf.DUMMYFUNCTION("IF(A3148="""","""",INDEX(SPLIT(A3148,"" ""),COUNTA(SPLIT(A3148,"" ""))))"),"Salizzole")</f>
        <v>Salizzole</v>
      </c>
      <c r="C3148" s="6"/>
      <c r="D3148" s="6" t="s">
        <v>3107</v>
      </c>
      <c r="E3148" s="12" t="s">
        <v>3108</v>
      </c>
    </row>
    <row r="3149">
      <c r="A3149" s="4" t="s">
        <v>3176</v>
      </c>
      <c r="B3149" s="5" t="str">
        <f>IFERROR(__xludf.DUMMYFUNCTION("IF(A3149="""","""",INDEX(SPLIT(A3149,"" ""),COUNTA(SPLIT(A3149,"" ""))))"),"Bonifacio")</f>
        <v>Bonifacio</v>
      </c>
      <c r="C3149" s="6"/>
      <c r="D3149" s="6" t="s">
        <v>3107</v>
      </c>
      <c r="E3149" s="12" t="s">
        <v>3108</v>
      </c>
    </row>
    <row r="3150">
      <c r="A3150" s="4" t="s">
        <v>3177</v>
      </c>
      <c r="B3150" s="5" t="str">
        <f>IFERROR(__xludf.DUMMYFUNCTION("IF(A3150="""","""",INDEX(SPLIT(A3150,"" ""),COUNTA(SPLIT(A3150,"" ""))))"),"Ilarione")</f>
        <v>Ilarione</v>
      </c>
      <c r="C3150" s="6"/>
      <c r="D3150" s="6" t="s">
        <v>3107</v>
      </c>
      <c r="E3150" s="12" t="s">
        <v>3108</v>
      </c>
    </row>
    <row r="3151">
      <c r="A3151" s="4" t="s">
        <v>3178</v>
      </c>
      <c r="B3151" s="5" t="str">
        <f>IFERROR(__xludf.DUMMYFUNCTION("IF(A3151="""","""",INDEX(SPLIT(A3151,"" ""),COUNTA(SPLIT(A3151,"" ""))))"),"Lupatoto")</f>
        <v>Lupatoto</v>
      </c>
      <c r="C3151" s="6"/>
      <c r="D3151" s="6" t="s">
        <v>3107</v>
      </c>
      <c r="E3151" s="12" t="s">
        <v>3108</v>
      </c>
    </row>
    <row r="3152">
      <c r="A3152" s="4" t="s">
        <v>3179</v>
      </c>
      <c r="B3152" s="5" t="str">
        <f>IFERROR(__xludf.DUMMYFUNCTION("IF(A3152="""","""",INDEX(SPLIT(A3152,"" ""),COUNTA(SPLIT(A3152,"" ""))))"),"Sanguinetto")</f>
        <v>Sanguinetto</v>
      </c>
      <c r="C3152" s="6"/>
      <c r="D3152" s="6" t="s">
        <v>3107</v>
      </c>
      <c r="E3152" s="12" t="s">
        <v>3108</v>
      </c>
    </row>
    <row r="3153">
      <c r="A3153" s="4" t="s">
        <v>3180</v>
      </c>
      <c r="B3153" s="5" t="str">
        <f>IFERROR(__xludf.DUMMYFUNCTION("IF(A3153="""","""",INDEX(SPLIT(A3153,"" ""),COUNTA(SPLIT(A3153,"" ""))))"),"Albergo")</f>
        <v>Albergo</v>
      </c>
      <c r="C3153" s="6"/>
      <c r="D3153" s="6" t="s">
        <v>3107</v>
      </c>
      <c r="E3153" s="12" t="s">
        <v>3108</v>
      </c>
    </row>
    <row r="3154">
      <c r="A3154" s="4" t="s">
        <v>3181</v>
      </c>
      <c r="B3154" s="5" t="str">
        <f>IFERROR(__xludf.DUMMYFUNCTION("IF(A3154="""","""",INDEX(SPLIT(A3154,"" ""),COUNTA(SPLIT(A3154,"" ""))))"),"Saline")</f>
        <v>Saline</v>
      </c>
      <c r="C3154" s="6"/>
      <c r="D3154" s="6" t="s">
        <v>3107</v>
      </c>
      <c r="E3154" s="12" t="s">
        <v>3108</v>
      </c>
    </row>
    <row r="3155">
      <c r="A3155" s="4" t="s">
        <v>3182</v>
      </c>
      <c r="B3155" s="5" t="str">
        <f>IFERROR(__xludf.DUMMYFUNCTION("IF(A3155="""","""",INDEX(SPLIT(A3155,"" ""),COUNTA(SPLIT(A3155,"" ""))))"),"Morubio")</f>
        <v>Morubio</v>
      </c>
      <c r="C3155" s="6"/>
      <c r="D3155" s="6" t="s">
        <v>3107</v>
      </c>
      <c r="E3155" s="12" t="s">
        <v>3108</v>
      </c>
    </row>
    <row r="3156">
      <c r="A3156" s="4" t="s">
        <v>3183</v>
      </c>
      <c r="B3156" s="5" t="str">
        <f>IFERROR(__xludf.DUMMYFUNCTION("IF(A3156="""","""",INDEX(SPLIT(A3156,"" ""),COUNTA(SPLIT(A3156,"" ""))))"),"Cariano")</f>
        <v>Cariano</v>
      </c>
      <c r="C3156" s="6"/>
      <c r="D3156" s="6" t="s">
        <v>3107</v>
      </c>
      <c r="E3156" s="12" t="s">
        <v>3108</v>
      </c>
    </row>
    <row r="3157">
      <c r="A3157" s="4" t="s">
        <v>3184</v>
      </c>
      <c r="B3157" s="5" t="str">
        <f>IFERROR(__xludf.DUMMYFUNCTION("IF(A3157="""","""",INDEX(SPLIT(A3157,"" ""),COUNTA(SPLIT(A3157,"" ""))))"),"Valpolicella")</f>
        <v>Valpolicella</v>
      </c>
      <c r="C3157" s="6"/>
      <c r="D3157" s="6" t="s">
        <v>3107</v>
      </c>
      <c r="E3157" s="12" t="s">
        <v>3108</v>
      </c>
    </row>
    <row r="3158">
      <c r="A3158" s="4" t="s">
        <v>3185</v>
      </c>
      <c r="B3158" s="5" t="str">
        <f>IFERROR(__xludf.DUMMYFUNCTION("IF(A3158="""","""",INDEX(SPLIT(A3158,"" ""),COUNTA(SPLIT(A3158,"" ""))))"),"d'Alfaedo")</f>
        <v>d'Alfaedo</v>
      </c>
      <c r="C3158" s="6"/>
      <c r="D3158" s="6" t="s">
        <v>3107</v>
      </c>
      <c r="E3158" s="12" t="s">
        <v>3108</v>
      </c>
    </row>
    <row r="3159">
      <c r="A3159" s="4" t="s">
        <v>3186</v>
      </c>
      <c r="B3159" s="5" t="str">
        <f>IFERROR(__xludf.DUMMYFUNCTION("IF(A3159="""","""",INDEX(SPLIT(A3159,"" ""),COUNTA(SPLIT(A3159,"" ""))))"),"Montagna")</f>
        <v>Montagna</v>
      </c>
      <c r="C3159" s="6"/>
      <c r="D3159" s="6" t="s">
        <v>3107</v>
      </c>
      <c r="E3159" s="12" t="s">
        <v>3108</v>
      </c>
    </row>
    <row r="3160">
      <c r="A3160" s="4" t="s">
        <v>3187</v>
      </c>
      <c r="B3160" s="5" t="str">
        <f>IFERROR(__xludf.DUMMYFUNCTION("IF(A3160="""","""",INDEX(SPLIT(A3160,"" ""),COUNTA(SPLIT(A3160,"" ""))))"),"Progno")</f>
        <v>Progno</v>
      </c>
      <c r="C3160" s="6"/>
      <c r="D3160" s="6" t="s">
        <v>3107</v>
      </c>
      <c r="E3160" s="12" t="s">
        <v>3108</v>
      </c>
    </row>
    <row r="3161">
      <c r="A3161" s="4" t="s">
        <v>3188</v>
      </c>
      <c r="B3161" s="5" t="str">
        <f>IFERROR(__xludf.DUMMYFUNCTION("IF(A3161="""","""",INDEX(SPLIT(A3161,"" ""),COUNTA(SPLIT(A3161,"" ""))))"),"Soave")</f>
        <v>Soave</v>
      </c>
      <c r="C3161" s="6"/>
      <c r="D3161" s="6" t="s">
        <v>3107</v>
      </c>
      <c r="E3161" s="12" t="s">
        <v>3108</v>
      </c>
    </row>
    <row r="3162">
      <c r="A3162" s="4" t="s">
        <v>3189</v>
      </c>
      <c r="B3162" s="5" t="str">
        <f>IFERROR(__xludf.DUMMYFUNCTION("IF(A3162="""","""",INDEX(SPLIT(A3162,"" ""),COUNTA(SPLIT(A3162,"" ""))))"),"Sommacampagna")</f>
        <v>Sommacampagna</v>
      </c>
      <c r="C3162" s="6"/>
      <c r="D3162" s="6" t="s">
        <v>3107</v>
      </c>
      <c r="E3162" s="12" t="s">
        <v>3108</v>
      </c>
    </row>
    <row r="3163">
      <c r="A3163" s="4" t="s">
        <v>3190</v>
      </c>
      <c r="B3163" s="5" t="str">
        <f>IFERROR(__xludf.DUMMYFUNCTION("IF(A3163="""","""",INDEX(SPLIT(A3163,"" ""),COUNTA(SPLIT(A3163,"" ""))))"),"Sona")</f>
        <v>Sona</v>
      </c>
      <c r="C3163" s="6"/>
      <c r="D3163" s="6" t="s">
        <v>3107</v>
      </c>
      <c r="E3163" s="12" t="s">
        <v>3108</v>
      </c>
    </row>
    <row r="3164">
      <c r="A3164" s="4" t="s">
        <v>3191</v>
      </c>
      <c r="B3164" s="5" t="str">
        <f>IFERROR(__xludf.DUMMYFUNCTION("IF(A3164="""","""",INDEX(SPLIT(A3164,"" ""),COUNTA(SPLIT(A3164,"" ""))))"),"Sorgà")</f>
        <v>Sorgà</v>
      </c>
      <c r="C3164" s="6"/>
      <c r="D3164" s="6" t="s">
        <v>3107</v>
      </c>
      <c r="E3164" s="12" t="s">
        <v>3108</v>
      </c>
    </row>
    <row r="3165">
      <c r="A3165" s="4" t="s">
        <v>3192</v>
      </c>
      <c r="B3165" s="5" t="str">
        <f>IFERROR(__xludf.DUMMYFUNCTION("IF(A3165="""","""",INDEX(SPLIT(A3165,"" ""),COUNTA(SPLIT(A3165,"" ""))))"),"Terrazzo")</f>
        <v>Terrazzo</v>
      </c>
      <c r="C3165" s="6"/>
      <c r="D3165" s="6" t="s">
        <v>3107</v>
      </c>
      <c r="E3165" s="12" t="s">
        <v>3108</v>
      </c>
    </row>
    <row r="3166">
      <c r="A3166" s="4" t="s">
        <v>3193</v>
      </c>
      <c r="B3166" s="5" t="str">
        <f>IFERROR(__xludf.DUMMYFUNCTION("IF(A3166="""","""",INDEX(SPLIT(A3166,"" ""),COUNTA(SPLIT(A3166,"" ""))))"),"Benaco")</f>
        <v>Benaco</v>
      </c>
      <c r="C3166" s="6"/>
      <c r="D3166" s="6" t="s">
        <v>3107</v>
      </c>
      <c r="E3166" s="12" t="s">
        <v>3108</v>
      </c>
    </row>
    <row r="3167">
      <c r="A3167" s="4" t="s">
        <v>3194</v>
      </c>
      <c r="B3167" s="5" t="str">
        <f>IFERROR(__xludf.DUMMYFUNCTION("IF(A3167="""","""",INDEX(SPLIT(A3167,"" ""),COUNTA(SPLIT(A3167,"" ""))))"),"Tregnago")</f>
        <v>Tregnago</v>
      </c>
      <c r="C3167" s="6"/>
      <c r="D3167" s="6" t="s">
        <v>3107</v>
      </c>
      <c r="E3167" s="12" t="s">
        <v>3108</v>
      </c>
    </row>
    <row r="3168">
      <c r="A3168" s="4" t="s">
        <v>3195</v>
      </c>
      <c r="B3168" s="5" t="str">
        <f>IFERROR(__xludf.DUMMYFUNCTION("IF(A3168="""","""",INDEX(SPLIT(A3168,"" ""),COUNTA(SPLIT(A3168,"" ""))))"),"Trevenzuolo")</f>
        <v>Trevenzuolo</v>
      </c>
      <c r="C3168" s="6"/>
      <c r="D3168" s="6" t="s">
        <v>3107</v>
      </c>
      <c r="E3168" s="12" t="s">
        <v>3108</v>
      </c>
    </row>
    <row r="3169">
      <c r="A3169" s="4" t="s">
        <v>3196</v>
      </c>
      <c r="B3169" s="5" t="str">
        <f>IFERROR(__xludf.DUMMYFUNCTION("IF(A3169="""","""",INDEX(SPLIT(A3169,"" ""),COUNTA(SPLIT(A3169,"" ""))))"),"Mincio")</f>
        <v>Mincio</v>
      </c>
      <c r="C3169" s="6"/>
      <c r="D3169" s="6" t="s">
        <v>3107</v>
      </c>
      <c r="E3169" s="12" t="s">
        <v>3108</v>
      </c>
    </row>
    <row r="3170">
      <c r="A3170" s="4" t="s">
        <v>3197</v>
      </c>
      <c r="B3170" s="5" t="str">
        <f>IFERROR(__xludf.DUMMYFUNCTION("IF(A3170="""","""",INDEX(SPLIT(A3170,"" ""),COUNTA(SPLIT(A3170,"" ""))))"),"Veronese")</f>
        <v>Veronese</v>
      </c>
      <c r="C3170" s="6"/>
      <c r="D3170" s="6" t="s">
        <v>3107</v>
      </c>
      <c r="E3170" s="12" t="s">
        <v>3108</v>
      </c>
    </row>
    <row r="3171">
      <c r="A3171" s="4" t="s">
        <v>3107</v>
      </c>
      <c r="B3171" s="5" t="str">
        <f>IFERROR(__xludf.DUMMYFUNCTION("IF(A3171="""","""",INDEX(SPLIT(A3171,"" ""),COUNTA(SPLIT(A3171,"" ""))))"),"Verona")</f>
        <v>Verona</v>
      </c>
      <c r="C3171" s="6"/>
      <c r="D3171" s="6" t="s">
        <v>3107</v>
      </c>
      <c r="E3171" s="12" t="s">
        <v>3108</v>
      </c>
    </row>
    <row r="3172">
      <c r="A3172" s="4" t="s">
        <v>3198</v>
      </c>
      <c r="B3172" s="5" t="str">
        <f>IFERROR(__xludf.DUMMYFUNCTION("IF(A3172="""","""",INDEX(SPLIT(A3172,"" ""),COUNTA(SPLIT(A3172,"" ""))))"),"Veronella")</f>
        <v>Veronella</v>
      </c>
      <c r="C3172" s="6"/>
      <c r="D3172" s="6" t="s">
        <v>3107</v>
      </c>
      <c r="E3172" s="12" t="s">
        <v>3108</v>
      </c>
    </row>
    <row r="3173">
      <c r="A3173" s="4" t="s">
        <v>3199</v>
      </c>
      <c r="B3173" s="5" t="str">
        <f>IFERROR(__xludf.DUMMYFUNCTION("IF(A3173="""","""",INDEX(SPLIT(A3173,"" ""),COUNTA(SPLIT(A3173,"" ""))))"),"Vestenanova")</f>
        <v>Vestenanova</v>
      </c>
      <c r="C3173" s="6"/>
      <c r="D3173" s="6" t="s">
        <v>3107</v>
      </c>
      <c r="E3173" s="12" t="s">
        <v>3108</v>
      </c>
    </row>
    <row r="3174">
      <c r="A3174" s="4" t="s">
        <v>3200</v>
      </c>
      <c r="B3174" s="5" t="str">
        <f>IFERROR(__xludf.DUMMYFUNCTION("IF(A3174="""","""",INDEX(SPLIT(A3174,"" ""),COUNTA(SPLIT(A3174,"" ""))))"),"Vigasio")</f>
        <v>Vigasio</v>
      </c>
      <c r="C3174" s="6"/>
      <c r="D3174" s="6" t="s">
        <v>3107</v>
      </c>
      <c r="E3174" s="12" t="s">
        <v>3108</v>
      </c>
    </row>
    <row r="3175">
      <c r="A3175" s="4" t="s">
        <v>3201</v>
      </c>
      <c r="B3175" s="5" t="str">
        <f>IFERROR(__xludf.DUMMYFUNCTION("IF(A3175="""","""",INDEX(SPLIT(A3175,"" ""),COUNTA(SPLIT(A3175,"" ""))))"),"Bartolomea")</f>
        <v>Bartolomea</v>
      </c>
      <c r="C3175" s="6"/>
      <c r="D3175" s="6" t="s">
        <v>3107</v>
      </c>
      <c r="E3175" s="12" t="s">
        <v>3108</v>
      </c>
    </row>
    <row r="3176">
      <c r="A3176" s="4" t="s">
        <v>3202</v>
      </c>
      <c r="B3176" s="5" t="str">
        <f>IFERROR(__xludf.DUMMYFUNCTION("IF(A3176="""","""",INDEX(SPLIT(A3176,"" ""),COUNTA(SPLIT(A3176,"" ""))))"),"Verona")</f>
        <v>Verona</v>
      </c>
      <c r="C3176" s="6"/>
      <c r="D3176" s="6" t="s">
        <v>3107</v>
      </c>
      <c r="E3176" s="12" t="s">
        <v>3108</v>
      </c>
    </row>
    <row r="3177">
      <c r="A3177" s="4" t="s">
        <v>3203</v>
      </c>
      <c r="B3177" s="5" t="str">
        <f>IFERROR(__xludf.DUMMYFUNCTION("IF(A3177="""","""",INDEX(SPLIT(A3177,"" ""),COUNTA(SPLIT(A3177,"" ""))))"),"Zevio")</f>
        <v>Zevio</v>
      </c>
      <c r="C3177" s="6"/>
      <c r="D3177" s="6" t="s">
        <v>3107</v>
      </c>
      <c r="E3177" s="12" t="s">
        <v>3108</v>
      </c>
    </row>
    <row r="3178">
      <c r="A3178" s="4" t="s">
        <v>3204</v>
      </c>
      <c r="B3178" s="5" t="str">
        <f>IFERROR(__xludf.DUMMYFUNCTION("IF(A3178="""","""",INDEX(SPLIT(A3178,"" ""),COUNTA(SPLIT(A3178,"" ""))))"),"Zimella")</f>
        <v>Zimella</v>
      </c>
      <c r="C3178" s="6"/>
      <c r="D3178" s="6" t="s">
        <v>3107</v>
      </c>
      <c r="E3178" s="12" t="s">
        <v>3108</v>
      </c>
    </row>
    <row r="3179">
      <c r="A3179" s="4" t="s">
        <v>3205</v>
      </c>
      <c r="B3179" s="5" t="str">
        <f>IFERROR(__xludf.DUMMYFUNCTION("IF(A3179="""","""",INDEX(SPLIT(A3179,"" ""),COUNTA(SPLIT(A3179,"" ""))))"),"Agugliaro")</f>
        <v>Agugliaro</v>
      </c>
      <c r="C3179" s="6"/>
      <c r="D3179" s="6" t="s">
        <v>3206</v>
      </c>
      <c r="E3179" s="12" t="s">
        <v>3207</v>
      </c>
    </row>
    <row r="3180">
      <c r="A3180" s="4" t="s">
        <v>3208</v>
      </c>
      <c r="B3180" s="5" t="str">
        <f>IFERROR(__xludf.DUMMYFUNCTION("IF(A3180="""","""",INDEX(SPLIT(A3180,"" ""),COUNTA(SPLIT(A3180,"" ""))))"),"Albettone")</f>
        <v>Albettone</v>
      </c>
      <c r="C3180" s="6"/>
      <c r="D3180" s="6" t="s">
        <v>3206</v>
      </c>
      <c r="E3180" s="12" t="s">
        <v>3207</v>
      </c>
    </row>
    <row r="3181">
      <c r="A3181" s="4" t="s">
        <v>3209</v>
      </c>
      <c r="B3181" s="5" t="str">
        <f>IFERROR(__xludf.DUMMYFUNCTION("IF(A3181="""","""",INDEX(SPLIT(A3181,"" ""),COUNTA(SPLIT(A3181,"" ""))))"),"Alonte")</f>
        <v>Alonte</v>
      </c>
      <c r="C3181" s="6"/>
      <c r="D3181" s="6" t="s">
        <v>3206</v>
      </c>
      <c r="E3181" s="12" t="s">
        <v>3207</v>
      </c>
    </row>
    <row r="3182">
      <c r="A3182" s="4" t="s">
        <v>3210</v>
      </c>
      <c r="B3182" s="5" t="str">
        <f>IFERROR(__xludf.DUMMYFUNCTION("IF(A3182="""","""",INDEX(SPLIT(A3182,"" ""),COUNTA(SPLIT(A3182,"" ""))))"),"Vicentina")</f>
        <v>Vicentina</v>
      </c>
      <c r="C3182" s="6"/>
      <c r="D3182" s="6" t="s">
        <v>3206</v>
      </c>
      <c r="E3182" s="12" t="s">
        <v>3207</v>
      </c>
    </row>
    <row r="3183">
      <c r="A3183" s="4" t="s">
        <v>3211</v>
      </c>
      <c r="B3183" s="5" t="str">
        <f>IFERROR(__xludf.DUMMYFUNCTION("IF(A3183="""","""",INDEX(SPLIT(A3183,"" ""),COUNTA(SPLIT(A3183,"" ""))))"),"Altissimo")</f>
        <v>Altissimo</v>
      </c>
      <c r="C3183" s="6"/>
      <c r="D3183" s="6" t="s">
        <v>3206</v>
      </c>
      <c r="E3183" s="12" t="s">
        <v>3207</v>
      </c>
    </row>
    <row r="3184">
      <c r="A3184" s="4" t="s">
        <v>3212</v>
      </c>
      <c r="B3184" s="5" t="str">
        <f>IFERROR(__xludf.DUMMYFUNCTION("IF(A3184="""","""",INDEX(SPLIT(A3184,"" ""),COUNTA(SPLIT(A3184,"" ""))))"),"Arcugnano")</f>
        <v>Arcugnano</v>
      </c>
      <c r="C3184" s="6"/>
      <c r="D3184" s="6" t="s">
        <v>3206</v>
      </c>
      <c r="E3184" s="12" t="s">
        <v>3207</v>
      </c>
    </row>
    <row r="3185">
      <c r="A3185" s="4" t="s">
        <v>3213</v>
      </c>
      <c r="B3185" s="5" t="str">
        <f>IFERROR(__xludf.DUMMYFUNCTION("IF(A3185="""","""",INDEX(SPLIT(A3185,"" ""),COUNTA(SPLIT(A3185,"" ""))))"),"Arsiero")</f>
        <v>Arsiero</v>
      </c>
      <c r="C3185" s="6"/>
      <c r="D3185" s="6" t="s">
        <v>3206</v>
      </c>
      <c r="E3185" s="12" t="s">
        <v>3207</v>
      </c>
    </row>
    <row r="3186">
      <c r="A3186" s="4" t="s">
        <v>3214</v>
      </c>
      <c r="B3186" s="5" t="str">
        <f>IFERROR(__xludf.DUMMYFUNCTION("IF(A3186="""","""",INDEX(SPLIT(A3186,"" ""),COUNTA(SPLIT(A3186,"" ""))))"),"Arzignano")</f>
        <v>Arzignano</v>
      </c>
      <c r="C3186" s="6"/>
      <c r="D3186" s="6" t="s">
        <v>3206</v>
      </c>
      <c r="E3186" s="12" t="s">
        <v>3207</v>
      </c>
    </row>
    <row r="3187">
      <c r="A3187" s="4" t="s">
        <v>3215</v>
      </c>
      <c r="B3187" s="5" t="str">
        <f>IFERROR(__xludf.DUMMYFUNCTION("IF(A3187="""","""",INDEX(SPLIT(A3187,"" ""),COUNTA(SPLIT(A3187,"" ""))))"),"Asiago")</f>
        <v>Asiago</v>
      </c>
      <c r="C3187" s="6"/>
      <c r="D3187" s="6" t="s">
        <v>3206</v>
      </c>
      <c r="E3187" s="12" t="s">
        <v>3207</v>
      </c>
    </row>
    <row r="3188">
      <c r="A3188" s="4" t="s">
        <v>3216</v>
      </c>
      <c r="B3188" s="5" t="str">
        <f>IFERROR(__xludf.DUMMYFUNCTION("IF(A3188="""","""",INDEX(SPLIT(A3188,"" ""),COUNTA(SPLIT(A3188,"" ""))))"),"Veneto")</f>
        <v>Veneto</v>
      </c>
      <c r="C3188" s="6"/>
      <c r="D3188" s="6" t="s">
        <v>3206</v>
      </c>
      <c r="E3188" s="12" t="s">
        <v>3207</v>
      </c>
    </row>
    <row r="3189">
      <c r="A3189" s="4" t="s">
        <v>3217</v>
      </c>
      <c r="B3189" s="5" t="str">
        <f>IFERROR(__xludf.DUMMYFUNCTION("IF(A3189="""","""",INDEX(SPLIT(A3189,"" ""),COUNTA(SPLIT(A3189,"" ""))))"),"Grappa")</f>
        <v>Grappa</v>
      </c>
      <c r="C3189" s="6"/>
      <c r="D3189" s="6" t="s">
        <v>3206</v>
      </c>
      <c r="E3189" s="12" t="s">
        <v>3207</v>
      </c>
    </row>
    <row r="3190">
      <c r="A3190" s="4" t="s">
        <v>3218</v>
      </c>
      <c r="B3190" s="5" t="str">
        <f>IFERROR(__xludf.DUMMYFUNCTION("IF(A3190="""","""",INDEX(SPLIT(A3190,"" ""),COUNTA(SPLIT(A3190,"" ""))))"),"Vicentino")</f>
        <v>Vicentino</v>
      </c>
      <c r="C3190" s="6"/>
      <c r="D3190" s="6" t="s">
        <v>3206</v>
      </c>
      <c r="E3190" s="12" t="s">
        <v>3207</v>
      </c>
    </row>
    <row r="3191">
      <c r="A3191" s="4" t="s">
        <v>3219</v>
      </c>
      <c r="B3191" s="5" t="str">
        <f>IFERROR(__xludf.DUMMYFUNCTION("IF(A3191="""","""",INDEX(SPLIT(A3191,"" ""),COUNTA(SPLIT(A3191,"" ""))))"),"Breganze")</f>
        <v>Breganze</v>
      </c>
      <c r="C3191" s="6"/>
      <c r="D3191" s="6" t="s">
        <v>3206</v>
      </c>
      <c r="E3191" s="12" t="s">
        <v>3207</v>
      </c>
    </row>
    <row r="3192">
      <c r="A3192" s="4" t="s">
        <v>3220</v>
      </c>
      <c r="B3192" s="5" t="str">
        <f>IFERROR(__xludf.DUMMYFUNCTION("IF(A3192="""","""",INDEX(SPLIT(A3192,"" ""),COUNTA(SPLIT(A3192,"" ""))))"),"Brendola")</f>
        <v>Brendola</v>
      </c>
      <c r="C3192" s="6"/>
      <c r="D3192" s="6" t="s">
        <v>3206</v>
      </c>
      <c r="E3192" s="12" t="s">
        <v>3207</v>
      </c>
    </row>
    <row r="3193">
      <c r="A3193" s="4" t="s">
        <v>3221</v>
      </c>
      <c r="B3193" s="5" t="str">
        <f>IFERROR(__xludf.DUMMYFUNCTION("IF(A3193="""","""",INDEX(SPLIT(A3193,"" ""),COUNTA(SPLIT(A3193,"" ""))))"),"Bressanvido")</f>
        <v>Bressanvido</v>
      </c>
      <c r="C3193" s="6"/>
      <c r="D3193" s="6" t="s">
        <v>3206</v>
      </c>
      <c r="E3193" s="12" t="s">
        <v>3207</v>
      </c>
    </row>
    <row r="3194">
      <c r="A3194" s="4" t="s">
        <v>3222</v>
      </c>
      <c r="B3194" s="5" t="str">
        <f>IFERROR(__xludf.DUMMYFUNCTION("IF(A3194="""","""",INDEX(SPLIT(A3194,"" ""),COUNTA(SPLIT(A3194,"" ""))))"),"Brogliano")</f>
        <v>Brogliano</v>
      </c>
      <c r="C3194" s="6"/>
      <c r="D3194" s="6" t="s">
        <v>3206</v>
      </c>
      <c r="E3194" s="12" t="s">
        <v>3207</v>
      </c>
    </row>
    <row r="3195">
      <c r="A3195" s="4" t="s">
        <v>3223</v>
      </c>
      <c r="B3195" s="5" t="str">
        <f>IFERROR(__xludf.DUMMYFUNCTION("IF(A3195="""","""",INDEX(SPLIT(A3195,"" ""),COUNTA(SPLIT(A3195,"" ""))))"),"Caldogno")</f>
        <v>Caldogno</v>
      </c>
      <c r="C3195" s="6"/>
      <c r="D3195" s="6" t="s">
        <v>3206</v>
      </c>
      <c r="E3195" s="12" t="s">
        <v>3207</v>
      </c>
    </row>
    <row r="3196">
      <c r="A3196" s="4" t="s">
        <v>3224</v>
      </c>
      <c r="B3196" s="5" t="str">
        <f>IFERROR(__xludf.DUMMYFUNCTION("IF(A3196="""","""",INDEX(SPLIT(A3196,"" ""),COUNTA(SPLIT(A3196,"" ""))))"),"Caltrano")</f>
        <v>Caltrano</v>
      </c>
      <c r="C3196" s="6"/>
      <c r="D3196" s="6" t="s">
        <v>3206</v>
      </c>
      <c r="E3196" s="12" t="s">
        <v>3207</v>
      </c>
    </row>
    <row r="3197">
      <c r="A3197" s="4" t="s">
        <v>3225</v>
      </c>
      <c r="B3197" s="5" t="str">
        <f>IFERROR(__xludf.DUMMYFUNCTION("IF(A3197="""","""",INDEX(SPLIT(A3197,"" ""),COUNTA(SPLIT(A3197,"" ""))))"),"Calvene")</f>
        <v>Calvene</v>
      </c>
      <c r="C3197" s="6"/>
      <c r="D3197" s="6" t="s">
        <v>3206</v>
      </c>
      <c r="E3197" s="12" t="s">
        <v>3207</v>
      </c>
    </row>
    <row r="3198">
      <c r="A3198" s="4" t="s">
        <v>3226</v>
      </c>
      <c r="B3198" s="5" t="str">
        <f>IFERROR(__xludf.DUMMYFUNCTION("IF(A3198="""","""",INDEX(SPLIT(A3198,"" ""),COUNTA(SPLIT(A3198,"" ""))))"),"Vicentino")</f>
        <v>Vicentino</v>
      </c>
      <c r="C3198" s="6"/>
      <c r="D3198" s="6" t="s">
        <v>3206</v>
      </c>
      <c r="E3198" s="12" t="s">
        <v>3207</v>
      </c>
    </row>
    <row r="3199">
      <c r="A3199" s="4" t="s">
        <v>3227</v>
      </c>
      <c r="B3199" s="5" t="str">
        <f>IFERROR(__xludf.DUMMYFUNCTION("IF(A3199="""","""",INDEX(SPLIT(A3199,"" ""),COUNTA(SPLIT(A3199,"" ""))))"),"Berici")</f>
        <v>Berici</v>
      </c>
      <c r="C3199" s="6"/>
      <c r="D3199" s="6" t="s">
        <v>3206</v>
      </c>
      <c r="E3199" s="12" t="s">
        <v>3207</v>
      </c>
    </row>
    <row r="3200">
      <c r="A3200" s="4" t="s">
        <v>3228</v>
      </c>
      <c r="B3200" s="5" t="str">
        <f>IFERROR(__xludf.DUMMYFUNCTION("IF(A3200="""","""",INDEX(SPLIT(A3200,"" ""),COUNTA(SPLIT(A3200,"" ""))))"),"Brenta")</f>
        <v>Brenta</v>
      </c>
      <c r="C3200" s="6"/>
      <c r="D3200" s="6" t="s">
        <v>3206</v>
      </c>
      <c r="E3200" s="12" t="s">
        <v>3207</v>
      </c>
    </row>
    <row r="3201">
      <c r="A3201" s="4" t="s">
        <v>3229</v>
      </c>
      <c r="B3201" s="5" t="str">
        <f>IFERROR(__xludf.DUMMYFUNCTION("IF(A3201="""","""",INDEX(SPLIT(A3201,"" ""),COUNTA(SPLIT(A3201,"" ""))))"),"Carrè")</f>
        <v>Carrè</v>
      </c>
      <c r="C3201" s="6"/>
      <c r="D3201" s="6" t="s">
        <v>3206</v>
      </c>
      <c r="E3201" s="12" t="s">
        <v>3207</v>
      </c>
    </row>
    <row r="3202">
      <c r="A3202" s="4" t="s">
        <v>3230</v>
      </c>
      <c r="B3202" s="5" t="str">
        <f>IFERROR(__xludf.DUMMYFUNCTION("IF(A3202="""","""",INDEX(SPLIT(A3202,"" ""),COUNTA(SPLIT(A3202,"" ""))))"),"Cartigliano")</f>
        <v>Cartigliano</v>
      </c>
      <c r="C3202" s="6"/>
      <c r="D3202" s="6" t="s">
        <v>3206</v>
      </c>
      <c r="E3202" s="12" t="s">
        <v>3207</v>
      </c>
    </row>
    <row r="3203">
      <c r="A3203" s="4" t="s">
        <v>3231</v>
      </c>
      <c r="B3203" s="5" t="str">
        <f>IFERROR(__xludf.DUMMYFUNCTION("IF(A3203="""","""",INDEX(SPLIT(A3203,"" ""),COUNTA(SPLIT(A3203,"" ""))))"),"Cassola")</f>
        <v>Cassola</v>
      </c>
      <c r="C3203" s="6"/>
      <c r="D3203" s="6" t="s">
        <v>3206</v>
      </c>
      <c r="E3203" s="12" t="s">
        <v>3207</v>
      </c>
    </row>
    <row r="3204">
      <c r="A3204" s="4" t="s">
        <v>3232</v>
      </c>
      <c r="B3204" s="5" t="str">
        <f>IFERROR(__xludf.DUMMYFUNCTION("IF(A3204="""","""",INDEX(SPLIT(A3204,"" ""),COUNTA(SPLIT(A3204,"" ""))))"),"Castegnero")</f>
        <v>Castegnero</v>
      </c>
      <c r="C3204" s="6"/>
      <c r="D3204" s="6" t="s">
        <v>3206</v>
      </c>
      <c r="E3204" s="12" t="s">
        <v>3207</v>
      </c>
    </row>
    <row r="3205">
      <c r="A3205" s="4" t="s">
        <v>3233</v>
      </c>
      <c r="B3205" s="5" t="str">
        <f>IFERROR(__xludf.DUMMYFUNCTION("IF(A3205="""","""",INDEX(SPLIT(A3205,"" ""),COUNTA(SPLIT(A3205,"" ""))))"),"Castelgomberto")</f>
        <v>Castelgomberto</v>
      </c>
      <c r="C3205" s="6"/>
      <c r="D3205" s="6" t="s">
        <v>3206</v>
      </c>
      <c r="E3205" s="12" t="s">
        <v>3207</v>
      </c>
    </row>
    <row r="3206">
      <c r="A3206" s="4" t="s">
        <v>3234</v>
      </c>
      <c r="B3206" s="5" t="str">
        <f>IFERROR(__xludf.DUMMYFUNCTION("IF(A3206="""","""",INDEX(SPLIT(A3206,"" ""),COUNTA(SPLIT(A3206,"" ""))))"),"Chiampo")</f>
        <v>Chiampo</v>
      </c>
      <c r="C3206" s="6"/>
      <c r="D3206" s="6" t="s">
        <v>3206</v>
      </c>
      <c r="E3206" s="12" t="s">
        <v>3207</v>
      </c>
    </row>
    <row r="3207">
      <c r="A3207" s="4" t="s">
        <v>3235</v>
      </c>
      <c r="B3207" s="5" t="str">
        <f>IFERROR(__xludf.DUMMYFUNCTION("IF(A3207="""","""",INDEX(SPLIT(A3207,"" ""),COUNTA(SPLIT(A3207,"" ""))))"),"Chiuppano")</f>
        <v>Chiuppano</v>
      </c>
      <c r="C3207" s="6"/>
      <c r="D3207" s="6" t="s">
        <v>3206</v>
      </c>
      <c r="E3207" s="12" t="s">
        <v>3207</v>
      </c>
    </row>
    <row r="3208">
      <c r="A3208" s="4" t="s">
        <v>3236</v>
      </c>
      <c r="B3208" s="5" t="str">
        <f>IFERROR(__xludf.DUMMYFUNCTION("IF(A3208="""","""",INDEX(SPLIT(A3208,"" ""),COUNTA(SPLIT(A3208,"" ""))))"),"Grappa")</f>
        <v>Grappa</v>
      </c>
      <c r="C3208" s="6"/>
      <c r="D3208" s="6" t="s">
        <v>3206</v>
      </c>
      <c r="E3208" s="12" t="s">
        <v>3207</v>
      </c>
    </row>
    <row r="3209">
      <c r="A3209" s="4" t="s">
        <v>3237</v>
      </c>
      <c r="B3209" s="5" t="str">
        <f>IFERROR(__xludf.DUMMYFUNCTION("IF(A3209="""","""",INDEX(SPLIT(A3209,"" ""),COUNTA(SPLIT(A3209,"" ""))))"),"Cengio")</f>
        <v>Cengio</v>
      </c>
      <c r="C3209" s="6"/>
      <c r="D3209" s="6" t="s">
        <v>3206</v>
      </c>
      <c r="E3209" s="12" t="s">
        <v>3207</v>
      </c>
    </row>
    <row r="3210">
      <c r="A3210" s="4" t="s">
        <v>3238</v>
      </c>
      <c r="B3210" s="5" t="str">
        <f>IFERROR(__xludf.DUMMYFUNCTION("IF(A3210="""","""",INDEX(SPLIT(A3210,"" ""),COUNTA(SPLIT(A3210,"" ""))))"),"Conco")</f>
        <v>Conco</v>
      </c>
      <c r="C3210" s="6"/>
      <c r="D3210" s="6" t="s">
        <v>3206</v>
      </c>
      <c r="E3210" s="12" t="s">
        <v>3207</v>
      </c>
    </row>
    <row r="3211">
      <c r="A3211" s="4" t="s">
        <v>3239</v>
      </c>
      <c r="B3211" s="5" t="str">
        <f>IFERROR(__xludf.DUMMYFUNCTION("IF(A3211="""","""",INDEX(SPLIT(A3211,"" ""),COUNTA(SPLIT(A3211,"" ""))))"),"Vicentino")</f>
        <v>Vicentino</v>
      </c>
      <c r="C3211" s="6"/>
      <c r="D3211" s="6" t="s">
        <v>3206</v>
      </c>
      <c r="E3211" s="12" t="s">
        <v>3207</v>
      </c>
    </row>
    <row r="3212">
      <c r="A3212" s="4" t="s">
        <v>3240</v>
      </c>
      <c r="B3212" s="5" t="str">
        <f>IFERROR(__xludf.DUMMYFUNCTION("IF(A3212="""","""",INDEX(SPLIT(A3212,"" ""),COUNTA(SPLIT(A3212,"" ""))))"),"Costabissara")</f>
        <v>Costabissara</v>
      </c>
      <c r="C3212" s="6"/>
      <c r="D3212" s="6" t="s">
        <v>3206</v>
      </c>
      <c r="E3212" s="12" t="s">
        <v>3207</v>
      </c>
    </row>
    <row r="3213">
      <c r="A3213" s="4" t="s">
        <v>3241</v>
      </c>
      <c r="B3213" s="5" t="str">
        <f>IFERROR(__xludf.DUMMYFUNCTION("IF(A3213="""","""",INDEX(SPLIT(A3213,"" ""),COUNTA(SPLIT(A3213,"" ""))))"),"Creazzo")</f>
        <v>Creazzo</v>
      </c>
      <c r="C3213" s="6"/>
      <c r="D3213" s="6" t="s">
        <v>3206</v>
      </c>
      <c r="E3213" s="12" t="s">
        <v>3207</v>
      </c>
    </row>
    <row r="3214">
      <c r="A3214" s="4" t="s">
        <v>3242</v>
      </c>
      <c r="B3214" s="5" t="str">
        <f>IFERROR(__xludf.DUMMYFUNCTION("IF(A3214="""","""",INDEX(SPLIT(A3214,"" ""),COUNTA(SPLIT(A3214,"" ""))))"),"Crespadoro")</f>
        <v>Crespadoro</v>
      </c>
      <c r="C3214" s="6"/>
      <c r="D3214" s="6" t="s">
        <v>3206</v>
      </c>
      <c r="E3214" s="12" t="s">
        <v>3207</v>
      </c>
    </row>
    <row r="3215">
      <c r="A3215" s="4" t="s">
        <v>3243</v>
      </c>
      <c r="B3215" s="5" t="str">
        <f>IFERROR(__xludf.DUMMYFUNCTION("IF(A3215="""","""",INDEX(SPLIT(A3215,"" ""),COUNTA(SPLIT(A3215,"" ""))))"),"Dueville")</f>
        <v>Dueville</v>
      </c>
      <c r="C3215" s="6"/>
      <c r="D3215" s="6" t="s">
        <v>3206</v>
      </c>
      <c r="E3215" s="12" t="s">
        <v>3207</v>
      </c>
    </row>
    <row r="3216">
      <c r="A3216" s="4" t="s">
        <v>3244</v>
      </c>
      <c r="B3216" s="5" t="str">
        <f>IFERROR(__xludf.DUMMYFUNCTION("IF(A3216="""","""",INDEX(SPLIT(A3216,"" ""),COUNTA(SPLIT(A3216,"" ""))))"),"Enego")</f>
        <v>Enego</v>
      </c>
      <c r="C3216" s="6"/>
      <c r="D3216" s="6" t="s">
        <v>3206</v>
      </c>
      <c r="E3216" s="12" t="s">
        <v>3207</v>
      </c>
    </row>
    <row r="3217">
      <c r="A3217" s="4" t="s">
        <v>3245</v>
      </c>
      <c r="B3217" s="5" t="str">
        <f>IFERROR(__xludf.DUMMYFUNCTION("IF(A3217="""","""",INDEX(SPLIT(A3217,"" ""),COUNTA(SPLIT(A3217,"" ""))))"),"Vicentino")</f>
        <v>Vicentino</v>
      </c>
      <c r="C3217" s="6"/>
      <c r="D3217" s="6" t="s">
        <v>3206</v>
      </c>
      <c r="E3217" s="12" t="s">
        <v>3207</v>
      </c>
    </row>
    <row r="3218">
      <c r="A3218" s="4" t="s">
        <v>3246</v>
      </c>
      <c r="B3218" s="5" t="str">
        <f>IFERROR(__xludf.DUMMYFUNCTION("IF(A3218="""","""",INDEX(SPLIT(A3218,"" ""),COUNTA(SPLIT(A3218,"" ""))))"),"Foza")</f>
        <v>Foza</v>
      </c>
      <c r="C3218" s="6"/>
      <c r="D3218" s="6" t="s">
        <v>3206</v>
      </c>
      <c r="E3218" s="12" t="s">
        <v>3207</v>
      </c>
    </row>
    <row r="3219">
      <c r="A3219" s="4" t="s">
        <v>3247</v>
      </c>
      <c r="B3219" s="5" t="str">
        <f>IFERROR(__xludf.DUMMYFUNCTION("IF(A3219="""","""",INDEX(SPLIT(A3219,"" ""),COUNTA(SPLIT(A3219,"" ""))))"),"Gallio")</f>
        <v>Gallio</v>
      </c>
      <c r="C3219" s="6"/>
      <c r="D3219" s="6" t="s">
        <v>3206</v>
      </c>
      <c r="E3219" s="12" t="s">
        <v>3207</v>
      </c>
    </row>
    <row r="3220">
      <c r="A3220" s="4" t="s">
        <v>3248</v>
      </c>
      <c r="B3220" s="5" t="str">
        <f>IFERROR(__xludf.DUMMYFUNCTION("IF(A3220="""","""",INDEX(SPLIT(A3220,"" ""),COUNTA(SPLIT(A3220,"" ""))))"),"Gambellara")</f>
        <v>Gambellara</v>
      </c>
      <c r="C3220" s="6"/>
      <c r="D3220" s="6" t="s">
        <v>3206</v>
      </c>
      <c r="E3220" s="12" t="s">
        <v>3207</v>
      </c>
    </row>
    <row r="3221">
      <c r="A3221" s="4" t="s">
        <v>3249</v>
      </c>
      <c r="B3221" s="5" t="str">
        <f>IFERROR(__xludf.DUMMYFUNCTION("IF(A3221="""","""",INDEX(SPLIT(A3221,"" ""),COUNTA(SPLIT(A3221,"" ""))))"),"Gambugliano")</f>
        <v>Gambugliano</v>
      </c>
      <c r="C3221" s="6"/>
      <c r="D3221" s="6" t="s">
        <v>3206</v>
      </c>
      <c r="E3221" s="12" t="s">
        <v>3207</v>
      </c>
    </row>
    <row r="3222">
      <c r="A3222" s="4" t="s">
        <v>3250</v>
      </c>
      <c r="B3222" s="5" t="str">
        <f>IFERROR(__xludf.DUMMYFUNCTION("IF(A3222="""","""",INDEX(SPLIT(A3222,"" ""),COUNTA(SPLIT(A3222,"" ""))))"),"Zocco")</f>
        <v>Zocco</v>
      </c>
      <c r="C3222" s="6"/>
      <c r="D3222" s="6" t="s">
        <v>3206</v>
      </c>
      <c r="E3222" s="12" t="s">
        <v>3207</v>
      </c>
    </row>
    <row r="3223">
      <c r="A3223" s="4" t="s">
        <v>3251</v>
      </c>
      <c r="B3223" s="5" t="str">
        <f>IFERROR(__xludf.DUMMYFUNCTION("IF(A3223="""","""",INDEX(SPLIT(A3223,"" ""),COUNTA(SPLIT(A3223,"" ""))))"),"Abbadesse")</f>
        <v>Abbadesse</v>
      </c>
      <c r="C3223" s="6"/>
      <c r="D3223" s="6" t="s">
        <v>3206</v>
      </c>
      <c r="E3223" s="12" t="s">
        <v>3207</v>
      </c>
    </row>
    <row r="3224">
      <c r="A3224" s="4" t="s">
        <v>3252</v>
      </c>
      <c r="B3224" s="5" t="str">
        <f>IFERROR(__xludf.DUMMYFUNCTION("IF(A3224="""","""",INDEX(SPLIT(A3224,"" ""),COUNTA(SPLIT(A3224,"" ""))))"),"Vicentina")</f>
        <v>Vicentina</v>
      </c>
      <c r="C3224" s="6"/>
      <c r="D3224" s="6" t="s">
        <v>3206</v>
      </c>
      <c r="E3224" s="12" t="s">
        <v>3207</v>
      </c>
    </row>
    <row r="3225">
      <c r="A3225" s="4" t="s">
        <v>3253</v>
      </c>
      <c r="B3225" s="5" t="str">
        <f>IFERROR(__xludf.DUMMYFUNCTION("IF(A3225="""","""",INDEX(SPLIT(A3225,"" ""),COUNTA(SPLIT(A3225,"" ""))))"),"Laghi")</f>
        <v>Laghi</v>
      </c>
      <c r="C3225" s="6"/>
      <c r="D3225" s="6" t="s">
        <v>3206</v>
      </c>
      <c r="E3225" s="12" t="s">
        <v>3207</v>
      </c>
    </row>
    <row r="3226">
      <c r="A3226" s="4" t="s">
        <v>3254</v>
      </c>
      <c r="B3226" s="5" t="str">
        <f>IFERROR(__xludf.DUMMYFUNCTION("IF(A3226="""","""",INDEX(SPLIT(A3226,"" ""),COUNTA(SPLIT(A3226,"" ""))))"),"Lastebasse")</f>
        <v>Lastebasse</v>
      </c>
      <c r="C3226" s="6"/>
      <c r="D3226" s="6" t="s">
        <v>3206</v>
      </c>
      <c r="E3226" s="12" t="s">
        <v>3207</v>
      </c>
    </row>
    <row r="3227">
      <c r="A3227" s="4" t="s">
        <v>3255</v>
      </c>
      <c r="B3227" s="5" t="str">
        <f>IFERROR(__xludf.DUMMYFUNCTION("IF(A3227="""","""",INDEX(SPLIT(A3227,"" ""),COUNTA(SPLIT(A3227,"" ""))))"),"Longare")</f>
        <v>Longare</v>
      </c>
      <c r="C3227" s="6"/>
      <c r="D3227" s="6" t="s">
        <v>3206</v>
      </c>
      <c r="E3227" s="12" t="s">
        <v>3207</v>
      </c>
    </row>
    <row r="3228">
      <c r="A3228" s="4" t="s">
        <v>3256</v>
      </c>
      <c r="B3228" s="5" t="str">
        <f>IFERROR(__xludf.DUMMYFUNCTION("IF(A3228="""","""",INDEX(SPLIT(A3228,"" ""),COUNTA(SPLIT(A3228,"" ""))))"),"Lonigo")</f>
        <v>Lonigo</v>
      </c>
      <c r="C3228" s="6"/>
      <c r="D3228" s="6" t="s">
        <v>3206</v>
      </c>
      <c r="E3228" s="12" t="s">
        <v>3207</v>
      </c>
    </row>
    <row r="3229">
      <c r="A3229" s="4" t="s">
        <v>3257</v>
      </c>
      <c r="B3229" s="5" t="str">
        <f>IFERROR(__xludf.DUMMYFUNCTION("IF(A3229="""","""",INDEX(SPLIT(A3229,"" ""),COUNTA(SPLIT(A3229,"" ""))))"),"Vicenza")</f>
        <v>Vicenza</v>
      </c>
      <c r="C3229" s="6"/>
      <c r="D3229" s="6" t="s">
        <v>3206</v>
      </c>
      <c r="E3229" s="12" t="s">
        <v>3207</v>
      </c>
    </row>
    <row r="3230">
      <c r="A3230" s="4" t="s">
        <v>3258</v>
      </c>
      <c r="B3230" s="5" t="str">
        <f>IFERROR(__xludf.DUMMYFUNCTION("IF(A3230="""","""",INDEX(SPLIT(A3230,"" ""),COUNTA(SPLIT(A3230,"" ""))))"),"Lusiana")</f>
        <v>Lusiana</v>
      </c>
      <c r="C3230" s="6"/>
      <c r="D3230" s="6" t="s">
        <v>3206</v>
      </c>
      <c r="E3230" s="12" t="s">
        <v>3207</v>
      </c>
    </row>
    <row r="3231">
      <c r="A3231" s="4" t="s">
        <v>3259</v>
      </c>
      <c r="B3231" s="5" t="str">
        <f>IFERROR(__xludf.DUMMYFUNCTION("IF(A3231="""","""",INDEX(SPLIT(A3231,"" ""),COUNTA(SPLIT(A3231,"" ""))))"),"Malo")</f>
        <v>Malo</v>
      </c>
      <c r="C3231" s="6"/>
      <c r="D3231" s="6" t="s">
        <v>3206</v>
      </c>
      <c r="E3231" s="12" t="s">
        <v>3207</v>
      </c>
    </row>
    <row r="3232">
      <c r="A3232" s="4" t="s">
        <v>3260</v>
      </c>
      <c r="B3232" s="5" t="str">
        <f>IFERROR(__xludf.DUMMYFUNCTION("IF(A3232="""","""",INDEX(SPLIT(A3232,"" ""),COUNTA(SPLIT(A3232,"" ""))))"),"Vicentino")</f>
        <v>Vicentino</v>
      </c>
      <c r="C3232" s="6"/>
      <c r="D3232" s="6" t="s">
        <v>3206</v>
      </c>
      <c r="E3232" s="12" t="s">
        <v>3207</v>
      </c>
    </row>
    <row r="3233">
      <c r="A3233" s="4" t="s">
        <v>3261</v>
      </c>
      <c r="B3233" s="5" t="str">
        <f>IFERROR(__xludf.DUMMYFUNCTION("IF(A3233="""","""",INDEX(SPLIT(A3233,"" ""),COUNTA(SPLIT(A3233,"" ""))))"),"Marostica")</f>
        <v>Marostica</v>
      </c>
      <c r="C3233" s="6"/>
      <c r="D3233" s="6" t="s">
        <v>3206</v>
      </c>
      <c r="E3233" s="12" t="s">
        <v>3207</v>
      </c>
    </row>
    <row r="3234">
      <c r="A3234" s="4" t="s">
        <v>3262</v>
      </c>
      <c r="B3234" s="5" t="str">
        <f>IFERROR(__xludf.DUMMYFUNCTION("IF(A3234="""","""",INDEX(SPLIT(A3234,"" ""),COUNTA(SPLIT(A3234,"" ""))))"),"Vicentino")</f>
        <v>Vicentino</v>
      </c>
      <c r="C3234" s="6"/>
      <c r="D3234" s="6" t="s">
        <v>3206</v>
      </c>
      <c r="E3234" s="12" t="s">
        <v>3207</v>
      </c>
    </row>
    <row r="3235">
      <c r="A3235" s="4" t="s">
        <v>3263</v>
      </c>
      <c r="B3235" s="5" t="str">
        <f>IFERROR(__xludf.DUMMYFUNCTION("IF(A3235="""","""",INDEX(SPLIT(A3235,"" ""),COUNTA(SPLIT(A3235,"" ""))))"),"Molvena")</f>
        <v>Molvena</v>
      </c>
      <c r="C3235" s="6"/>
      <c r="D3235" s="6" t="s">
        <v>3206</v>
      </c>
      <c r="E3235" s="12" t="s">
        <v>3207</v>
      </c>
    </row>
    <row r="3236">
      <c r="A3236" s="4" t="s">
        <v>3264</v>
      </c>
      <c r="B3236" s="5" t="str">
        <f>IFERROR(__xludf.DUMMYFUNCTION("IF(A3236="""","""",INDEX(SPLIT(A3236,"" ""),COUNTA(SPLIT(A3236,"" ""))))"),"Vicentino")</f>
        <v>Vicentino</v>
      </c>
      <c r="C3236" s="6"/>
      <c r="D3236" s="6" t="s">
        <v>3206</v>
      </c>
      <c r="E3236" s="12" t="s">
        <v>3207</v>
      </c>
    </row>
    <row r="3237">
      <c r="A3237" s="4" t="s">
        <v>3265</v>
      </c>
      <c r="B3237" s="5" t="str">
        <f>IFERROR(__xludf.DUMMYFUNCTION("IF(A3237="""","""",INDEX(SPLIT(A3237,"" ""),COUNTA(SPLIT(A3237,"" ""))))"),"Maggiore")</f>
        <v>Maggiore</v>
      </c>
      <c r="C3237" s="6"/>
      <c r="D3237" s="6" t="s">
        <v>3206</v>
      </c>
      <c r="E3237" s="12" t="s">
        <v>3207</v>
      </c>
    </row>
    <row r="3238">
      <c r="A3238" s="4" t="s">
        <v>3266</v>
      </c>
      <c r="B3238" s="5" t="str">
        <f>IFERROR(__xludf.DUMMYFUNCTION("IF(A3238="""","""",INDEX(SPLIT(A3238,"" ""),COUNTA(SPLIT(A3238,"" ""))))"),"Precalcino")</f>
        <v>Precalcino</v>
      </c>
      <c r="C3238" s="6"/>
      <c r="D3238" s="6" t="s">
        <v>3206</v>
      </c>
      <c r="E3238" s="12" t="s">
        <v>3207</v>
      </c>
    </row>
    <row r="3239">
      <c r="A3239" s="4" t="s">
        <v>3267</v>
      </c>
      <c r="B3239" s="5" t="str">
        <f>IFERROR(__xludf.DUMMYFUNCTION("IF(A3239="""","""",INDEX(SPLIT(A3239,"" ""),COUNTA(SPLIT(A3239,"" ""))))"),"Malo")</f>
        <v>Malo</v>
      </c>
      <c r="C3239" s="6"/>
      <c r="D3239" s="6" t="s">
        <v>3206</v>
      </c>
      <c r="E3239" s="12" t="s">
        <v>3207</v>
      </c>
    </row>
    <row r="3240">
      <c r="A3240" s="4" t="s">
        <v>3268</v>
      </c>
      <c r="B3240" s="5" t="str">
        <f>IFERROR(__xludf.DUMMYFUNCTION("IF(A3240="""","""",INDEX(SPLIT(A3240,"" ""),COUNTA(SPLIT(A3240,"" ""))))"),"Montegalda")</f>
        <v>Montegalda</v>
      </c>
      <c r="C3240" s="6"/>
      <c r="D3240" s="6" t="s">
        <v>3206</v>
      </c>
      <c r="E3240" s="12" t="s">
        <v>3207</v>
      </c>
    </row>
    <row r="3241">
      <c r="A3241" s="4" t="s">
        <v>3269</v>
      </c>
      <c r="B3241" s="5" t="str">
        <f>IFERROR(__xludf.DUMMYFUNCTION("IF(A3241="""","""",INDEX(SPLIT(A3241,"" ""),COUNTA(SPLIT(A3241,"" ""))))"),"Montegaldella")</f>
        <v>Montegaldella</v>
      </c>
      <c r="C3241" s="6"/>
      <c r="D3241" s="6" t="s">
        <v>3206</v>
      </c>
      <c r="E3241" s="12" t="s">
        <v>3207</v>
      </c>
    </row>
    <row r="3242">
      <c r="A3242" s="4" t="s">
        <v>3270</v>
      </c>
      <c r="B3242" s="5" t="str">
        <f>IFERROR(__xludf.DUMMYFUNCTION("IF(A3242="""","""",INDEX(SPLIT(A3242,"" ""),COUNTA(SPLIT(A3242,"" ""))))"),"Monteviale")</f>
        <v>Monteviale</v>
      </c>
      <c r="C3242" s="6"/>
      <c r="D3242" s="6" t="s">
        <v>3206</v>
      </c>
      <c r="E3242" s="12" t="s">
        <v>3207</v>
      </c>
    </row>
    <row r="3243">
      <c r="A3243" s="4" t="s">
        <v>3271</v>
      </c>
      <c r="B3243" s="5" t="str">
        <f>IFERROR(__xludf.DUMMYFUNCTION("IF(A3243="""","""",INDEX(SPLIT(A3243,"" ""),COUNTA(SPLIT(A3243,"" ""))))"),"Otto")</f>
        <v>Otto</v>
      </c>
      <c r="C3243" s="6"/>
      <c r="D3243" s="6" t="s">
        <v>3206</v>
      </c>
      <c r="E3243" s="12" t="s">
        <v>3207</v>
      </c>
    </row>
    <row r="3244">
      <c r="A3244" s="4" t="s">
        <v>3272</v>
      </c>
      <c r="B3244" s="5" t="str">
        <f>IFERROR(__xludf.DUMMYFUNCTION("IF(A3244="""","""",INDEX(SPLIT(A3244,"" ""),COUNTA(SPLIT(A3244,"" ""))))"),"Vicentino")</f>
        <v>Vicentino</v>
      </c>
      <c r="C3244" s="6"/>
      <c r="D3244" s="6" t="s">
        <v>3206</v>
      </c>
      <c r="E3244" s="12" t="s">
        <v>3207</v>
      </c>
    </row>
    <row r="3245">
      <c r="A3245" s="4" t="s">
        <v>3273</v>
      </c>
      <c r="B3245" s="5" t="str">
        <f>IFERROR(__xludf.DUMMYFUNCTION("IF(A3245="""","""",INDEX(SPLIT(A3245,"" ""),COUNTA(SPLIT(A3245,"" ""))))"),"Mussolente")</f>
        <v>Mussolente</v>
      </c>
      <c r="C3245" s="6"/>
      <c r="D3245" s="6" t="s">
        <v>3206</v>
      </c>
      <c r="E3245" s="12" t="s">
        <v>3207</v>
      </c>
    </row>
    <row r="3246">
      <c r="A3246" s="4" t="s">
        <v>3274</v>
      </c>
      <c r="B3246" s="5" t="str">
        <f>IFERROR(__xludf.DUMMYFUNCTION("IF(A3246="""","""",INDEX(SPLIT(A3246,"" ""),COUNTA(SPLIT(A3246,"" ""))))"),"Nanto")</f>
        <v>Nanto</v>
      </c>
      <c r="C3246" s="6"/>
      <c r="D3246" s="6" t="s">
        <v>3206</v>
      </c>
      <c r="E3246" s="12" t="s">
        <v>3207</v>
      </c>
    </row>
    <row r="3247">
      <c r="A3247" s="4" t="s">
        <v>3275</v>
      </c>
      <c r="B3247" s="5" t="str">
        <f>IFERROR(__xludf.DUMMYFUNCTION("IF(A3247="""","""",INDEX(SPLIT(A3247,"" ""),COUNTA(SPLIT(A3247,"" ""))))"),"Vicentino")</f>
        <v>Vicentino</v>
      </c>
      <c r="C3247" s="6"/>
      <c r="D3247" s="6" t="s">
        <v>3206</v>
      </c>
      <c r="E3247" s="12" t="s">
        <v>3207</v>
      </c>
    </row>
    <row r="3248">
      <c r="A3248" s="4" t="s">
        <v>3276</v>
      </c>
      <c r="B3248" s="5" t="str">
        <f>IFERROR(__xludf.DUMMYFUNCTION("IF(A3248="""","""",INDEX(SPLIT(A3248,"" ""),COUNTA(SPLIT(A3248,"" ""))))"),"Nove")</f>
        <v>Nove</v>
      </c>
      <c r="C3248" s="6"/>
      <c r="D3248" s="6" t="s">
        <v>3206</v>
      </c>
      <c r="E3248" s="12" t="s">
        <v>3207</v>
      </c>
    </row>
    <row r="3249">
      <c r="A3249" s="4" t="s">
        <v>3277</v>
      </c>
      <c r="B3249" s="5" t="str">
        <f>IFERROR(__xludf.DUMMYFUNCTION("IF(A3249="""","""",INDEX(SPLIT(A3249,"" ""),COUNTA(SPLIT(A3249,"" ""))))"),"Vicentina")</f>
        <v>Vicentina</v>
      </c>
      <c r="C3249" s="6"/>
      <c r="D3249" s="6" t="s">
        <v>3206</v>
      </c>
      <c r="E3249" s="12" t="s">
        <v>3207</v>
      </c>
    </row>
    <row r="3250">
      <c r="A3250" s="4" t="s">
        <v>3278</v>
      </c>
      <c r="B3250" s="5" t="str">
        <f>IFERROR(__xludf.DUMMYFUNCTION("IF(A3250="""","""",INDEX(SPLIT(A3250,"" ""),COUNTA(SPLIT(A3250,"" ""))))"),"Orgiano")</f>
        <v>Orgiano</v>
      </c>
      <c r="C3250" s="6"/>
      <c r="D3250" s="6" t="s">
        <v>3206</v>
      </c>
      <c r="E3250" s="12" t="s">
        <v>3207</v>
      </c>
    </row>
    <row r="3251">
      <c r="A3251" s="4" t="s">
        <v>3279</v>
      </c>
      <c r="B3251" s="5" t="str">
        <f>IFERROR(__xludf.DUMMYFUNCTION("IF(A3251="""","""",INDEX(SPLIT(A3251,"" ""),COUNTA(SPLIT(A3251,"" ""))))"),"Pedemonte")</f>
        <v>Pedemonte</v>
      </c>
      <c r="C3251" s="6"/>
      <c r="D3251" s="6" t="s">
        <v>3206</v>
      </c>
      <c r="E3251" s="12" t="s">
        <v>3207</v>
      </c>
    </row>
    <row r="3252">
      <c r="A3252" s="4" t="s">
        <v>3280</v>
      </c>
      <c r="B3252" s="5" t="str">
        <f>IFERROR(__xludf.DUMMYFUNCTION("IF(A3252="""","""",INDEX(SPLIT(A3252,"" ""),COUNTA(SPLIT(A3252,"" ""))))"),"Pianezze")</f>
        <v>Pianezze</v>
      </c>
      <c r="C3252" s="6"/>
      <c r="D3252" s="6" t="s">
        <v>3206</v>
      </c>
      <c r="E3252" s="12" t="s">
        <v>3207</v>
      </c>
    </row>
    <row r="3253">
      <c r="A3253" s="4" t="s">
        <v>3281</v>
      </c>
      <c r="B3253" s="5" t="str">
        <f>IFERROR(__xludf.DUMMYFUNCTION("IF(A3253="""","""",INDEX(SPLIT(A3253,"" ""),COUNTA(SPLIT(A3253,"" ""))))"),"Rocchette")</f>
        <v>Rocchette</v>
      </c>
      <c r="C3253" s="6"/>
      <c r="D3253" s="6" t="s">
        <v>3206</v>
      </c>
      <c r="E3253" s="12" t="s">
        <v>3207</v>
      </c>
    </row>
    <row r="3254">
      <c r="A3254" s="4" t="s">
        <v>3282</v>
      </c>
      <c r="B3254" s="5" t="str">
        <f>IFERROR(__xludf.DUMMYFUNCTION("IF(A3254="""","""",INDEX(SPLIT(A3254,"" ""),COUNTA(SPLIT(A3254,"" ""))))"),"Maggiore")</f>
        <v>Maggiore</v>
      </c>
      <c r="C3254" s="6"/>
      <c r="D3254" s="6" t="s">
        <v>3206</v>
      </c>
      <c r="E3254" s="12" t="s">
        <v>3207</v>
      </c>
    </row>
    <row r="3255">
      <c r="A3255" s="4" t="s">
        <v>3283</v>
      </c>
      <c r="B3255" s="5" t="str">
        <f>IFERROR(__xludf.DUMMYFUNCTION("IF(A3255="""","""",INDEX(SPLIT(A3255,"" ""),COUNTA(SPLIT(A3255,"" ""))))"),"Posina")</f>
        <v>Posina</v>
      </c>
      <c r="C3255" s="6"/>
      <c r="D3255" s="6" t="s">
        <v>3206</v>
      </c>
      <c r="E3255" s="12" t="s">
        <v>3207</v>
      </c>
    </row>
    <row r="3256">
      <c r="A3256" s="4" t="s">
        <v>3284</v>
      </c>
      <c r="B3256" s="5" t="str">
        <f>IFERROR(__xludf.DUMMYFUNCTION("IF(A3256="""","""",INDEX(SPLIT(A3256,"" ""),COUNTA(SPLIT(A3256,"" ""))))"),"Grappa")</f>
        <v>Grappa</v>
      </c>
      <c r="C3256" s="6"/>
      <c r="D3256" s="6" t="s">
        <v>3206</v>
      </c>
      <c r="E3256" s="12" t="s">
        <v>3207</v>
      </c>
    </row>
    <row r="3257">
      <c r="A3257" s="4" t="s">
        <v>3285</v>
      </c>
      <c r="B3257" s="5" t="str">
        <f>IFERROR(__xludf.DUMMYFUNCTION("IF(A3257="""","""",INDEX(SPLIT(A3257,"" ""),COUNTA(SPLIT(A3257,"" ""))))"),"Pozzoleone")</f>
        <v>Pozzoleone</v>
      </c>
      <c r="C3257" s="6"/>
      <c r="D3257" s="6" t="s">
        <v>3206</v>
      </c>
      <c r="E3257" s="12" t="s">
        <v>3207</v>
      </c>
    </row>
    <row r="3258">
      <c r="A3258" s="4" t="s">
        <v>3286</v>
      </c>
      <c r="B3258" s="5" t="str">
        <f>IFERROR(__xludf.DUMMYFUNCTION("IF(A3258="""","""",INDEX(SPLIT(A3258,"" ""),COUNTA(SPLIT(A3258,"" ""))))"),"Vicentino")</f>
        <v>Vicentino</v>
      </c>
      <c r="C3258" s="6"/>
      <c r="D3258" s="6" t="s">
        <v>3206</v>
      </c>
      <c r="E3258" s="12" t="s">
        <v>3207</v>
      </c>
    </row>
    <row r="3259">
      <c r="A3259" s="4" t="s">
        <v>3287</v>
      </c>
      <c r="B3259" s="5" t="str">
        <f>IFERROR(__xludf.DUMMYFUNCTION("IF(A3259="""","""",INDEX(SPLIT(A3259,"" ""),COUNTA(SPLIT(A3259,"" ""))))"),"Terme")</f>
        <v>Terme</v>
      </c>
      <c r="C3259" s="6"/>
      <c r="D3259" s="6" t="s">
        <v>3206</v>
      </c>
      <c r="E3259" s="12" t="s">
        <v>3207</v>
      </c>
    </row>
    <row r="3260">
      <c r="A3260" s="4" t="s">
        <v>3288</v>
      </c>
      <c r="B3260" s="5" t="str">
        <f>IFERROR(__xludf.DUMMYFUNCTION("IF(A3260="""","""",INDEX(SPLIT(A3260,"" ""),COUNTA(SPLIT(A3260,"" ""))))"),"Roana")</f>
        <v>Roana</v>
      </c>
      <c r="C3260" s="6"/>
      <c r="D3260" s="6" t="s">
        <v>3206</v>
      </c>
      <c r="E3260" s="12" t="s">
        <v>3207</v>
      </c>
    </row>
    <row r="3261">
      <c r="A3261" s="4" t="s">
        <v>3289</v>
      </c>
      <c r="B3261" s="5" t="str">
        <f>IFERROR(__xludf.DUMMYFUNCTION("IF(A3261="""","""",INDEX(SPLIT(A3261,"" ""),COUNTA(SPLIT(A3261,"" ""))))"),"d'Ezzelino")</f>
        <v>d'Ezzelino</v>
      </c>
      <c r="C3261" s="6"/>
      <c r="D3261" s="6" t="s">
        <v>3206</v>
      </c>
      <c r="E3261" s="12" t="s">
        <v>3207</v>
      </c>
    </row>
    <row r="3262">
      <c r="A3262" s="4" t="s">
        <v>3290</v>
      </c>
      <c r="B3262" s="5" t="str">
        <f>IFERROR(__xludf.DUMMYFUNCTION("IF(A3262="""","""",INDEX(SPLIT(A3262,"" ""),COUNTA(SPLIT(A3262,"" ""))))"),"Rosà")</f>
        <v>Rosà</v>
      </c>
      <c r="C3262" s="6"/>
      <c r="D3262" s="6" t="s">
        <v>3206</v>
      </c>
      <c r="E3262" s="12" t="s">
        <v>3207</v>
      </c>
    </row>
    <row r="3263">
      <c r="A3263" s="4" t="s">
        <v>3291</v>
      </c>
      <c r="B3263" s="5" t="str">
        <f>IFERROR(__xludf.DUMMYFUNCTION("IF(A3263="""","""",INDEX(SPLIT(A3263,"" ""),COUNTA(SPLIT(A3263,"" ""))))"),"Veneto")</f>
        <v>Veneto</v>
      </c>
      <c r="C3263" s="6"/>
      <c r="D3263" s="6" t="s">
        <v>3206</v>
      </c>
      <c r="E3263" s="12" t="s">
        <v>3207</v>
      </c>
    </row>
    <row r="3264">
      <c r="A3264" s="4" t="s">
        <v>3292</v>
      </c>
      <c r="B3264" s="5" t="str">
        <f>IFERROR(__xludf.DUMMYFUNCTION("IF(A3264="""","""",INDEX(SPLIT(A3264,"" ""),COUNTA(SPLIT(A3264,"" ""))))"),"Rotzo")</f>
        <v>Rotzo</v>
      </c>
      <c r="C3264" s="6"/>
      <c r="D3264" s="6" t="s">
        <v>3206</v>
      </c>
      <c r="E3264" s="12" t="s">
        <v>3207</v>
      </c>
    </row>
    <row r="3265">
      <c r="A3265" s="4" t="s">
        <v>3293</v>
      </c>
      <c r="B3265" s="5" t="str">
        <f>IFERROR(__xludf.DUMMYFUNCTION("IF(A3265="""","""",INDEX(SPLIT(A3265,"" ""),COUNTA(SPLIT(A3265,"" ""))))"),"Salcedo")</f>
        <v>Salcedo</v>
      </c>
      <c r="C3265" s="6"/>
      <c r="D3265" s="6" t="s">
        <v>3206</v>
      </c>
      <c r="E3265" s="12" t="s">
        <v>3207</v>
      </c>
    </row>
    <row r="3266">
      <c r="A3266" s="4" t="s">
        <v>3294</v>
      </c>
      <c r="B3266" s="5" t="str">
        <f>IFERROR(__xludf.DUMMYFUNCTION("IF(A3266="""","""",INDEX(SPLIT(A3266,"" ""),COUNTA(SPLIT(A3266,"" ""))))"),"Sandrigo")</f>
        <v>Sandrigo</v>
      </c>
      <c r="C3266" s="6"/>
      <c r="D3266" s="6" t="s">
        <v>3206</v>
      </c>
      <c r="E3266" s="12" t="s">
        <v>3207</v>
      </c>
    </row>
    <row r="3267">
      <c r="A3267" s="4" t="s">
        <v>3295</v>
      </c>
      <c r="B3267" s="5" t="str">
        <f>IFERROR(__xludf.DUMMYFUNCTION("IF(A3267="""","""",INDEX(SPLIT(A3267,"" ""),COUNTA(SPLIT(A3267,"" ""))))"),"Nazario")</f>
        <v>Nazario</v>
      </c>
      <c r="C3267" s="6"/>
      <c r="D3267" s="6" t="s">
        <v>3206</v>
      </c>
      <c r="E3267" s="12" t="s">
        <v>3207</v>
      </c>
    </row>
    <row r="3268">
      <c r="A3268" s="4" t="s">
        <v>3296</v>
      </c>
      <c r="B3268" s="5" t="str">
        <f>IFERROR(__xludf.DUMMYFUNCTION("IF(A3268="""","""",INDEX(SPLIT(A3268,"" ""),COUNTA(SPLIT(A3268,"" ""))))"),"Mussolino")</f>
        <v>Mussolino</v>
      </c>
      <c r="C3268" s="6"/>
      <c r="D3268" s="6" t="s">
        <v>3206</v>
      </c>
      <c r="E3268" s="12" t="s">
        <v>3207</v>
      </c>
    </row>
    <row r="3269">
      <c r="A3269" s="4" t="s">
        <v>3297</v>
      </c>
      <c r="B3269" s="5" t="str">
        <f>IFERROR(__xludf.DUMMYFUNCTION("IF(A3269="""","""",INDEX(SPLIT(A3269,"" ""),COUNTA(SPLIT(A3269,"" ""))))"),"Santorso")</f>
        <v>Santorso</v>
      </c>
      <c r="C3269" s="6"/>
      <c r="D3269" s="6" t="s">
        <v>3206</v>
      </c>
      <c r="E3269" s="12" t="s">
        <v>3207</v>
      </c>
    </row>
    <row r="3270">
      <c r="A3270" s="4" t="s">
        <v>3298</v>
      </c>
      <c r="B3270" s="5" t="str">
        <f>IFERROR(__xludf.DUMMYFUNCTION("IF(A3270="""","""",INDEX(SPLIT(A3270,"" ""),COUNTA(SPLIT(A3270,"" ""))))"),"Leguzzano")</f>
        <v>Leguzzano</v>
      </c>
      <c r="C3270" s="6"/>
      <c r="D3270" s="6" t="s">
        <v>3206</v>
      </c>
      <c r="E3270" s="12" t="s">
        <v>3207</v>
      </c>
    </row>
    <row r="3271">
      <c r="A3271" s="4" t="s">
        <v>3299</v>
      </c>
      <c r="B3271" s="5" t="str">
        <f>IFERROR(__xludf.DUMMYFUNCTION("IF(A3271="""","""",INDEX(SPLIT(A3271,"" ""),COUNTA(SPLIT(A3271,"" ""))))"),"Sarcedo")</f>
        <v>Sarcedo</v>
      </c>
      <c r="C3271" s="6"/>
      <c r="D3271" s="6" t="s">
        <v>3206</v>
      </c>
      <c r="E3271" s="12" t="s">
        <v>3207</v>
      </c>
    </row>
    <row r="3272">
      <c r="A3272" s="4" t="s">
        <v>3300</v>
      </c>
      <c r="B3272" s="5" t="str">
        <f>IFERROR(__xludf.DUMMYFUNCTION("IF(A3272="""","""",INDEX(SPLIT(A3272,"" ""),COUNTA(SPLIT(A3272,"" ""))))"),"Sarego")</f>
        <v>Sarego</v>
      </c>
      <c r="C3272" s="6"/>
      <c r="D3272" s="6" t="s">
        <v>3206</v>
      </c>
      <c r="E3272" s="12" t="s">
        <v>3207</v>
      </c>
    </row>
    <row r="3273">
      <c r="A3273" s="4" t="s">
        <v>3301</v>
      </c>
      <c r="B3273" s="5" t="str">
        <f>IFERROR(__xludf.DUMMYFUNCTION("IF(A3273="""","""",INDEX(SPLIT(A3273,"" ""),COUNTA(SPLIT(A3273,"" ""))))"),"Schiavon")</f>
        <v>Schiavon</v>
      </c>
      <c r="C3273" s="6"/>
      <c r="D3273" s="6" t="s">
        <v>3206</v>
      </c>
      <c r="E3273" s="12" t="s">
        <v>3207</v>
      </c>
    </row>
    <row r="3274">
      <c r="A3274" s="4" t="s">
        <v>3302</v>
      </c>
      <c r="B3274" s="5" t="str">
        <f>IFERROR(__xludf.DUMMYFUNCTION("IF(A3274="""","""",INDEX(SPLIT(A3274,"" ""),COUNTA(SPLIT(A3274,"" ""))))"),"Schio")</f>
        <v>Schio</v>
      </c>
      <c r="C3274" s="6"/>
      <c r="D3274" s="6" t="s">
        <v>3206</v>
      </c>
      <c r="E3274" s="12" t="s">
        <v>3207</v>
      </c>
    </row>
    <row r="3275">
      <c r="A3275" s="4" t="s">
        <v>3303</v>
      </c>
      <c r="B3275" s="5" t="str">
        <f>IFERROR(__xludf.DUMMYFUNCTION("IF(A3275="""","""",INDEX(SPLIT(A3275,"" ""),COUNTA(SPLIT(A3275,"" ""))))"),"Solagna")</f>
        <v>Solagna</v>
      </c>
      <c r="C3275" s="6"/>
      <c r="D3275" s="6" t="s">
        <v>3206</v>
      </c>
      <c r="E3275" s="12" t="s">
        <v>3207</v>
      </c>
    </row>
    <row r="3276">
      <c r="A3276" s="4" t="s">
        <v>3304</v>
      </c>
      <c r="B3276" s="5" t="str">
        <f>IFERROR(__xludf.DUMMYFUNCTION("IF(A3276="""","""",INDEX(SPLIT(A3276,"" ""),COUNTA(SPLIT(A3276,"" ""))))"),"Sossano")</f>
        <v>Sossano</v>
      </c>
      <c r="C3276" s="6"/>
      <c r="D3276" s="6" t="s">
        <v>3206</v>
      </c>
      <c r="E3276" s="12" t="s">
        <v>3207</v>
      </c>
    </row>
    <row r="3277">
      <c r="A3277" s="4" t="s">
        <v>3305</v>
      </c>
      <c r="B3277" s="5" t="str">
        <f>IFERROR(__xludf.DUMMYFUNCTION("IF(A3277="""","""",INDEX(SPLIT(A3277,"" ""),COUNTA(SPLIT(A3277,"" ""))))"),"Sovizzo")</f>
        <v>Sovizzo</v>
      </c>
      <c r="C3277" s="6"/>
      <c r="D3277" s="6" t="s">
        <v>3206</v>
      </c>
      <c r="E3277" s="12" t="s">
        <v>3207</v>
      </c>
    </row>
    <row r="3278">
      <c r="A3278" s="4" t="s">
        <v>3306</v>
      </c>
      <c r="B3278" s="5" t="str">
        <f>IFERROR(__xludf.DUMMYFUNCTION("IF(A3278="""","""",INDEX(SPLIT(A3278,"" ""),COUNTA(SPLIT(A3278,"" ""))))"),"Brenta")</f>
        <v>Brenta</v>
      </c>
      <c r="C3278" s="6"/>
      <c r="D3278" s="6" t="s">
        <v>3206</v>
      </c>
      <c r="E3278" s="12" t="s">
        <v>3207</v>
      </c>
    </row>
    <row r="3279">
      <c r="A3279" s="4" t="s">
        <v>3307</v>
      </c>
      <c r="B3279" s="5" t="str">
        <f>IFERROR(__xludf.DUMMYFUNCTION("IF(A3279="""","""",INDEX(SPLIT(A3279,"" ""),COUNTA(SPLIT(A3279,"" ""))))"),"Thiene")</f>
        <v>Thiene</v>
      </c>
      <c r="C3279" s="6"/>
      <c r="D3279" s="6" t="s">
        <v>3206</v>
      </c>
      <c r="E3279" s="12" t="s">
        <v>3207</v>
      </c>
    </row>
    <row r="3280">
      <c r="A3280" s="4" t="s">
        <v>3308</v>
      </c>
      <c r="B3280" s="5" t="str">
        <f>IFERROR(__xludf.DUMMYFUNCTION("IF(A3280="""","""",INDEX(SPLIT(A3280,"" ""),COUNTA(SPLIT(A3280,"" ""))))"),"Cimone")</f>
        <v>Cimone</v>
      </c>
      <c r="C3280" s="6"/>
      <c r="D3280" s="6" t="s">
        <v>3206</v>
      </c>
      <c r="E3280" s="12" t="s">
        <v>3207</v>
      </c>
    </row>
    <row r="3281">
      <c r="A3281" s="4" t="s">
        <v>3309</v>
      </c>
      <c r="B3281" s="5" t="str">
        <f>IFERROR(__xludf.DUMMYFUNCTION("IF(A3281="""","""",INDEX(SPLIT(A3281,"" ""),COUNTA(SPLIT(A3281,"" ""))))"),"Torrebelvicino")</f>
        <v>Torrebelvicino</v>
      </c>
      <c r="C3281" s="6"/>
      <c r="D3281" s="6" t="s">
        <v>3206</v>
      </c>
      <c r="E3281" s="12" t="s">
        <v>3207</v>
      </c>
    </row>
    <row r="3282">
      <c r="A3282" s="4" t="s">
        <v>3310</v>
      </c>
      <c r="B3282" s="5" t="str">
        <f>IFERROR(__xludf.DUMMYFUNCTION("IF(A3282="""","""",INDEX(SPLIT(A3282,"" ""),COUNTA(SPLIT(A3282,"" ""))))"),"Quartesolo")</f>
        <v>Quartesolo</v>
      </c>
      <c r="C3282" s="6"/>
      <c r="D3282" s="6" t="s">
        <v>3206</v>
      </c>
      <c r="E3282" s="12" t="s">
        <v>3207</v>
      </c>
    </row>
    <row r="3283">
      <c r="A3283" s="4" t="s">
        <v>3311</v>
      </c>
      <c r="B3283" s="5" t="str">
        <f>IFERROR(__xludf.DUMMYFUNCTION("IF(A3283="""","""",INDEX(SPLIT(A3283,"" ""),COUNTA(SPLIT(A3283,"" ""))))"),"Trissino")</f>
        <v>Trissino</v>
      </c>
      <c r="C3283" s="6"/>
      <c r="D3283" s="6" t="s">
        <v>3206</v>
      </c>
      <c r="E3283" s="12" t="s">
        <v>3207</v>
      </c>
    </row>
    <row r="3284">
      <c r="A3284" s="4" t="s">
        <v>3312</v>
      </c>
      <c r="B3284" s="5" t="str">
        <f>IFERROR(__xludf.DUMMYFUNCTION("IF(A3284="""","""",INDEX(SPLIT(A3284,"" ""),COUNTA(SPLIT(A3284,"" ""))))"),"Valdagno")</f>
        <v>Valdagno</v>
      </c>
      <c r="C3284" s="6"/>
      <c r="D3284" s="6" t="s">
        <v>3206</v>
      </c>
      <c r="E3284" s="12" t="s">
        <v>3207</v>
      </c>
    </row>
    <row r="3285">
      <c r="A3285" s="4" t="s">
        <v>3313</v>
      </c>
      <c r="B3285" s="5" t="str">
        <f>IFERROR(__xludf.DUMMYFUNCTION("IF(A3285="""","""",INDEX(SPLIT(A3285,"" ""),COUNTA(SPLIT(A3285,"" ""))))"),"Valdastico")</f>
        <v>Valdastico</v>
      </c>
      <c r="C3285" s="6"/>
      <c r="D3285" s="6" t="s">
        <v>3206</v>
      </c>
      <c r="E3285" s="12" t="s">
        <v>3207</v>
      </c>
    </row>
    <row r="3286">
      <c r="A3286" s="4" t="s">
        <v>3314</v>
      </c>
      <c r="B3286" s="5" t="str">
        <f>IFERROR(__xludf.DUMMYFUNCTION("IF(A3286="""","""",INDEX(SPLIT(A3286,"" ""),COUNTA(SPLIT(A3286,"" ""))))"),"Pasubio")</f>
        <v>Pasubio</v>
      </c>
      <c r="C3286" s="6"/>
      <c r="D3286" s="6" t="s">
        <v>3206</v>
      </c>
      <c r="E3286" s="12" t="s">
        <v>3207</v>
      </c>
    </row>
    <row r="3287">
      <c r="A3287" s="4" t="s">
        <v>3315</v>
      </c>
      <c r="B3287" s="5" t="str">
        <f>IFERROR(__xludf.DUMMYFUNCTION("IF(A3287="""","""",INDEX(SPLIT(A3287,"" ""),COUNTA(SPLIT(A3287,"" ""))))"),"Valstagna")</f>
        <v>Valstagna</v>
      </c>
      <c r="C3287" s="6"/>
      <c r="D3287" s="6" t="s">
        <v>3206</v>
      </c>
      <c r="E3287" s="12" t="s">
        <v>3207</v>
      </c>
    </row>
    <row r="3288">
      <c r="A3288" s="4" t="s">
        <v>3316</v>
      </c>
      <c r="B3288" s="5" t="str">
        <f>IFERROR(__xludf.DUMMYFUNCTION("IF(A3288="""","""",INDEX(SPLIT(A3288,"" ""),COUNTA(SPLIT(A3288,"" ""))))"),"d'Astico")</f>
        <v>d'Astico</v>
      </c>
      <c r="C3288" s="6"/>
      <c r="D3288" s="6" t="s">
        <v>3206</v>
      </c>
      <c r="E3288" s="12" t="s">
        <v>3207</v>
      </c>
    </row>
    <row r="3289">
      <c r="A3289" s="4" t="s">
        <v>3206</v>
      </c>
      <c r="B3289" s="5" t="str">
        <f>IFERROR(__xludf.DUMMYFUNCTION("IF(A3289="""","""",INDEX(SPLIT(A3289,"" ""),COUNTA(SPLIT(A3289,"" ""))))"),"Vicenza")</f>
        <v>Vicenza</v>
      </c>
      <c r="C3289" s="6"/>
      <c r="D3289" s="6" t="s">
        <v>3206</v>
      </c>
      <c r="E3289" s="12" t="s">
        <v>3207</v>
      </c>
    </row>
    <row r="3290">
      <c r="A3290" s="4" t="s">
        <v>3317</v>
      </c>
      <c r="B3290" s="5" t="str">
        <f>IFERROR(__xludf.DUMMYFUNCTION("IF(A3290="""","""",INDEX(SPLIT(A3290,"" ""),COUNTA(SPLIT(A3290,"" ""))))"),"Villaga")</f>
        <v>Villaga</v>
      </c>
      <c r="C3290" s="6"/>
      <c r="D3290" s="6" t="s">
        <v>3206</v>
      </c>
      <c r="E3290" s="12" t="s">
        <v>3207</v>
      </c>
    </row>
    <row r="3291">
      <c r="A3291" s="4" t="s">
        <v>3318</v>
      </c>
      <c r="B3291" s="5" t="str">
        <f>IFERROR(__xludf.DUMMYFUNCTION("IF(A3291="""","""",INDEX(SPLIT(A3291,"" ""),COUNTA(SPLIT(A3291,"" ""))))"),"Villaverla")</f>
        <v>Villaverla</v>
      </c>
      <c r="C3291" s="6"/>
      <c r="D3291" s="6" t="s">
        <v>3206</v>
      </c>
      <c r="E3291" s="12" t="s">
        <v>3207</v>
      </c>
    </row>
    <row r="3292">
      <c r="A3292" s="4" t="s">
        <v>3319</v>
      </c>
      <c r="B3292" s="5" t="str">
        <f>IFERROR(__xludf.DUMMYFUNCTION("IF(A3292="""","""",INDEX(SPLIT(A3292,"" ""),COUNTA(SPLIT(A3292,"" ""))))"),"Zanè")</f>
        <v>Zanè</v>
      </c>
      <c r="C3292" s="6"/>
      <c r="D3292" s="6" t="s">
        <v>3206</v>
      </c>
      <c r="E3292" s="12" t="s">
        <v>3207</v>
      </c>
    </row>
    <row r="3293">
      <c r="A3293" s="4" t="s">
        <v>3320</v>
      </c>
      <c r="B3293" s="5" t="str">
        <f>IFERROR(__xludf.DUMMYFUNCTION("IF(A3293="""","""",INDEX(SPLIT(A3293,"" ""),COUNTA(SPLIT(A3293,"" ""))))"),"Zermeghedo")</f>
        <v>Zermeghedo</v>
      </c>
      <c r="C3293" s="6"/>
      <c r="D3293" s="6" t="s">
        <v>3206</v>
      </c>
      <c r="E3293" s="12" t="s">
        <v>3207</v>
      </c>
    </row>
    <row r="3294">
      <c r="A3294" s="4" t="s">
        <v>3321</v>
      </c>
      <c r="B3294" s="5" t="str">
        <f>IFERROR(__xludf.DUMMYFUNCTION("IF(A3294="""","""",INDEX(SPLIT(A3294,"" ""),COUNTA(SPLIT(A3294,"" ""))))"),"Zovencedo")</f>
        <v>Zovencedo</v>
      </c>
      <c r="C3294" s="6"/>
      <c r="D3294" s="6" t="s">
        <v>3206</v>
      </c>
      <c r="E3294" s="12" t="s">
        <v>3207</v>
      </c>
    </row>
    <row r="3295">
      <c r="A3295" s="4" t="s">
        <v>3322</v>
      </c>
      <c r="B3295" s="5" t="str">
        <f>IFERROR(__xludf.DUMMYFUNCTION("IF(A3295="""","""",INDEX(SPLIT(A3295,"" ""),COUNTA(SPLIT(A3295,"" ""))))"),"Zugliano")</f>
        <v>Zugliano</v>
      </c>
      <c r="C3295" s="6"/>
      <c r="D3295" s="6" t="s">
        <v>3206</v>
      </c>
      <c r="E3295" s="12" t="s">
        <v>3207</v>
      </c>
    </row>
    <row r="3296">
      <c r="A3296" s="4" t="s">
        <v>3323</v>
      </c>
      <c r="B3296" s="5" t="str">
        <f>IFERROR(__xludf.DUMMYFUNCTION("IF(A3296="""","""",INDEX(SPLIT(A3296,"" ""),COUNTA(SPLIT(A3296,"" ""))))"),"Liona")</f>
        <v>Liona</v>
      </c>
      <c r="C3296" s="6"/>
      <c r="D3296" s="6" t="s">
        <v>3206</v>
      </c>
      <c r="E3296" s="12" t="s">
        <v>3207</v>
      </c>
    </row>
    <row r="3297">
      <c r="A3297" s="4" t="s">
        <v>3324</v>
      </c>
      <c r="B3297" s="5" t="str">
        <f>IFERROR(__xludf.DUMMYFUNCTION("IF(A3297="""","""",INDEX(SPLIT(A3297,"" ""),COUNTA(SPLIT(A3297,"" ""))))"),"Mossano")</f>
        <v>Mossano</v>
      </c>
      <c r="C3297" s="6"/>
      <c r="D3297" s="6" t="s">
        <v>3206</v>
      </c>
      <c r="E3297" s="12" t="s">
        <v>3207</v>
      </c>
    </row>
    <row r="3298">
      <c r="A3298" s="4" t="s">
        <v>3325</v>
      </c>
      <c r="B3298" s="5" t="str">
        <f>IFERROR(__xludf.DUMMYFUNCTION("IF(A3298="""","""",INDEX(SPLIT(A3298,"" ""),COUNTA(SPLIT(A3298,"" ""))))"),"Agordo")</f>
        <v>Agordo</v>
      </c>
      <c r="C3298" s="6"/>
      <c r="D3298" s="6" t="s">
        <v>3326</v>
      </c>
      <c r="E3298" s="12" t="s">
        <v>3327</v>
      </c>
    </row>
    <row r="3299">
      <c r="A3299" s="4" t="s">
        <v>3328</v>
      </c>
      <c r="B3299" s="5" t="str">
        <f>IFERROR(__xludf.DUMMYFUNCTION("IF(A3299="""","""",INDEX(SPLIT(A3299,"" ""),COUNTA(SPLIT(A3299,"" ""))))"),"Piave")</f>
        <v>Piave</v>
      </c>
      <c r="C3299" s="6"/>
      <c r="D3299" s="6" t="s">
        <v>3326</v>
      </c>
      <c r="E3299" s="12" t="s">
        <v>3327</v>
      </c>
    </row>
    <row r="3300">
      <c r="A3300" s="4" t="s">
        <v>3329</v>
      </c>
      <c r="B3300" s="5" t="str">
        <f>IFERROR(__xludf.DUMMYFUNCTION("IF(A3300="""","""",INDEX(SPLIT(A3300,"" ""),COUNTA(SPLIT(A3300,"" ""))))"),"Alleghe")</f>
        <v>Alleghe</v>
      </c>
      <c r="C3300" s="6"/>
      <c r="D3300" s="6" t="s">
        <v>3326</v>
      </c>
      <c r="E3300" s="12" t="s">
        <v>3327</v>
      </c>
    </row>
    <row r="3301">
      <c r="A3301" s="4" t="s">
        <v>3330</v>
      </c>
      <c r="B3301" s="5" t="str">
        <f>IFERROR(__xludf.DUMMYFUNCTION("IF(A3301="""","""",INDEX(SPLIT(A3301,"" ""),COUNTA(SPLIT(A3301,"" ""))))"),"Arsiè")</f>
        <v>Arsiè</v>
      </c>
      <c r="C3301" s="6"/>
      <c r="D3301" s="6" t="s">
        <v>3326</v>
      </c>
      <c r="E3301" s="12" t="s">
        <v>3327</v>
      </c>
    </row>
    <row r="3302">
      <c r="A3302" s="4" t="s">
        <v>3331</v>
      </c>
      <c r="B3302" s="5" t="str">
        <f>IFERROR(__xludf.DUMMYFUNCTION("IF(A3302="""","""",INDEX(SPLIT(A3302,"" ""),COUNTA(SPLIT(A3302,"" ""))))"),"Cadore")</f>
        <v>Cadore</v>
      </c>
      <c r="C3302" s="6"/>
      <c r="D3302" s="6" t="s">
        <v>3326</v>
      </c>
      <c r="E3302" s="12" t="s">
        <v>3327</v>
      </c>
    </row>
    <row r="3303">
      <c r="A3303" s="4" t="s">
        <v>3326</v>
      </c>
      <c r="B3303" s="5" t="str">
        <f>IFERROR(__xludf.DUMMYFUNCTION("IF(A3303="""","""",INDEX(SPLIT(A3303,"" ""),COUNTA(SPLIT(A3303,"" ""))))"),"Belluno")</f>
        <v>Belluno</v>
      </c>
      <c r="C3303" s="6"/>
      <c r="D3303" s="6" t="s">
        <v>3326</v>
      </c>
      <c r="E3303" s="12" t="s">
        <v>3327</v>
      </c>
    </row>
    <row r="3304">
      <c r="A3304" s="4" t="s">
        <v>3332</v>
      </c>
      <c r="B3304" s="5" t="str">
        <f>IFERROR(__xludf.DUMMYFUNCTION("IF(A3304="""","""",INDEX(SPLIT(A3304,"" ""),COUNTA(SPLIT(A3304,"" ""))))"),"Cadore")</f>
        <v>Cadore</v>
      </c>
      <c r="C3304" s="6"/>
      <c r="D3304" s="6" t="s">
        <v>3326</v>
      </c>
      <c r="E3304" s="12" t="s">
        <v>3327</v>
      </c>
    </row>
    <row r="3305">
      <c r="A3305" s="4" t="s">
        <v>3333</v>
      </c>
      <c r="B3305" s="5" t="str">
        <f>IFERROR(__xludf.DUMMYFUNCTION("IF(A3305="""","""",INDEX(SPLIT(A3305,"" ""),COUNTA(SPLIT(A3305,"" ""))))"),"Cadore")</f>
        <v>Cadore</v>
      </c>
      <c r="C3305" s="6"/>
      <c r="D3305" s="6" t="s">
        <v>3326</v>
      </c>
      <c r="E3305" s="12" t="s">
        <v>3327</v>
      </c>
    </row>
    <row r="3306">
      <c r="A3306" s="4" t="s">
        <v>3334</v>
      </c>
      <c r="B3306" s="5" t="str">
        <f>IFERROR(__xludf.DUMMYFUNCTION("IF(A3306="""","""",INDEX(SPLIT(A3306,"" ""),COUNTA(SPLIT(A3306,"" ""))))"),"Agordino")</f>
        <v>Agordino</v>
      </c>
      <c r="C3306" s="6"/>
      <c r="D3306" s="6" t="s">
        <v>3326</v>
      </c>
      <c r="E3306" s="12" t="s">
        <v>3327</v>
      </c>
    </row>
    <row r="3307">
      <c r="A3307" s="4" t="s">
        <v>3335</v>
      </c>
      <c r="B3307" s="5" t="str">
        <f>IFERROR(__xludf.DUMMYFUNCTION("IF(A3307="""","""",INDEX(SPLIT(A3307,"" ""),COUNTA(SPLIT(A3307,"" ""))))"),"Cesiomaggiore")</f>
        <v>Cesiomaggiore</v>
      </c>
      <c r="C3307" s="6"/>
      <c r="D3307" s="6" t="s">
        <v>3326</v>
      </c>
      <c r="E3307" s="12" t="s">
        <v>3327</v>
      </c>
    </row>
    <row r="3308">
      <c r="A3308" s="4" t="s">
        <v>3336</v>
      </c>
      <c r="B3308" s="5" t="str">
        <f>IFERROR(__xludf.DUMMYFUNCTION("IF(A3308="""","""",INDEX(SPLIT(A3308,"" ""),COUNTA(SPLIT(A3308,"" ""))))"),"d'Alpago")</f>
        <v>d'Alpago</v>
      </c>
      <c r="C3308" s="6"/>
      <c r="D3308" s="6" t="s">
        <v>3326</v>
      </c>
      <c r="E3308" s="12" t="s">
        <v>3327</v>
      </c>
    </row>
    <row r="3309">
      <c r="A3309" s="4" t="s">
        <v>3337</v>
      </c>
      <c r="B3309" s="5" t="str">
        <f>IFERROR(__xludf.DUMMYFUNCTION("IF(A3309="""","""",INDEX(SPLIT(A3309,"" ""),COUNTA(SPLIT(A3309,"" ""))))"),"Cadore")</f>
        <v>Cadore</v>
      </c>
      <c r="C3309" s="6"/>
      <c r="D3309" s="6" t="s">
        <v>3326</v>
      </c>
      <c r="E3309" s="12" t="s">
        <v>3327</v>
      </c>
    </row>
    <row r="3310">
      <c r="A3310" s="4" t="s">
        <v>3338</v>
      </c>
      <c r="B3310" s="5" t="str">
        <f>IFERROR(__xludf.DUMMYFUNCTION("IF(A3310="""","""",INDEX(SPLIT(A3310,"" ""),COUNTA(SPLIT(A3310,"" ""))))"),"Lucia")</f>
        <v>Lucia</v>
      </c>
      <c r="C3310" s="6"/>
      <c r="D3310" s="6" t="s">
        <v>3326</v>
      </c>
      <c r="E3310" s="12" t="s">
        <v>3327</v>
      </c>
    </row>
    <row r="3311">
      <c r="A3311" s="4" t="s">
        <v>3339</v>
      </c>
      <c r="B3311" s="5" t="str">
        <f>IFERROR(__xludf.DUMMYFUNCTION("IF(A3311="""","""",INDEX(SPLIT(A3311,"" ""),COUNTA(SPLIT(A3311,"" ""))))"),"Superiore")</f>
        <v>Superiore</v>
      </c>
      <c r="C3311" s="6"/>
      <c r="D3311" s="6" t="s">
        <v>3326</v>
      </c>
      <c r="E3311" s="12" t="s">
        <v>3327</v>
      </c>
    </row>
    <row r="3312">
      <c r="A3312" s="4" t="s">
        <v>3340</v>
      </c>
      <c r="B3312" s="5" t="str">
        <f>IFERROR(__xludf.DUMMYFUNCTION("IF(A3312="""","""",INDEX(SPLIT(A3312,"" ""),COUNTA(SPLIT(A3312,"" ""))))"),"d'Ampezzo")</f>
        <v>d'Ampezzo</v>
      </c>
      <c r="C3312" s="6"/>
      <c r="D3312" s="6" t="s">
        <v>3326</v>
      </c>
      <c r="E3312" s="12" t="s">
        <v>3327</v>
      </c>
    </row>
    <row r="3313">
      <c r="A3313" s="4" t="s">
        <v>3341</v>
      </c>
      <c r="B3313" s="5" t="str">
        <f>IFERROR(__xludf.DUMMYFUNCTION("IF(A3313="""","""",INDEX(SPLIT(A3313,"" ""),COUNTA(SPLIT(A3313,"" ""))))"),"Cadore")</f>
        <v>Cadore</v>
      </c>
      <c r="C3313" s="6"/>
      <c r="D3313" s="6" t="s">
        <v>3326</v>
      </c>
      <c r="E3313" s="12" t="s">
        <v>3327</v>
      </c>
    </row>
    <row r="3314">
      <c r="A3314" s="4" t="s">
        <v>3342</v>
      </c>
      <c r="B3314" s="5" t="str">
        <f>IFERROR(__xludf.DUMMYFUNCTION("IF(A3314="""","""",INDEX(SPLIT(A3314,"" ""),COUNTA(SPLIT(A3314,"" ""))))"),"Cadore")</f>
        <v>Cadore</v>
      </c>
      <c r="C3314" s="6"/>
      <c r="D3314" s="6" t="s">
        <v>3326</v>
      </c>
      <c r="E3314" s="12" t="s">
        <v>3327</v>
      </c>
    </row>
    <row r="3315">
      <c r="A3315" s="4" t="s">
        <v>3343</v>
      </c>
      <c r="B3315" s="5" t="str">
        <f>IFERROR(__xludf.DUMMYFUNCTION("IF(A3315="""","""",INDEX(SPLIT(A3315,"" ""),COUNTA(SPLIT(A3315,"" ""))))"),"Falcade")</f>
        <v>Falcade</v>
      </c>
      <c r="C3315" s="6"/>
      <c r="D3315" s="6" t="s">
        <v>3326</v>
      </c>
      <c r="E3315" s="12" t="s">
        <v>3327</v>
      </c>
    </row>
    <row r="3316">
      <c r="A3316" s="4" t="s">
        <v>3344</v>
      </c>
      <c r="B3316" s="5" t="str">
        <f>IFERROR(__xludf.DUMMYFUNCTION("IF(A3316="""","""",INDEX(SPLIT(A3316,"" ""),COUNTA(SPLIT(A3316,"" ""))))"),"Feltre")</f>
        <v>Feltre</v>
      </c>
      <c r="C3316" s="6"/>
      <c r="D3316" s="6" t="s">
        <v>3326</v>
      </c>
      <c r="E3316" s="12" t="s">
        <v>3327</v>
      </c>
    </row>
    <row r="3317">
      <c r="A3317" s="4" t="s">
        <v>3345</v>
      </c>
      <c r="B3317" s="5" t="str">
        <f>IFERROR(__xludf.DUMMYFUNCTION("IF(A3317="""","""",INDEX(SPLIT(A3317,"" ""),COUNTA(SPLIT(A3317,"" ""))))"),"Fonzaso")</f>
        <v>Fonzaso</v>
      </c>
      <c r="C3317" s="6"/>
      <c r="D3317" s="6" t="s">
        <v>3326</v>
      </c>
      <c r="E3317" s="12" t="s">
        <v>3327</v>
      </c>
    </row>
    <row r="3318">
      <c r="A3318" s="4" t="s">
        <v>3346</v>
      </c>
      <c r="B3318" s="5" t="str">
        <f>IFERROR(__xludf.DUMMYFUNCTION("IF(A3318="""","""",INDEX(SPLIT(A3318,"" ""),COUNTA(SPLIT(A3318,"" ""))))"),"d'Agordo")</f>
        <v>d'Agordo</v>
      </c>
      <c r="C3318" s="6"/>
      <c r="D3318" s="6" t="s">
        <v>3326</v>
      </c>
      <c r="E3318" s="12" t="s">
        <v>3327</v>
      </c>
    </row>
    <row r="3319">
      <c r="A3319" s="4" t="s">
        <v>3347</v>
      </c>
      <c r="B3319" s="5" t="str">
        <f>IFERROR(__xludf.DUMMYFUNCTION("IF(A3319="""","""",INDEX(SPLIT(A3319,"" ""),COUNTA(SPLIT(A3319,"" ""))))"),"Gosaldo")</f>
        <v>Gosaldo</v>
      </c>
      <c r="C3319" s="6"/>
      <c r="D3319" s="6" t="s">
        <v>3326</v>
      </c>
      <c r="E3319" s="12" t="s">
        <v>3327</v>
      </c>
    </row>
    <row r="3320">
      <c r="A3320" s="4" t="s">
        <v>3348</v>
      </c>
      <c r="B3320" s="5" t="str">
        <f>IFERROR(__xludf.DUMMYFUNCTION("IF(A3320="""","""",INDEX(SPLIT(A3320,"" ""),COUNTA(SPLIT(A3320,"" ""))))"),"Lamon")</f>
        <v>Lamon</v>
      </c>
      <c r="C3320" s="6"/>
      <c r="D3320" s="6" t="s">
        <v>3326</v>
      </c>
      <c r="E3320" s="12" t="s">
        <v>3327</v>
      </c>
    </row>
    <row r="3321">
      <c r="A3321" s="4" t="s">
        <v>3349</v>
      </c>
      <c r="B3321" s="5" t="str">
        <f>IFERROR(__xludf.DUMMYFUNCTION("IF(A3321="""","""",INDEX(SPLIT(A3321,"" ""),COUNTA(SPLIT(A3321,"" ""))))"),"Agordina")</f>
        <v>Agordina</v>
      </c>
      <c r="C3321" s="6"/>
      <c r="D3321" s="6" t="s">
        <v>3326</v>
      </c>
      <c r="E3321" s="12" t="s">
        <v>3327</v>
      </c>
    </row>
    <row r="3322">
      <c r="A3322" s="4" t="s">
        <v>3350</v>
      </c>
      <c r="B3322" s="5" t="str">
        <f>IFERROR(__xludf.DUMMYFUNCTION("IF(A3322="""","""",INDEX(SPLIT(A3322,"" ""),COUNTA(SPLIT(A3322,"" ""))))"),"Lentiai")</f>
        <v>Lentiai</v>
      </c>
      <c r="C3322" s="6"/>
      <c r="D3322" s="6" t="s">
        <v>3326</v>
      </c>
      <c r="E3322" s="12" t="s">
        <v>3327</v>
      </c>
    </row>
    <row r="3323">
      <c r="A3323" s="4" t="s">
        <v>3351</v>
      </c>
      <c r="B3323" s="5" t="str">
        <f>IFERROR(__xludf.DUMMYFUNCTION("IF(A3323="""","""",INDEX(SPLIT(A3323,"" ""),COUNTA(SPLIT(A3323,"" ""))))"),"Limana")</f>
        <v>Limana</v>
      </c>
      <c r="C3323" s="6"/>
      <c r="D3323" s="6" t="s">
        <v>3326</v>
      </c>
      <c r="E3323" s="12" t="s">
        <v>3327</v>
      </c>
    </row>
    <row r="3324">
      <c r="A3324" s="4" t="s">
        <v>3352</v>
      </c>
      <c r="B3324" s="5" t="str">
        <f>IFERROR(__xludf.DUMMYFUNCTION("IF(A3324="""","""",INDEX(SPLIT(A3324,"" ""),COUNTA(SPLIT(A3324,"" ""))))"),"Lana")</f>
        <v>Lana</v>
      </c>
      <c r="C3324" s="6"/>
      <c r="D3324" s="6" t="s">
        <v>3326</v>
      </c>
      <c r="E3324" s="12" t="s">
        <v>3327</v>
      </c>
    </row>
    <row r="3325">
      <c r="A3325" s="4" t="s">
        <v>3353</v>
      </c>
      <c r="B3325" s="5" t="str">
        <f>IFERROR(__xludf.DUMMYFUNCTION("IF(A3325="""","""",INDEX(SPLIT(A3325,"" ""),COUNTA(SPLIT(A3325,"" ""))))"),"Cadore")</f>
        <v>Cadore</v>
      </c>
      <c r="C3325" s="6"/>
      <c r="D3325" s="6" t="s">
        <v>3326</v>
      </c>
      <c r="E3325" s="12" t="s">
        <v>3327</v>
      </c>
    </row>
    <row r="3326">
      <c r="A3326" s="4" t="s">
        <v>3354</v>
      </c>
      <c r="B3326" s="5" t="str">
        <f>IFERROR(__xludf.DUMMYFUNCTION("IF(A3326="""","""",INDEX(SPLIT(A3326,"" ""),COUNTA(SPLIT(A3326,"" ""))))"),"Cadore")</f>
        <v>Cadore</v>
      </c>
      <c r="C3326" s="6"/>
      <c r="D3326" s="6" t="s">
        <v>3326</v>
      </c>
      <c r="E3326" s="12" t="s">
        <v>3327</v>
      </c>
    </row>
    <row r="3327">
      <c r="A3327" s="4" t="s">
        <v>3355</v>
      </c>
      <c r="B3327" s="5" t="str">
        <f>IFERROR(__xludf.DUMMYFUNCTION("IF(A3327="""","""",INDEX(SPLIT(A3327,"" ""),COUNTA(SPLIT(A3327,"" ""))))"),"Mel")</f>
        <v>Mel</v>
      </c>
      <c r="C3327" s="6"/>
      <c r="D3327" s="6" t="s">
        <v>3326</v>
      </c>
      <c r="E3327" s="12" t="s">
        <v>3327</v>
      </c>
    </row>
    <row r="3328">
      <c r="A3328" s="4" t="s">
        <v>3356</v>
      </c>
      <c r="B3328" s="5" t="str">
        <f>IFERROR(__xludf.DUMMYFUNCTION("IF(A3328="""","""",INDEX(SPLIT(A3328,"" ""),COUNTA(SPLIT(A3328,"" ""))))"),"Cadore")</f>
        <v>Cadore</v>
      </c>
      <c r="C3328" s="6"/>
      <c r="D3328" s="6" t="s">
        <v>3326</v>
      </c>
      <c r="E3328" s="12" t="s">
        <v>3327</v>
      </c>
    </row>
    <row r="3329">
      <c r="A3329" s="4" t="s">
        <v>3357</v>
      </c>
      <c r="B3329" s="5" t="str">
        <f>IFERROR(__xludf.DUMMYFUNCTION("IF(A3329="""","""",INDEX(SPLIT(A3329,"" ""),COUNTA(SPLIT(A3329,"" ""))))"),"Pedavena")</f>
        <v>Pedavena</v>
      </c>
      <c r="C3329" s="6"/>
      <c r="D3329" s="6" t="s">
        <v>3326</v>
      </c>
      <c r="E3329" s="12" t="s">
        <v>3327</v>
      </c>
    </row>
    <row r="3330">
      <c r="A3330" s="4" t="s">
        <v>3358</v>
      </c>
      <c r="B3330" s="5" t="str">
        <f>IFERROR(__xludf.DUMMYFUNCTION("IF(A3330="""","""",INDEX(SPLIT(A3330,"" ""),COUNTA(SPLIT(A3330,"" ""))))"),"Cadore")</f>
        <v>Cadore</v>
      </c>
      <c r="C3330" s="6"/>
      <c r="D3330" s="6" t="s">
        <v>3326</v>
      </c>
      <c r="E3330" s="12" t="s">
        <v>3327</v>
      </c>
    </row>
    <row r="3331">
      <c r="A3331" s="4" t="s">
        <v>3359</v>
      </c>
      <c r="B3331" s="5" t="str">
        <f>IFERROR(__xludf.DUMMYFUNCTION("IF(A3331="""","""",INDEX(SPLIT(A3331,"" ""),COUNTA(SPLIT(A3331,"" ""))))"),"Cadore")</f>
        <v>Cadore</v>
      </c>
      <c r="C3331" s="6"/>
      <c r="D3331" s="6" t="s">
        <v>3326</v>
      </c>
      <c r="E3331" s="12" t="s">
        <v>3327</v>
      </c>
    </row>
    <row r="3332">
      <c r="A3332" s="4" t="s">
        <v>3360</v>
      </c>
      <c r="B3332" s="5" t="str">
        <f>IFERROR(__xludf.DUMMYFUNCTION("IF(A3332="""","""",INDEX(SPLIT(A3332,"" ""),COUNTA(SPLIT(A3332,"" ""))))"),"Alpi")</f>
        <v>Alpi</v>
      </c>
      <c r="C3332" s="6"/>
      <c r="D3332" s="6" t="s">
        <v>3326</v>
      </c>
      <c r="E3332" s="12" t="s">
        <v>3327</v>
      </c>
    </row>
    <row r="3333">
      <c r="A3333" s="4" t="s">
        <v>3361</v>
      </c>
      <c r="B3333" s="5" t="str">
        <f>IFERROR(__xludf.DUMMYFUNCTION("IF(A3333="""","""",INDEX(SPLIT(A3333,"" ""),COUNTA(SPLIT(A3333,"" ""))))"),"Agordino")</f>
        <v>Agordino</v>
      </c>
      <c r="C3333" s="6"/>
      <c r="D3333" s="6" t="s">
        <v>3326</v>
      </c>
      <c r="E3333" s="12" t="s">
        <v>3327</v>
      </c>
    </row>
    <row r="3334">
      <c r="A3334" s="4" t="s">
        <v>3362</v>
      </c>
      <c r="B3334" s="5" t="str">
        <f>IFERROR(__xludf.DUMMYFUNCTION("IF(A3334="""","""",INDEX(SPLIT(A3334,"" ""),COUNTA(SPLIT(A3334,"" ""))))"),"Pietore")</f>
        <v>Pietore</v>
      </c>
      <c r="C3334" s="6"/>
      <c r="D3334" s="6" t="s">
        <v>3326</v>
      </c>
      <c r="E3334" s="12" t="s">
        <v>3327</v>
      </c>
    </row>
    <row r="3335">
      <c r="A3335" s="4" t="s">
        <v>3363</v>
      </c>
      <c r="B3335" s="5" t="str">
        <f>IFERROR(__xludf.DUMMYFUNCTION("IF(A3335="""","""",INDEX(SPLIT(A3335,"" ""),COUNTA(SPLIT(A3335,"" ""))))"),"Alpi")</f>
        <v>Alpi</v>
      </c>
      <c r="C3335" s="6"/>
      <c r="D3335" s="6" t="s">
        <v>3326</v>
      </c>
      <c r="E3335" s="12" t="s">
        <v>3327</v>
      </c>
    </row>
    <row r="3336">
      <c r="A3336" s="4" t="s">
        <v>3364</v>
      </c>
      <c r="B3336" s="5" t="str">
        <f>IFERROR(__xludf.DUMMYFUNCTION("IF(A3336="""","""",INDEX(SPLIT(A3336,"" ""),COUNTA(SPLIT(A3336,"" ""))))"),"Comelico")</f>
        <v>Comelico</v>
      </c>
      <c r="C3336" s="6"/>
      <c r="D3336" s="6" t="s">
        <v>3326</v>
      </c>
      <c r="E3336" s="12" t="s">
        <v>3327</v>
      </c>
    </row>
    <row r="3337">
      <c r="A3337" s="4" t="s">
        <v>3365</v>
      </c>
      <c r="B3337" s="5" t="str">
        <f>IFERROR(__xludf.DUMMYFUNCTION("IF(A3337="""","""",INDEX(SPLIT(A3337,"" ""),COUNTA(SPLIT(A3337,"" ""))))"),"Cadore")</f>
        <v>Cadore</v>
      </c>
      <c r="C3337" s="6"/>
      <c r="D3337" s="6" t="s">
        <v>3326</v>
      </c>
      <c r="E3337" s="12" t="s">
        <v>3327</v>
      </c>
    </row>
    <row r="3338">
      <c r="A3338" s="4" t="s">
        <v>3366</v>
      </c>
      <c r="B3338" s="5" t="str">
        <f>IFERROR(__xludf.DUMMYFUNCTION("IF(A3338="""","""",INDEX(SPLIT(A3338,"" ""),COUNTA(SPLIT(A3338,"" ""))))"),"Giustina")</f>
        <v>Giustina</v>
      </c>
      <c r="C3338" s="6"/>
      <c r="D3338" s="6" t="s">
        <v>3326</v>
      </c>
      <c r="E3338" s="12" t="s">
        <v>3327</v>
      </c>
    </row>
    <row r="3339">
      <c r="A3339" s="4" t="s">
        <v>3367</v>
      </c>
      <c r="B3339" s="5" t="str">
        <f>IFERROR(__xludf.DUMMYFUNCTION("IF(A3339="""","""",INDEX(SPLIT(A3339,"" ""),COUNTA(SPLIT(A3339,"" ""))))"),"Agordino")</f>
        <v>Agordino</v>
      </c>
      <c r="C3339" s="6"/>
      <c r="D3339" s="6" t="s">
        <v>3326</v>
      </c>
      <c r="E3339" s="12" t="s">
        <v>3327</v>
      </c>
    </row>
    <row r="3340">
      <c r="A3340" s="4" t="s">
        <v>3368</v>
      </c>
      <c r="B3340" s="5" t="str">
        <f>IFERROR(__xludf.DUMMYFUNCTION("IF(A3340="""","""",INDEX(SPLIT(A3340,"" ""),COUNTA(SPLIT(A3340,"" ""))))"),"Cadore")</f>
        <v>Cadore</v>
      </c>
      <c r="C3340" s="6"/>
      <c r="D3340" s="6" t="s">
        <v>3326</v>
      </c>
      <c r="E3340" s="12" t="s">
        <v>3327</v>
      </c>
    </row>
    <row r="3341">
      <c r="A3341" s="4" t="s">
        <v>3369</v>
      </c>
      <c r="B3341" s="5" t="str">
        <f>IFERROR(__xludf.DUMMYFUNCTION("IF(A3341="""","""",INDEX(SPLIT(A3341,"" ""),COUNTA(SPLIT(A3341,"" ""))))"),"Cadore")</f>
        <v>Cadore</v>
      </c>
      <c r="C3341" s="6"/>
      <c r="D3341" s="6" t="s">
        <v>3326</v>
      </c>
      <c r="E3341" s="12" t="s">
        <v>3327</v>
      </c>
    </row>
    <row r="3342">
      <c r="A3342" s="4" t="s">
        <v>3370</v>
      </c>
      <c r="B3342" s="5" t="str">
        <f>IFERROR(__xludf.DUMMYFUNCTION("IF(A3342="""","""",INDEX(SPLIT(A3342,"" ""),COUNTA(SPLIT(A3342,"" ""))))"),"Sedico")</f>
        <v>Sedico</v>
      </c>
      <c r="C3342" s="6"/>
      <c r="D3342" s="6" t="s">
        <v>3326</v>
      </c>
      <c r="E3342" s="12" t="s">
        <v>3327</v>
      </c>
    </row>
    <row r="3343">
      <c r="A3343" s="4" t="s">
        <v>3371</v>
      </c>
      <c r="B3343" s="5" t="str">
        <f>IFERROR(__xludf.DUMMYFUNCTION("IF(A3343="""","""",INDEX(SPLIT(A3343,"" ""),COUNTA(SPLIT(A3343,"" ""))))"),"Cadore")</f>
        <v>Cadore</v>
      </c>
      <c r="C3343" s="6"/>
      <c r="D3343" s="6" t="s">
        <v>3326</v>
      </c>
      <c r="E3343" s="12" t="s">
        <v>3327</v>
      </c>
    </row>
    <row r="3344">
      <c r="A3344" s="4" t="s">
        <v>3372</v>
      </c>
      <c r="B3344" s="5" t="str">
        <f>IFERROR(__xludf.DUMMYFUNCTION("IF(A3344="""","""",INDEX(SPLIT(A3344,"" ""),COUNTA(SPLIT(A3344,"" ""))))"),"Grappa")</f>
        <v>Grappa</v>
      </c>
      <c r="C3344" s="6"/>
      <c r="D3344" s="6" t="s">
        <v>3326</v>
      </c>
      <c r="E3344" s="12" t="s">
        <v>3327</v>
      </c>
    </row>
    <row r="3345">
      <c r="A3345" s="4" t="s">
        <v>3373</v>
      </c>
      <c r="B3345" s="5" t="str">
        <f>IFERROR(__xludf.DUMMYFUNCTION("IF(A3345="""","""",INDEX(SPLIT(A3345,"" ""),COUNTA(SPLIT(A3345,"" ""))))"),"Sospirolo")</f>
        <v>Sospirolo</v>
      </c>
      <c r="C3345" s="6"/>
      <c r="D3345" s="6" t="s">
        <v>3326</v>
      </c>
      <c r="E3345" s="12" t="s">
        <v>3327</v>
      </c>
    </row>
    <row r="3346">
      <c r="A3346" s="4" t="s">
        <v>3374</v>
      </c>
      <c r="B3346" s="5" t="str">
        <f>IFERROR(__xludf.DUMMYFUNCTION("IF(A3346="""","""",INDEX(SPLIT(A3346,"" ""),COUNTA(SPLIT(A3346,"" ""))))"),"Soverzene")</f>
        <v>Soverzene</v>
      </c>
      <c r="C3346" s="6"/>
      <c r="D3346" s="6" t="s">
        <v>3326</v>
      </c>
      <c r="E3346" s="12" t="s">
        <v>3327</v>
      </c>
    </row>
    <row r="3347">
      <c r="A3347" s="4" t="s">
        <v>3375</v>
      </c>
      <c r="B3347" s="5" t="str">
        <f>IFERROR(__xludf.DUMMYFUNCTION("IF(A3347="""","""",INDEX(SPLIT(A3347,"" ""),COUNTA(SPLIT(A3347,"" ""))))"),"Sovramonte")</f>
        <v>Sovramonte</v>
      </c>
      <c r="C3347" s="6"/>
      <c r="D3347" s="6" t="s">
        <v>3326</v>
      </c>
      <c r="E3347" s="12" t="s">
        <v>3327</v>
      </c>
    </row>
    <row r="3348">
      <c r="A3348" s="4" t="s">
        <v>3376</v>
      </c>
      <c r="B3348" s="5" t="str">
        <f>IFERROR(__xludf.DUMMYFUNCTION("IF(A3348="""","""",INDEX(SPLIT(A3348,"" ""),COUNTA(SPLIT(A3348,"" ""))))"),"Agordino")</f>
        <v>Agordino</v>
      </c>
      <c r="C3348" s="6"/>
      <c r="D3348" s="6" t="s">
        <v>3326</v>
      </c>
      <c r="E3348" s="12" t="s">
        <v>3327</v>
      </c>
    </row>
    <row r="3349">
      <c r="A3349" s="4" t="s">
        <v>3377</v>
      </c>
      <c r="B3349" s="5" t="str">
        <f>IFERROR(__xludf.DUMMYFUNCTION("IF(A3349="""","""",INDEX(SPLIT(A3349,"" ""),COUNTA(SPLIT(A3349,"" ""))))"),"Tambre")</f>
        <v>Tambre</v>
      </c>
      <c r="C3349" s="6"/>
      <c r="D3349" s="6" t="s">
        <v>3326</v>
      </c>
      <c r="E3349" s="12" t="s">
        <v>3327</v>
      </c>
    </row>
    <row r="3350">
      <c r="A3350" s="4" t="s">
        <v>3378</v>
      </c>
      <c r="B3350" s="5" t="str">
        <f>IFERROR(__xludf.DUMMYFUNCTION("IF(A3350="""","""",INDEX(SPLIT(A3350,"" ""),COUNTA(SPLIT(A3350,"" ""))))"),"Trichiana")</f>
        <v>Trichiana</v>
      </c>
      <c r="C3350" s="6"/>
      <c r="D3350" s="6" t="s">
        <v>3326</v>
      </c>
      <c r="E3350" s="12" t="s">
        <v>3327</v>
      </c>
    </row>
    <row r="3351">
      <c r="A3351" s="4" t="s">
        <v>3379</v>
      </c>
      <c r="B3351" s="5" t="str">
        <f>IFERROR(__xludf.DUMMYFUNCTION("IF(A3351="""","""",INDEX(SPLIT(A3351,"" ""),COUNTA(SPLIT(A3351,"" ""))))"),"Agordina")</f>
        <v>Agordina</v>
      </c>
      <c r="C3351" s="6"/>
      <c r="D3351" s="6" t="s">
        <v>3326</v>
      </c>
      <c r="E3351" s="12" t="s">
        <v>3327</v>
      </c>
    </row>
    <row r="3352">
      <c r="A3352" s="4" t="s">
        <v>3380</v>
      </c>
      <c r="B3352" s="5" t="str">
        <f>IFERROR(__xludf.DUMMYFUNCTION("IF(A3352="""","""",INDEX(SPLIT(A3352,"" ""),COUNTA(SPLIT(A3352,"" ""))))"),"Cadore")</f>
        <v>Cadore</v>
      </c>
      <c r="C3352" s="6"/>
      <c r="D3352" s="6" t="s">
        <v>3326</v>
      </c>
      <c r="E3352" s="12" t="s">
        <v>3327</v>
      </c>
    </row>
    <row r="3353">
      <c r="A3353" s="4" t="s">
        <v>3381</v>
      </c>
      <c r="B3353" s="5" t="str">
        <f>IFERROR(__xludf.DUMMYFUNCTION("IF(A3353="""","""",INDEX(SPLIT(A3353,"" ""),COUNTA(SPLIT(A3353,"" ""))))"),"Cadore")</f>
        <v>Cadore</v>
      </c>
      <c r="C3353" s="6"/>
      <c r="D3353" s="6" t="s">
        <v>3326</v>
      </c>
      <c r="E3353" s="12" t="s">
        <v>3327</v>
      </c>
    </row>
    <row r="3354">
      <c r="A3354" s="4" t="s">
        <v>3382</v>
      </c>
      <c r="B3354" s="5" t="str">
        <f>IFERROR(__xludf.DUMMYFUNCTION("IF(A3354="""","""",INDEX(SPLIT(A3354,"" ""),COUNTA(SPLIT(A3354,"" ""))))"),"Cadore")</f>
        <v>Cadore</v>
      </c>
      <c r="C3354" s="6"/>
      <c r="D3354" s="6" t="s">
        <v>3326</v>
      </c>
      <c r="E3354" s="12" t="s">
        <v>3327</v>
      </c>
    </row>
    <row r="3355">
      <c r="A3355" s="4" t="s">
        <v>3383</v>
      </c>
      <c r="B3355" s="5" t="str">
        <f>IFERROR(__xludf.DUMMYFUNCTION("IF(A3355="""","""",INDEX(SPLIT(A3355,"" ""),COUNTA(SPLIT(A3355,"" ""))))"),"Agordino")</f>
        <v>Agordino</v>
      </c>
      <c r="C3355" s="6"/>
      <c r="D3355" s="6" t="s">
        <v>3326</v>
      </c>
      <c r="E3355" s="12" t="s">
        <v>3327</v>
      </c>
    </row>
    <row r="3356">
      <c r="A3356" s="4" t="s">
        <v>3384</v>
      </c>
      <c r="B3356" s="5" t="str">
        <f>IFERROR(__xludf.DUMMYFUNCTION("IF(A3356="""","""",INDEX(SPLIT(A3356,"" ""),COUNTA(SPLIT(A3356,"" ""))))"),"Cadore")</f>
        <v>Cadore</v>
      </c>
      <c r="C3356" s="6"/>
      <c r="D3356" s="6" t="s">
        <v>3326</v>
      </c>
      <c r="E3356" s="12" t="s">
        <v>3327</v>
      </c>
    </row>
    <row r="3357">
      <c r="A3357" s="4" t="s">
        <v>3385</v>
      </c>
      <c r="B3357" s="5" t="str">
        <f>IFERROR(__xludf.DUMMYFUNCTION("IF(A3357="""","""",INDEX(SPLIT(A3357,"" ""),COUNTA(SPLIT(A3357,"" ""))))"),"Vas")</f>
        <v>Vas</v>
      </c>
      <c r="C3357" s="6"/>
      <c r="D3357" s="6" t="s">
        <v>3326</v>
      </c>
      <c r="E3357" s="12" t="s">
        <v>3327</v>
      </c>
    </row>
    <row r="3358">
      <c r="A3358" s="4" t="s">
        <v>3386</v>
      </c>
      <c r="B3358" s="5" t="str">
        <f>IFERROR(__xludf.DUMMYFUNCTION("IF(A3358="""","""",INDEX(SPLIT(A3358,"" ""),COUNTA(SPLIT(A3358,"" ""))))"),"Longarone")</f>
        <v>Longarone</v>
      </c>
      <c r="C3358" s="6"/>
      <c r="D3358" s="6" t="s">
        <v>3326</v>
      </c>
      <c r="E3358" s="12" t="s">
        <v>3327</v>
      </c>
    </row>
    <row r="3359">
      <c r="A3359" s="4" t="s">
        <v>3387</v>
      </c>
      <c r="B3359" s="5" t="str">
        <f>IFERROR(__xludf.DUMMYFUNCTION("IF(A3359="""","""",INDEX(SPLIT(A3359,"" ""),COUNTA(SPLIT(A3359,"" ""))))"),"Alpago")</f>
        <v>Alpago</v>
      </c>
      <c r="C3359" s="6"/>
      <c r="D3359" s="6" t="s">
        <v>3326</v>
      </c>
      <c r="E3359" s="12" t="s">
        <v>3327</v>
      </c>
    </row>
    <row r="3360">
      <c r="A3360" s="4" t="s">
        <v>3388</v>
      </c>
      <c r="B3360" s="5" t="str">
        <f>IFERROR(__xludf.DUMMYFUNCTION("IF(A3360="""","""",INDEX(SPLIT(A3360,"" ""),COUNTA(SPLIT(A3360,"" ""))))"),"Zoldo")</f>
        <v>Zoldo</v>
      </c>
      <c r="C3360" s="6"/>
      <c r="D3360" s="6" t="s">
        <v>3326</v>
      </c>
      <c r="E3360" s="12" t="s">
        <v>3327</v>
      </c>
    </row>
    <row r="3361">
      <c r="A3361" s="4" t="s">
        <v>3389</v>
      </c>
      <c r="B3361" s="5" t="str">
        <f>IFERROR(__xludf.DUMMYFUNCTION("IF(A3361="""","""",INDEX(SPLIT(A3361,"" ""),COUNTA(SPLIT(A3361,"" ""))))"),"Altivole")</f>
        <v>Altivole</v>
      </c>
      <c r="C3361" s="6"/>
      <c r="D3361" s="6" t="s">
        <v>3390</v>
      </c>
      <c r="E3361" s="12" t="s">
        <v>3391</v>
      </c>
    </row>
    <row r="3362">
      <c r="A3362" s="4" t="s">
        <v>3392</v>
      </c>
      <c r="B3362" s="5" t="str">
        <f>IFERROR(__xludf.DUMMYFUNCTION("IF(A3362="""","""",INDEX(SPLIT(A3362,"" ""),COUNTA(SPLIT(A3362,"" ""))))"),"Arcade")</f>
        <v>Arcade</v>
      </c>
      <c r="C3362" s="6"/>
      <c r="D3362" s="6" t="s">
        <v>3390</v>
      </c>
      <c r="E3362" s="12" t="s">
        <v>3391</v>
      </c>
    </row>
    <row r="3363">
      <c r="A3363" s="4" t="s">
        <v>3393</v>
      </c>
      <c r="B3363" s="5" t="str">
        <f>IFERROR(__xludf.DUMMYFUNCTION("IF(A3363="""","""",INDEX(SPLIT(A3363,"" ""),COUNTA(SPLIT(A3363,"" ""))))"),"Asolo")</f>
        <v>Asolo</v>
      </c>
      <c r="C3363" s="6"/>
      <c r="D3363" s="6" t="s">
        <v>3390</v>
      </c>
      <c r="E3363" s="12" t="s">
        <v>3391</v>
      </c>
    </row>
    <row r="3364">
      <c r="A3364" s="4" t="s">
        <v>3394</v>
      </c>
      <c r="B3364" s="5" t="str">
        <f>IFERROR(__xludf.DUMMYFUNCTION("IF(A3364="""","""",INDEX(SPLIT(A3364,"" ""),COUNTA(SPLIT(A3364,"" ""))))"),"Grappa")</f>
        <v>Grappa</v>
      </c>
      <c r="C3364" s="6"/>
      <c r="D3364" s="6" t="s">
        <v>3390</v>
      </c>
      <c r="E3364" s="12" t="s">
        <v>3391</v>
      </c>
    </row>
    <row r="3365">
      <c r="A3365" s="4" t="s">
        <v>3395</v>
      </c>
      <c r="B3365" s="5" t="str">
        <f>IFERROR(__xludf.DUMMYFUNCTION("IF(A3365="""","""",INDEX(SPLIT(A3365,"" ""),COUNTA(SPLIT(A3365,"" ""))))"),"Piave")</f>
        <v>Piave</v>
      </c>
      <c r="C3365" s="6"/>
      <c r="D3365" s="6" t="s">
        <v>3390</v>
      </c>
      <c r="E3365" s="12" t="s">
        <v>3391</v>
      </c>
    </row>
    <row r="3366">
      <c r="A3366" s="4" t="s">
        <v>3396</v>
      </c>
      <c r="B3366" s="5" t="str">
        <f>IFERROR(__xludf.DUMMYFUNCTION("IF(A3366="""","""",INDEX(SPLIT(A3366,"" ""),COUNTA(SPLIT(A3366,"" ""))))"),"Marco")</f>
        <v>Marco</v>
      </c>
      <c r="C3366" s="6"/>
      <c r="D3366" s="6" t="s">
        <v>3390</v>
      </c>
      <c r="E3366" s="12" t="s">
        <v>3391</v>
      </c>
    </row>
    <row r="3367">
      <c r="A3367" s="4" t="s">
        <v>3397</v>
      </c>
      <c r="B3367" s="5" t="str">
        <f>IFERROR(__xludf.DUMMYFUNCTION("IF(A3367="""","""",INDEX(SPLIT(A3367,"" ""),COUNTA(SPLIT(A3367,"" ""))))"),"Maggiore")</f>
        <v>Maggiore</v>
      </c>
      <c r="C3367" s="6"/>
      <c r="D3367" s="6" t="s">
        <v>3390</v>
      </c>
      <c r="E3367" s="12" t="s">
        <v>3391</v>
      </c>
    </row>
    <row r="3368">
      <c r="A3368" s="4" t="s">
        <v>3398</v>
      </c>
      <c r="B3368" s="5" t="str">
        <f>IFERROR(__xludf.DUMMYFUNCTION("IF(A3368="""","""",INDEX(SPLIT(A3368,"" ""),COUNTA(SPLIT(A3368,"" ""))))"),"Carbonera")</f>
        <v>Carbonera</v>
      </c>
      <c r="C3368" s="6"/>
      <c r="D3368" s="6" t="s">
        <v>3390</v>
      </c>
      <c r="E3368" s="12" t="s">
        <v>3391</v>
      </c>
    </row>
    <row r="3369">
      <c r="A3369" s="4" t="s">
        <v>3399</v>
      </c>
      <c r="B3369" s="5" t="str">
        <f>IFERROR(__xludf.DUMMYFUNCTION("IF(A3369="""","""",INDEX(SPLIT(A3369,"" ""),COUNTA(SPLIT(A3369,"" ""))))"),"Sile")</f>
        <v>Sile</v>
      </c>
      <c r="C3369" s="6"/>
      <c r="D3369" s="6" t="s">
        <v>3390</v>
      </c>
      <c r="E3369" s="12" t="s">
        <v>3391</v>
      </c>
    </row>
    <row r="3370">
      <c r="A3370" s="4" t="s">
        <v>3400</v>
      </c>
      <c r="B3370" s="5" t="str">
        <f>IFERROR(__xludf.DUMMYFUNCTION("IF(A3370="""","""",INDEX(SPLIT(A3370,"" ""),COUNTA(SPLIT(A3370,"" ""))))"),"Casier")</f>
        <v>Casier</v>
      </c>
      <c r="C3370" s="6"/>
      <c r="D3370" s="6" t="s">
        <v>3390</v>
      </c>
      <c r="E3370" s="12" t="s">
        <v>3391</v>
      </c>
    </row>
    <row r="3371">
      <c r="A3371" s="4" t="s">
        <v>3401</v>
      </c>
      <c r="B3371" s="5" t="str">
        <f>IFERROR(__xludf.DUMMYFUNCTION("IF(A3371="""","""",INDEX(SPLIT(A3371,"" ""),COUNTA(SPLIT(A3371,"" ""))))"),"Castelcucco")</f>
        <v>Castelcucco</v>
      </c>
      <c r="C3371" s="6"/>
      <c r="D3371" s="6" t="s">
        <v>3390</v>
      </c>
      <c r="E3371" s="12" t="s">
        <v>3391</v>
      </c>
    </row>
    <row r="3372">
      <c r="A3372" s="4" t="s">
        <v>3402</v>
      </c>
      <c r="B3372" s="5" t="str">
        <f>IFERROR(__xludf.DUMMYFUNCTION("IF(A3372="""","""",INDEX(SPLIT(A3372,"" ""),COUNTA(SPLIT(A3372,"" ""))))"),"Veneto")</f>
        <v>Veneto</v>
      </c>
      <c r="C3372" s="6"/>
      <c r="D3372" s="6" t="s">
        <v>3390</v>
      </c>
      <c r="E3372" s="12" t="s">
        <v>3391</v>
      </c>
    </row>
    <row r="3373">
      <c r="A3373" s="4" t="s">
        <v>3403</v>
      </c>
      <c r="B3373" s="5" t="str">
        <f>IFERROR(__xludf.DUMMYFUNCTION("IF(A3373="""","""",INDEX(SPLIT(A3373,"" ""),COUNTA(SPLIT(A3373,"" ""))))"),"Godego")</f>
        <v>Godego</v>
      </c>
      <c r="C3373" s="6"/>
      <c r="D3373" s="6" t="s">
        <v>3390</v>
      </c>
      <c r="E3373" s="12" t="s">
        <v>3391</v>
      </c>
    </row>
    <row r="3374">
      <c r="A3374" s="4" t="s">
        <v>3404</v>
      </c>
      <c r="B3374" s="5" t="str">
        <f>IFERROR(__xludf.DUMMYFUNCTION("IF(A3374="""","""",INDEX(SPLIT(A3374,"" ""),COUNTA(SPLIT(A3374,"" ""))))"),"Tomba")</f>
        <v>Tomba</v>
      </c>
      <c r="C3374" s="6"/>
      <c r="D3374" s="6" t="s">
        <v>3390</v>
      </c>
      <c r="E3374" s="12" t="s">
        <v>3391</v>
      </c>
    </row>
    <row r="3375">
      <c r="A3375" s="4" t="s">
        <v>3405</v>
      </c>
      <c r="B3375" s="5" t="str">
        <f>IFERROR(__xludf.DUMMYFUNCTION("IF(A3375="""","""",INDEX(SPLIT(A3375,"" ""),COUNTA(SPLIT(A3375,"" ""))))"),"Cessalto")</f>
        <v>Cessalto</v>
      </c>
      <c r="C3375" s="6"/>
      <c r="D3375" s="6" t="s">
        <v>3390</v>
      </c>
      <c r="E3375" s="12" t="s">
        <v>3391</v>
      </c>
    </row>
    <row r="3376">
      <c r="A3376" s="4" t="s">
        <v>3406</v>
      </c>
      <c r="B3376" s="5" t="str">
        <f>IFERROR(__xludf.DUMMYFUNCTION("IF(A3376="""","""",INDEX(SPLIT(A3376,"" ""),COUNTA(SPLIT(A3376,"" ""))))"),"Chiarano")</f>
        <v>Chiarano</v>
      </c>
      <c r="C3376" s="6"/>
      <c r="D3376" s="6" t="s">
        <v>3390</v>
      </c>
      <c r="E3376" s="12" t="s">
        <v>3391</v>
      </c>
    </row>
    <row r="3377">
      <c r="A3377" s="4" t="s">
        <v>3407</v>
      </c>
      <c r="B3377" s="5" t="str">
        <f>IFERROR(__xludf.DUMMYFUNCTION("IF(A3377="""","""",INDEX(SPLIT(A3377,"" ""),COUNTA(SPLIT(A3377,"" ""))))"),"Cimadolmo")</f>
        <v>Cimadolmo</v>
      </c>
      <c r="C3377" s="6"/>
      <c r="D3377" s="6" t="s">
        <v>3390</v>
      </c>
      <c r="E3377" s="12" t="s">
        <v>3391</v>
      </c>
    </row>
    <row r="3378">
      <c r="A3378" s="4" t="s">
        <v>3408</v>
      </c>
      <c r="B3378" s="5" t="str">
        <f>IFERROR(__xludf.DUMMYFUNCTION("IF(A3378="""","""",INDEX(SPLIT(A3378,"" ""),COUNTA(SPLIT(A3378,"" ""))))"),"Valmarino")</f>
        <v>Valmarino</v>
      </c>
      <c r="C3378" s="6"/>
      <c r="D3378" s="6" t="s">
        <v>3390</v>
      </c>
      <c r="E3378" s="12" t="s">
        <v>3391</v>
      </c>
    </row>
    <row r="3379">
      <c r="A3379" s="4" t="s">
        <v>3409</v>
      </c>
      <c r="B3379" s="5" t="str">
        <f>IFERROR(__xludf.DUMMYFUNCTION("IF(A3379="""","""",INDEX(SPLIT(A3379,"" ""),COUNTA(SPLIT(A3379,"" ""))))"),"Codognè")</f>
        <v>Codognè</v>
      </c>
      <c r="C3379" s="6"/>
      <c r="D3379" s="6" t="s">
        <v>3390</v>
      </c>
      <c r="E3379" s="12" t="s">
        <v>3391</v>
      </c>
    </row>
    <row r="3380">
      <c r="A3380" s="4" t="s">
        <v>3410</v>
      </c>
      <c r="B3380" s="5" t="str">
        <f>IFERROR(__xludf.DUMMYFUNCTION("IF(A3380="""","""",INDEX(SPLIT(A3380,"" ""),COUNTA(SPLIT(A3380,"" ""))))"),"Umberto")</f>
        <v>Umberto</v>
      </c>
      <c r="C3380" s="6"/>
      <c r="D3380" s="6" t="s">
        <v>3390</v>
      </c>
      <c r="E3380" s="12" t="s">
        <v>3391</v>
      </c>
    </row>
    <row r="3381">
      <c r="A3381" s="4" t="s">
        <v>3411</v>
      </c>
      <c r="B3381" s="5" t="str">
        <f>IFERROR(__xludf.DUMMYFUNCTION("IF(A3381="""","""",INDEX(SPLIT(A3381,"" ""),COUNTA(SPLIT(A3381,"" ""))))"),"Conegliano")</f>
        <v>Conegliano</v>
      </c>
      <c r="C3381" s="6"/>
      <c r="D3381" s="6" t="s">
        <v>3390</v>
      </c>
      <c r="E3381" s="12" t="s">
        <v>3391</v>
      </c>
    </row>
    <row r="3382">
      <c r="A3382" s="4" t="s">
        <v>3412</v>
      </c>
      <c r="B3382" s="5" t="str">
        <f>IFERROR(__xludf.DUMMYFUNCTION("IF(A3382="""","""",INDEX(SPLIT(A3382,"" ""),COUNTA(SPLIT(A3382,"" ""))))"),"Cordignano")</f>
        <v>Cordignano</v>
      </c>
      <c r="C3382" s="6"/>
      <c r="D3382" s="6" t="s">
        <v>3390</v>
      </c>
      <c r="E3382" s="12" t="s">
        <v>3391</v>
      </c>
    </row>
    <row r="3383">
      <c r="A3383" s="4" t="s">
        <v>3413</v>
      </c>
      <c r="B3383" s="5" t="str">
        <f>IFERROR(__xludf.DUMMYFUNCTION("IF(A3383="""","""",INDEX(SPLIT(A3383,"" ""),COUNTA(SPLIT(A3383,"" ""))))"),"Cornuda")</f>
        <v>Cornuda</v>
      </c>
      <c r="C3383" s="6"/>
      <c r="D3383" s="6" t="s">
        <v>3390</v>
      </c>
      <c r="E3383" s="12" t="s">
        <v>3391</v>
      </c>
    </row>
    <row r="3384">
      <c r="A3384" s="4" t="s">
        <v>3414</v>
      </c>
      <c r="B3384" s="5" t="str">
        <f>IFERROR(__xludf.DUMMYFUNCTION("IF(A3384="""","""",INDEX(SPLIT(A3384,"" ""),COUNTA(SPLIT(A3384,"" ""))))"),"Grappa")</f>
        <v>Grappa</v>
      </c>
      <c r="C3384" s="6"/>
      <c r="D3384" s="6" t="s">
        <v>3390</v>
      </c>
      <c r="E3384" s="12" t="s">
        <v>3391</v>
      </c>
    </row>
    <row r="3385">
      <c r="A3385" s="4" t="s">
        <v>3415</v>
      </c>
      <c r="B3385" s="5" t="str">
        <f>IFERROR(__xludf.DUMMYFUNCTION("IF(A3385="""","""",INDEX(SPLIT(A3385,"" ""),COUNTA(SPLIT(A3385,"" ""))))"),"Montello")</f>
        <v>Montello</v>
      </c>
      <c r="C3385" s="6"/>
      <c r="D3385" s="6" t="s">
        <v>3390</v>
      </c>
      <c r="E3385" s="12" t="s">
        <v>3391</v>
      </c>
    </row>
    <row r="3386">
      <c r="A3386" s="4" t="s">
        <v>3416</v>
      </c>
      <c r="B3386" s="5" t="str">
        <f>IFERROR(__xludf.DUMMYFUNCTION("IF(A3386="""","""",INDEX(SPLIT(A3386,"" ""),COUNTA(SPLIT(A3386,"" ""))))"),"Soligo")</f>
        <v>Soligo</v>
      </c>
      <c r="C3386" s="6"/>
      <c r="D3386" s="6" t="s">
        <v>3390</v>
      </c>
      <c r="E3386" s="12" t="s">
        <v>3391</v>
      </c>
    </row>
    <row r="3387">
      <c r="A3387" s="4" t="s">
        <v>3417</v>
      </c>
      <c r="B3387" s="5" t="str">
        <f>IFERROR(__xludf.DUMMYFUNCTION("IF(A3387="""","""",INDEX(SPLIT(A3387,"" ""),COUNTA(SPLIT(A3387,"" ""))))"),"Follina")</f>
        <v>Follina</v>
      </c>
      <c r="C3387" s="6"/>
      <c r="D3387" s="6" t="s">
        <v>3390</v>
      </c>
      <c r="E3387" s="12" t="s">
        <v>3391</v>
      </c>
    </row>
    <row r="3388">
      <c r="A3388" s="4" t="s">
        <v>3418</v>
      </c>
      <c r="B3388" s="5" t="str">
        <f>IFERROR(__xludf.DUMMYFUNCTION("IF(A3388="""","""",INDEX(SPLIT(A3388,"" ""),COUNTA(SPLIT(A3388,"" ""))))"),"Fontanelle")</f>
        <v>Fontanelle</v>
      </c>
      <c r="C3388" s="6"/>
      <c r="D3388" s="6" t="s">
        <v>3390</v>
      </c>
      <c r="E3388" s="12" t="s">
        <v>3391</v>
      </c>
    </row>
    <row r="3389">
      <c r="A3389" s="4" t="s">
        <v>3419</v>
      </c>
      <c r="B3389" s="5" t="str">
        <f>IFERROR(__xludf.DUMMYFUNCTION("IF(A3389="""","""",INDEX(SPLIT(A3389,"" ""),COUNTA(SPLIT(A3389,"" ""))))"),"Fonte")</f>
        <v>Fonte</v>
      </c>
      <c r="C3389" s="6"/>
      <c r="D3389" s="6" t="s">
        <v>3390</v>
      </c>
      <c r="E3389" s="12" t="s">
        <v>3391</v>
      </c>
    </row>
    <row r="3390">
      <c r="A3390" s="4" t="s">
        <v>3420</v>
      </c>
      <c r="B3390" s="5" t="str">
        <f>IFERROR(__xludf.DUMMYFUNCTION("IF(A3390="""","""",INDEX(SPLIT(A3390,"" ""),COUNTA(SPLIT(A3390,"" ""))))"),"Fregona")</f>
        <v>Fregona</v>
      </c>
      <c r="C3390" s="6"/>
      <c r="D3390" s="6" t="s">
        <v>3390</v>
      </c>
      <c r="E3390" s="12" t="s">
        <v>3391</v>
      </c>
    </row>
    <row r="3391">
      <c r="A3391" s="4" t="s">
        <v>3421</v>
      </c>
      <c r="B3391" s="5" t="str">
        <f>IFERROR(__xludf.DUMMYFUNCTION("IF(A3391="""","""",INDEX(SPLIT(A3391,"" ""),COUNTA(SPLIT(A3391,"" ""))))"),"Gaiarine")</f>
        <v>Gaiarine</v>
      </c>
      <c r="C3391" s="6"/>
      <c r="D3391" s="6" t="s">
        <v>3390</v>
      </c>
      <c r="E3391" s="12" t="s">
        <v>3391</v>
      </c>
    </row>
    <row r="3392">
      <c r="A3392" s="4" t="s">
        <v>3422</v>
      </c>
      <c r="B3392" s="5" t="str">
        <f>IFERROR(__xludf.DUMMYFUNCTION("IF(A3392="""","""",INDEX(SPLIT(A3392,"" ""),COUNTA(SPLIT(A3392,"" ""))))"),"Montello")</f>
        <v>Montello</v>
      </c>
      <c r="C3392" s="6"/>
      <c r="D3392" s="6" t="s">
        <v>3390</v>
      </c>
      <c r="E3392" s="12" t="s">
        <v>3391</v>
      </c>
    </row>
    <row r="3393">
      <c r="A3393" s="4" t="s">
        <v>3423</v>
      </c>
      <c r="B3393" s="5" t="str">
        <f>IFERROR(__xludf.DUMMYFUNCTION("IF(A3393="""","""",INDEX(SPLIT(A3393,"" ""),COUNTA(SPLIT(A3393,"" ""))))"),"Sant'Urbano")</f>
        <v>Sant'Urbano</v>
      </c>
      <c r="C3393" s="6"/>
      <c r="D3393" s="6" t="s">
        <v>3390</v>
      </c>
      <c r="E3393" s="12" t="s">
        <v>3391</v>
      </c>
    </row>
    <row r="3394">
      <c r="A3394" s="4" t="s">
        <v>3424</v>
      </c>
      <c r="B3394" s="5" t="str">
        <f>IFERROR(__xludf.DUMMYFUNCTION("IF(A3394="""","""",INDEX(SPLIT(A3394,"" ""),COUNTA(SPLIT(A3394,"" ""))))"),"Monticano")</f>
        <v>Monticano</v>
      </c>
      <c r="C3394" s="6"/>
      <c r="D3394" s="6" t="s">
        <v>3390</v>
      </c>
      <c r="E3394" s="12" t="s">
        <v>3391</v>
      </c>
    </row>
    <row r="3395">
      <c r="A3395" s="4" t="s">
        <v>3425</v>
      </c>
      <c r="B3395" s="5" t="str">
        <f>IFERROR(__xludf.DUMMYFUNCTION("IF(A3395="""","""",INDEX(SPLIT(A3395,"" ""),COUNTA(SPLIT(A3395,"" ""))))"),"Istrana")</f>
        <v>Istrana</v>
      </c>
      <c r="C3395" s="6"/>
      <c r="D3395" s="6" t="s">
        <v>3390</v>
      </c>
      <c r="E3395" s="12" t="s">
        <v>3391</v>
      </c>
    </row>
    <row r="3396">
      <c r="A3396" s="4" t="s">
        <v>3426</v>
      </c>
      <c r="B3396" s="5" t="str">
        <f>IFERROR(__xludf.DUMMYFUNCTION("IF(A3396="""","""",INDEX(SPLIT(A3396,"" ""),COUNTA(SPLIT(A3396,"" ""))))"),"Loria")</f>
        <v>Loria</v>
      </c>
      <c r="C3396" s="6"/>
      <c r="D3396" s="6" t="s">
        <v>3390</v>
      </c>
      <c r="E3396" s="12" t="s">
        <v>3391</v>
      </c>
    </row>
    <row r="3397">
      <c r="A3397" s="4" t="s">
        <v>3427</v>
      </c>
      <c r="B3397" s="5" t="str">
        <f>IFERROR(__xludf.DUMMYFUNCTION("IF(A3397="""","""",INDEX(SPLIT(A3397,"" ""),COUNTA(SPLIT(A3397,"" ""))))"),"Mansuè")</f>
        <v>Mansuè</v>
      </c>
      <c r="C3397" s="6"/>
      <c r="D3397" s="6" t="s">
        <v>3390</v>
      </c>
      <c r="E3397" s="12" t="s">
        <v>3391</v>
      </c>
    </row>
    <row r="3398">
      <c r="A3398" s="4" t="s">
        <v>3428</v>
      </c>
      <c r="B3398" s="5" t="str">
        <f>IFERROR(__xludf.DUMMYFUNCTION("IF(A3398="""","""",INDEX(SPLIT(A3398,"" ""),COUNTA(SPLIT(A3398,"" ""))))"),"Piave")</f>
        <v>Piave</v>
      </c>
      <c r="C3398" s="6"/>
      <c r="D3398" s="6" t="s">
        <v>3390</v>
      </c>
      <c r="E3398" s="12" t="s">
        <v>3391</v>
      </c>
    </row>
    <row r="3399">
      <c r="A3399" s="4" t="s">
        <v>3429</v>
      </c>
      <c r="B3399" s="5" t="str">
        <f>IFERROR(__xludf.DUMMYFUNCTION("IF(A3399="""","""",INDEX(SPLIT(A3399,"" ""),COUNTA(SPLIT(A3399,"" ""))))"),"Maser")</f>
        <v>Maser</v>
      </c>
      <c r="C3399" s="6"/>
      <c r="D3399" s="6" t="s">
        <v>3390</v>
      </c>
      <c r="E3399" s="12" t="s">
        <v>3391</v>
      </c>
    </row>
    <row r="3400">
      <c r="A3400" s="4" t="s">
        <v>3430</v>
      </c>
      <c r="B3400" s="5" t="str">
        <f>IFERROR(__xludf.DUMMYFUNCTION("IF(A3400="""","""",INDEX(SPLIT(A3400,"" ""),COUNTA(SPLIT(A3400,"" ""))))"),"Piave")</f>
        <v>Piave</v>
      </c>
      <c r="C3400" s="6"/>
      <c r="D3400" s="6" t="s">
        <v>3390</v>
      </c>
      <c r="E3400" s="12" t="s">
        <v>3391</v>
      </c>
    </row>
    <row r="3401">
      <c r="A3401" s="4" t="s">
        <v>3431</v>
      </c>
      <c r="B3401" s="5" t="str">
        <f>IFERROR(__xludf.DUMMYFUNCTION("IF(A3401="""","""",INDEX(SPLIT(A3401,"" ""),COUNTA(SPLIT(A3401,"" ""))))"),"Livenza")</f>
        <v>Livenza</v>
      </c>
      <c r="C3401" s="6"/>
      <c r="D3401" s="6" t="s">
        <v>3390</v>
      </c>
      <c r="E3401" s="12" t="s">
        <v>3391</v>
      </c>
    </row>
    <row r="3402">
      <c r="A3402" s="4" t="s">
        <v>3432</v>
      </c>
      <c r="B3402" s="5" t="str">
        <f>IFERROR(__xludf.DUMMYFUNCTION("IF(A3402="""","""",INDEX(SPLIT(A3402,"" ""),COUNTA(SPLIT(A3402,"" ""))))"),"Miane")</f>
        <v>Miane</v>
      </c>
      <c r="C3402" s="6"/>
      <c r="D3402" s="6" t="s">
        <v>3390</v>
      </c>
      <c r="E3402" s="12" t="s">
        <v>3391</v>
      </c>
    </row>
    <row r="3403">
      <c r="A3403" s="4" t="s">
        <v>3433</v>
      </c>
      <c r="B3403" s="5" t="str">
        <f>IFERROR(__xludf.DUMMYFUNCTION("IF(A3403="""","""",INDEX(SPLIT(A3403,"" ""),COUNTA(SPLIT(A3403,"" ""))))"),"Veneto")</f>
        <v>Veneto</v>
      </c>
      <c r="C3403" s="6"/>
      <c r="D3403" s="6" t="s">
        <v>3390</v>
      </c>
      <c r="E3403" s="12" t="s">
        <v>3391</v>
      </c>
    </row>
    <row r="3404">
      <c r="A3404" s="4" t="s">
        <v>3434</v>
      </c>
      <c r="B3404" s="5" t="str">
        <f>IFERROR(__xludf.DUMMYFUNCTION("IF(A3404="""","""",INDEX(SPLIT(A3404,"" ""),COUNTA(SPLIT(A3404,"" ""))))"),"Treviso")</f>
        <v>Treviso</v>
      </c>
      <c r="C3404" s="6"/>
      <c r="D3404" s="6" t="s">
        <v>3390</v>
      </c>
      <c r="E3404" s="12" t="s">
        <v>3391</v>
      </c>
    </row>
    <row r="3405">
      <c r="A3405" s="4" t="s">
        <v>3435</v>
      </c>
      <c r="B3405" s="5" t="str">
        <f>IFERROR(__xludf.DUMMYFUNCTION("IF(A3405="""","""",INDEX(SPLIT(A3405,"" ""),COUNTA(SPLIT(A3405,"" ""))))"),"Monfumo")</f>
        <v>Monfumo</v>
      </c>
      <c r="C3405" s="6"/>
      <c r="D3405" s="6" t="s">
        <v>3390</v>
      </c>
      <c r="E3405" s="12" t="s">
        <v>3391</v>
      </c>
    </row>
    <row r="3406">
      <c r="A3406" s="4" t="s">
        <v>3436</v>
      </c>
      <c r="B3406" s="5" t="str">
        <f>IFERROR(__xludf.DUMMYFUNCTION("IF(A3406="""","""",INDEX(SPLIT(A3406,"" ""),COUNTA(SPLIT(A3406,"" ""))))"),"Montebelluna")</f>
        <v>Montebelluna</v>
      </c>
      <c r="C3406" s="6"/>
      <c r="D3406" s="6" t="s">
        <v>3390</v>
      </c>
      <c r="E3406" s="12" t="s">
        <v>3391</v>
      </c>
    </row>
    <row r="3407">
      <c r="A3407" s="4" t="s">
        <v>3437</v>
      </c>
      <c r="B3407" s="5" t="str">
        <f>IFERROR(__xludf.DUMMYFUNCTION("IF(A3407="""","""",INDEX(SPLIT(A3407,"" ""),COUNTA(SPLIT(A3407,"" ""))))"),"Morgano")</f>
        <v>Morgano</v>
      </c>
      <c r="C3407" s="6"/>
      <c r="D3407" s="6" t="s">
        <v>3390</v>
      </c>
      <c r="E3407" s="12" t="s">
        <v>3391</v>
      </c>
    </row>
    <row r="3408">
      <c r="A3408" s="4" t="s">
        <v>3438</v>
      </c>
      <c r="B3408" s="5" t="str">
        <f>IFERROR(__xludf.DUMMYFUNCTION("IF(A3408="""","""",INDEX(SPLIT(A3408,"" ""),COUNTA(SPLIT(A3408,"" ""))))"),"Battaglia")</f>
        <v>Battaglia</v>
      </c>
      <c r="C3408" s="6"/>
      <c r="D3408" s="6" t="s">
        <v>3390</v>
      </c>
      <c r="E3408" s="12" t="s">
        <v>3391</v>
      </c>
    </row>
    <row r="3409">
      <c r="A3409" s="4" t="s">
        <v>3439</v>
      </c>
      <c r="B3409" s="5" t="str">
        <f>IFERROR(__xludf.DUMMYFUNCTION("IF(A3409="""","""",INDEX(SPLIT(A3409,"" ""),COUNTA(SPLIT(A3409,"" ""))))"),"Livenza")</f>
        <v>Livenza</v>
      </c>
      <c r="C3409" s="6"/>
      <c r="D3409" s="6" t="s">
        <v>3390</v>
      </c>
      <c r="E3409" s="12" t="s">
        <v>3391</v>
      </c>
    </row>
    <row r="3410">
      <c r="A3410" s="4" t="s">
        <v>3440</v>
      </c>
      <c r="B3410" s="5" t="str">
        <f>IFERROR(__xludf.DUMMYFUNCTION("IF(A3410="""","""",INDEX(SPLIT(A3410,"" ""),COUNTA(SPLIT(A3410,"" ""))))"),"Battaglia")</f>
        <v>Battaglia</v>
      </c>
      <c r="C3410" s="6"/>
      <c r="D3410" s="6" t="s">
        <v>3390</v>
      </c>
      <c r="E3410" s="12" t="s">
        <v>3391</v>
      </c>
    </row>
    <row r="3411">
      <c r="A3411" s="4" t="s">
        <v>3441</v>
      </c>
      <c r="B3411" s="5" t="str">
        <f>IFERROR(__xludf.DUMMYFUNCTION("IF(A3411="""","""",INDEX(SPLIT(A3411,"" ""),COUNTA(SPLIT(A3411,"" ""))))"),"Oderzo")</f>
        <v>Oderzo</v>
      </c>
      <c r="C3411" s="6"/>
      <c r="D3411" s="6" t="s">
        <v>3390</v>
      </c>
      <c r="E3411" s="12" t="s">
        <v>3391</v>
      </c>
    </row>
    <row r="3412">
      <c r="A3412" s="4" t="s">
        <v>3442</v>
      </c>
      <c r="B3412" s="5" t="str">
        <f>IFERROR(__xludf.DUMMYFUNCTION("IF(A3412="""","""",INDEX(SPLIT(A3412,"" ""),COUNTA(SPLIT(A3412,"" ""))))"),"Ormelle")</f>
        <v>Ormelle</v>
      </c>
      <c r="C3412" s="6"/>
      <c r="D3412" s="6" t="s">
        <v>3390</v>
      </c>
      <c r="E3412" s="12" t="s">
        <v>3391</v>
      </c>
    </row>
    <row r="3413">
      <c r="A3413" s="4" t="s">
        <v>3443</v>
      </c>
      <c r="B3413" s="5" t="str">
        <f>IFERROR(__xludf.DUMMYFUNCTION("IF(A3413="""","""",INDEX(SPLIT(A3413,"" ""),COUNTA(SPLIT(A3413,"" ""))))"),"Orsago")</f>
        <v>Orsago</v>
      </c>
      <c r="C3413" s="6"/>
      <c r="D3413" s="6" t="s">
        <v>3390</v>
      </c>
      <c r="E3413" s="12" t="s">
        <v>3391</v>
      </c>
    </row>
    <row r="3414">
      <c r="A3414" s="4" t="s">
        <v>3444</v>
      </c>
      <c r="B3414" s="5" t="str">
        <f>IFERROR(__xludf.DUMMYFUNCTION("IF(A3414="""","""",INDEX(SPLIT(A3414,"" ""),COUNTA(SPLIT(A3414,"" ""))))"),"Grappa")</f>
        <v>Grappa</v>
      </c>
      <c r="C3414" s="6"/>
      <c r="D3414" s="6" t="s">
        <v>3390</v>
      </c>
      <c r="E3414" s="12" t="s">
        <v>3391</v>
      </c>
    </row>
    <row r="3415">
      <c r="A3415" s="4" t="s">
        <v>3445</v>
      </c>
      <c r="B3415" s="5" t="str">
        <f>IFERROR(__xludf.DUMMYFUNCTION("IF(A3415="""","""",INDEX(SPLIT(A3415,"" ""),COUNTA(SPLIT(A3415,"" ""))))"),"Paese")</f>
        <v>Paese</v>
      </c>
      <c r="C3415" s="6"/>
      <c r="D3415" s="6" t="s">
        <v>3390</v>
      </c>
      <c r="E3415" s="12" t="s">
        <v>3391</v>
      </c>
    </row>
    <row r="3416">
      <c r="A3416" s="4" t="s">
        <v>3446</v>
      </c>
      <c r="B3416" s="5" t="str">
        <f>IFERROR(__xludf.DUMMYFUNCTION("IF(A3416="""","""",INDEX(SPLIT(A3416,"" ""),COUNTA(SPLIT(A3416,"" ""))))"),"Pederobba")</f>
        <v>Pederobba</v>
      </c>
      <c r="C3416" s="6"/>
      <c r="D3416" s="6" t="s">
        <v>3390</v>
      </c>
      <c r="E3416" s="12" t="s">
        <v>3391</v>
      </c>
    </row>
    <row r="3417">
      <c r="A3417" s="4" t="s">
        <v>3447</v>
      </c>
      <c r="B3417" s="5" t="str">
        <f>IFERROR(__xludf.DUMMYFUNCTION("IF(A3417="""","""",INDEX(SPLIT(A3417,"" ""),COUNTA(SPLIT(A3417,"" ""))))"),"Soligo")</f>
        <v>Soligo</v>
      </c>
      <c r="C3417" s="6"/>
      <c r="D3417" s="6" t="s">
        <v>3390</v>
      </c>
      <c r="E3417" s="12" t="s">
        <v>3391</v>
      </c>
    </row>
    <row r="3418">
      <c r="A3418" s="4" t="s">
        <v>3448</v>
      </c>
      <c r="B3418" s="5" t="str">
        <f>IFERROR(__xludf.DUMMYFUNCTION("IF(A3418="""","""",INDEX(SPLIT(A3418,"" ""),COUNTA(SPLIT(A3418,"" ""))))"),"Piave")</f>
        <v>Piave</v>
      </c>
      <c r="C3418" s="6"/>
      <c r="D3418" s="6" t="s">
        <v>3390</v>
      </c>
      <c r="E3418" s="12" t="s">
        <v>3391</v>
      </c>
    </row>
    <row r="3419">
      <c r="A3419" s="4" t="s">
        <v>3449</v>
      </c>
      <c r="B3419" s="5" t="str">
        <f>IFERROR(__xludf.DUMMYFUNCTION("IF(A3419="""","""",INDEX(SPLIT(A3419,"" ""),COUNTA(SPLIT(A3419,"" ""))))"),"Veneto")</f>
        <v>Veneto</v>
      </c>
      <c r="C3419" s="6"/>
      <c r="D3419" s="6" t="s">
        <v>3390</v>
      </c>
      <c r="E3419" s="12" t="s">
        <v>3391</v>
      </c>
    </row>
    <row r="3420">
      <c r="A3420" s="4" t="s">
        <v>3450</v>
      </c>
      <c r="B3420" s="5" t="str">
        <f>IFERROR(__xludf.DUMMYFUNCTION("IF(A3420="""","""",INDEX(SPLIT(A3420,"" ""),COUNTA(SPLIT(A3420,"" ""))))"),"Portobuffolè")</f>
        <v>Portobuffolè</v>
      </c>
      <c r="C3420" s="6"/>
      <c r="D3420" s="6" t="s">
        <v>3390</v>
      </c>
      <c r="E3420" s="12" t="s">
        <v>3391</v>
      </c>
    </row>
    <row r="3421">
      <c r="A3421" s="4" t="s">
        <v>3451</v>
      </c>
      <c r="B3421" s="5" t="str">
        <f>IFERROR(__xludf.DUMMYFUNCTION("IF(A3421="""","""",INDEX(SPLIT(A3421,"" ""),COUNTA(SPLIT(A3421,"" ""))))"),"Possagno")</f>
        <v>Possagno</v>
      </c>
      <c r="C3421" s="6"/>
      <c r="D3421" s="6" t="s">
        <v>3390</v>
      </c>
      <c r="E3421" s="12" t="s">
        <v>3391</v>
      </c>
    </row>
    <row r="3422">
      <c r="A3422" s="4" t="s">
        <v>3452</v>
      </c>
      <c r="B3422" s="5" t="str">
        <f>IFERROR(__xludf.DUMMYFUNCTION("IF(A3422="""","""",INDEX(SPLIT(A3422,"" ""),COUNTA(SPLIT(A3422,"" ""))))"),"Povegliano")</f>
        <v>Povegliano</v>
      </c>
      <c r="C3422" s="6"/>
      <c r="D3422" s="6" t="s">
        <v>3390</v>
      </c>
      <c r="E3422" s="12" t="s">
        <v>3391</v>
      </c>
    </row>
    <row r="3423">
      <c r="A3423" s="4" t="s">
        <v>3453</v>
      </c>
      <c r="B3423" s="5" t="str">
        <f>IFERROR(__xludf.DUMMYFUNCTION("IF(A3423="""","""",INDEX(SPLIT(A3423,"" ""),COUNTA(SPLIT(A3423,"" ""))))"),"Preganziol")</f>
        <v>Preganziol</v>
      </c>
      <c r="C3423" s="6"/>
      <c r="D3423" s="6" t="s">
        <v>3390</v>
      </c>
      <c r="E3423" s="12" t="s">
        <v>3391</v>
      </c>
    </row>
    <row r="3424">
      <c r="A3424" s="4" t="s">
        <v>3454</v>
      </c>
      <c r="B3424" s="5" t="str">
        <f>IFERROR(__xludf.DUMMYFUNCTION("IF(A3424="""","""",INDEX(SPLIT(A3424,"" ""),COUNTA(SPLIT(A3424,"" ""))))"),"Treviso")</f>
        <v>Treviso</v>
      </c>
      <c r="C3424" s="6"/>
      <c r="D3424" s="6" t="s">
        <v>3390</v>
      </c>
      <c r="E3424" s="12" t="s">
        <v>3391</v>
      </c>
    </row>
    <row r="3425">
      <c r="A3425" s="4" t="s">
        <v>3455</v>
      </c>
      <c r="B3425" s="5" t="str">
        <f>IFERROR(__xludf.DUMMYFUNCTION("IF(A3425="""","""",INDEX(SPLIT(A3425,"" ""),COUNTA(SPLIT(A3425,"" ""))))"),"Refrontolo")</f>
        <v>Refrontolo</v>
      </c>
      <c r="C3425" s="6"/>
      <c r="D3425" s="6" t="s">
        <v>3390</v>
      </c>
      <c r="E3425" s="12" t="s">
        <v>3391</v>
      </c>
    </row>
    <row r="3426">
      <c r="A3426" s="4" t="s">
        <v>3456</v>
      </c>
      <c r="B3426" s="5" t="str">
        <f>IFERROR(__xludf.DUMMYFUNCTION("IF(A3426="""","""",INDEX(SPLIT(A3426,"" ""),COUNTA(SPLIT(A3426,"" ""))))"),"Resana")</f>
        <v>Resana</v>
      </c>
      <c r="C3426" s="6"/>
      <c r="D3426" s="6" t="s">
        <v>3390</v>
      </c>
      <c r="E3426" s="12" t="s">
        <v>3391</v>
      </c>
    </row>
    <row r="3427">
      <c r="A3427" s="4" t="s">
        <v>3457</v>
      </c>
      <c r="B3427" s="5" t="str">
        <f>IFERROR(__xludf.DUMMYFUNCTION("IF(A3427="""","""",INDEX(SPLIT(A3427,"" ""),COUNTA(SPLIT(A3427,"" ""))))"),"Lago")</f>
        <v>Lago</v>
      </c>
      <c r="C3427" s="6"/>
      <c r="D3427" s="6" t="s">
        <v>3390</v>
      </c>
      <c r="E3427" s="12" t="s">
        <v>3391</v>
      </c>
    </row>
    <row r="3428">
      <c r="A3428" s="4" t="s">
        <v>3458</v>
      </c>
      <c r="B3428" s="5" t="str">
        <f>IFERROR(__xludf.DUMMYFUNCTION("IF(A3428="""","""",INDEX(SPLIT(A3428,"" ""),COUNTA(SPLIT(A3428,"" ""))))"),"X")</f>
        <v>X</v>
      </c>
      <c r="C3428" s="6"/>
      <c r="D3428" s="6" t="s">
        <v>3390</v>
      </c>
      <c r="E3428" s="12" t="s">
        <v>3391</v>
      </c>
    </row>
    <row r="3429">
      <c r="A3429" s="4" t="s">
        <v>3459</v>
      </c>
      <c r="B3429" s="5" t="str">
        <f>IFERROR(__xludf.DUMMYFUNCTION("IF(A3429="""","""",INDEX(SPLIT(A3429,"" ""),COUNTA(SPLIT(A3429,"" ""))))"),"Roncade")</f>
        <v>Roncade</v>
      </c>
      <c r="C3429" s="6"/>
      <c r="D3429" s="6" t="s">
        <v>3390</v>
      </c>
      <c r="E3429" s="12" t="s">
        <v>3391</v>
      </c>
    </row>
    <row r="3430">
      <c r="A3430" s="4" t="s">
        <v>3460</v>
      </c>
      <c r="B3430" s="5" t="str">
        <f>IFERROR(__xludf.DUMMYFUNCTION("IF(A3430="""","""",INDEX(SPLIT(A3430,"" ""),COUNTA(SPLIT(A3430,"" ""))))"),"Salgareda")</f>
        <v>Salgareda</v>
      </c>
      <c r="C3430" s="6"/>
      <c r="D3430" s="6" t="s">
        <v>3390</v>
      </c>
      <c r="E3430" s="12" t="s">
        <v>3391</v>
      </c>
    </row>
    <row r="3431">
      <c r="A3431" s="4" t="s">
        <v>3461</v>
      </c>
      <c r="B3431" s="5" t="str">
        <f>IFERROR(__xludf.DUMMYFUNCTION("IF(A3431="""","""",INDEX(SPLIT(A3431,"" ""),COUNTA(SPLIT(A3431,"" ""))))"),"Callalta")</f>
        <v>Callalta</v>
      </c>
      <c r="C3431" s="6"/>
      <c r="D3431" s="6" t="s">
        <v>3390</v>
      </c>
      <c r="E3431" s="12" t="s">
        <v>3391</v>
      </c>
    </row>
    <row r="3432">
      <c r="A3432" s="4" t="s">
        <v>3462</v>
      </c>
      <c r="B3432" s="5" t="str">
        <f>IFERROR(__xludf.DUMMYFUNCTION("IF(A3432="""","""",INDEX(SPLIT(A3432,"" ""),COUNTA(SPLIT(A3432,"" ""))))"),"Fior")</f>
        <v>Fior</v>
      </c>
      <c r="C3432" s="6"/>
      <c r="D3432" s="6" t="s">
        <v>3390</v>
      </c>
      <c r="E3432" s="12" t="s">
        <v>3391</v>
      </c>
    </row>
    <row r="3433">
      <c r="A3433" s="4" t="s">
        <v>3463</v>
      </c>
      <c r="B3433" s="5" t="str">
        <f>IFERROR(__xludf.DUMMYFUNCTION("IF(A3433="""","""",INDEX(SPLIT(A3433,"" ""),COUNTA(SPLIT(A3433,"" ""))))"),"Feletto")</f>
        <v>Feletto</v>
      </c>
      <c r="C3433" s="6"/>
      <c r="D3433" s="6" t="s">
        <v>3390</v>
      </c>
      <c r="E3433" s="12" t="s">
        <v>3391</v>
      </c>
    </row>
    <row r="3434">
      <c r="A3434" s="4" t="s">
        <v>3464</v>
      </c>
      <c r="B3434" s="5" t="str">
        <f>IFERROR(__xludf.DUMMYFUNCTION("IF(A3434="""","""",INDEX(SPLIT(A3434,"" ""),COUNTA(SPLIT(A3434,"" ""))))"),"Piave")</f>
        <v>Piave</v>
      </c>
      <c r="C3434" s="6"/>
      <c r="D3434" s="6" t="s">
        <v>3390</v>
      </c>
      <c r="E3434" s="12" t="s">
        <v>3391</v>
      </c>
    </row>
    <row r="3435">
      <c r="A3435" s="4" t="s">
        <v>3465</v>
      </c>
      <c r="B3435" s="5" t="str">
        <f>IFERROR(__xludf.DUMMYFUNCTION("IF(A3435="""","""",INDEX(SPLIT(A3435,"" ""),COUNTA(SPLIT(A3435,"" ""))))"),"Piave")</f>
        <v>Piave</v>
      </c>
      <c r="C3435" s="6"/>
      <c r="D3435" s="6" t="s">
        <v>3390</v>
      </c>
      <c r="E3435" s="12" t="s">
        <v>3391</v>
      </c>
    </row>
    <row r="3436">
      <c r="A3436" s="4" t="s">
        <v>3466</v>
      </c>
      <c r="B3436" s="5" t="str">
        <f>IFERROR(__xludf.DUMMYFUNCTION("IF(A3436="""","""",INDEX(SPLIT(A3436,"" ""),COUNTA(SPLIT(A3436,"" ""))))"),"Vendemiano")</f>
        <v>Vendemiano</v>
      </c>
      <c r="C3436" s="6"/>
      <c r="D3436" s="6" t="s">
        <v>3390</v>
      </c>
      <c r="E3436" s="12" t="s">
        <v>3391</v>
      </c>
    </row>
    <row r="3437">
      <c r="A3437" s="4" t="s">
        <v>3467</v>
      </c>
      <c r="B3437" s="5" t="str">
        <f>IFERROR(__xludf.DUMMYFUNCTION("IF(A3437="""","""",INDEX(SPLIT(A3437,"" ""),COUNTA(SPLIT(A3437,"" ""))))"),"Ezzelini")</f>
        <v>Ezzelini</v>
      </c>
      <c r="C3437" s="6"/>
      <c r="D3437" s="6" t="s">
        <v>3390</v>
      </c>
      <c r="E3437" s="12" t="s">
        <v>3391</v>
      </c>
    </row>
    <row r="3438">
      <c r="A3438" s="4" t="s">
        <v>3468</v>
      </c>
      <c r="B3438" s="5" t="str">
        <f>IFERROR(__xludf.DUMMYFUNCTION("IF(A3438="""","""",INDEX(SPLIT(A3438,"" ""),COUNTA(SPLIT(A3438,"" ""))))"),"Sarmede")</f>
        <v>Sarmede</v>
      </c>
      <c r="C3438" s="6"/>
      <c r="D3438" s="6" t="s">
        <v>3390</v>
      </c>
      <c r="E3438" s="12" t="s">
        <v>3391</v>
      </c>
    </row>
    <row r="3439">
      <c r="A3439" s="4" t="s">
        <v>3469</v>
      </c>
      <c r="B3439" s="5" t="str">
        <f>IFERROR(__xludf.DUMMYFUNCTION("IF(A3439="""","""",INDEX(SPLIT(A3439,"" ""),COUNTA(SPLIT(A3439,"" ""))))"),"Segusino")</f>
        <v>Segusino</v>
      </c>
      <c r="C3439" s="6"/>
      <c r="D3439" s="6" t="s">
        <v>3390</v>
      </c>
      <c r="E3439" s="12" t="s">
        <v>3391</v>
      </c>
    </row>
    <row r="3440">
      <c r="A3440" s="4" t="s">
        <v>3470</v>
      </c>
      <c r="B3440" s="5" t="str">
        <f>IFERROR(__xludf.DUMMYFUNCTION("IF(A3440="""","""",INDEX(SPLIT(A3440,"" ""),COUNTA(SPLIT(A3440,"" ""))))"),"Battaglia")</f>
        <v>Battaglia</v>
      </c>
      <c r="C3440" s="6"/>
      <c r="D3440" s="6" t="s">
        <v>3390</v>
      </c>
      <c r="E3440" s="12" t="s">
        <v>3391</v>
      </c>
    </row>
    <row r="3441">
      <c r="A3441" s="4" t="s">
        <v>3471</v>
      </c>
      <c r="B3441" s="5" t="str">
        <f>IFERROR(__xludf.DUMMYFUNCTION("IF(A3441="""","""",INDEX(SPLIT(A3441,"" ""),COUNTA(SPLIT(A3441,"" ""))))"),"Silea")</f>
        <v>Silea</v>
      </c>
      <c r="C3441" s="6"/>
      <c r="D3441" s="6" t="s">
        <v>3390</v>
      </c>
      <c r="E3441" s="12" t="s">
        <v>3391</v>
      </c>
    </row>
    <row r="3442">
      <c r="A3442" s="4" t="s">
        <v>3472</v>
      </c>
      <c r="B3442" s="5" t="str">
        <f>IFERROR(__xludf.DUMMYFUNCTION("IF(A3442="""","""",INDEX(SPLIT(A3442,"" ""),COUNTA(SPLIT(A3442,"" ""))))"),"Spresiano")</f>
        <v>Spresiano</v>
      </c>
      <c r="C3442" s="6"/>
      <c r="D3442" s="6" t="s">
        <v>3390</v>
      </c>
      <c r="E3442" s="12" t="s">
        <v>3391</v>
      </c>
    </row>
    <row r="3443">
      <c r="A3443" s="4" t="s">
        <v>3473</v>
      </c>
      <c r="B3443" s="5" t="str">
        <f>IFERROR(__xludf.DUMMYFUNCTION("IF(A3443="""","""",INDEX(SPLIT(A3443,"" ""),COUNTA(SPLIT(A3443,"" ""))))"),"Susegana")</f>
        <v>Susegana</v>
      </c>
      <c r="C3443" s="6"/>
      <c r="D3443" s="6" t="s">
        <v>3390</v>
      </c>
      <c r="E3443" s="12" t="s">
        <v>3391</v>
      </c>
    </row>
    <row r="3444">
      <c r="A3444" s="4" t="s">
        <v>3474</v>
      </c>
      <c r="B3444" s="5" t="str">
        <f>IFERROR(__xludf.DUMMYFUNCTION("IF(A3444="""","""",INDEX(SPLIT(A3444,"" ""),COUNTA(SPLIT(A3444,"" ""))))"),"Tarzo")</f>
        <v>Tarzo</v>
      </c>
      <c r="C3444" s="6"/>
      <c r="D3444" s="6" t="s">
        <v>3390</v>
      </c>
      <c r="E3444" s="12" t="s">
        <v>3391</v>
      </c>
    </row>
    <row r="3445">
      <c r="A3445" s="4" t="s">
        <v>3475</v>
      </c>
      <c r="B3445" s="5" t="str">
        <f>IFERROR(__xludf.DUMMYFUNCTION("IF(A3445="""","""",INDEX(SPLIT(A3445,"" ""),COUNTA(SPLIT(A3445,"" ""))))"),"Trevignano")</f>
        <v>Trevignano</v>
      </c>
      <c r="C3445" s="6"/>
      <c r="D3445" s="6" t="s">
        <v>3390</v>
      </c>
      <c r="E3445" s="12" t="s">
        <v>3391</v>
      </c>
    </row>
    <row r="3446">
      <c r="A3446" s="4" t="s">
        <v>3390</v>
      </c>
      <c r="B3446" s="5" t="str">
        <f>IFERROR(__xludf.DUMMYFUNCTION("IF(A3446="""","""",INDEX(SPLIT(A3446,"" ""),COUNTA(SPLIT(A3446,"" ""))))"),"Treviso")</f>
        <v>Treviso</v>
      </c>
      <c r="C3446" s="6"/>
      <c r="D3446" s="6" t="s">
        <v>3390</v>
      </c>
      <c r="E3446" s="12" t="s">
        <v>3391</v>
      </c>
    </row>
    <row r="3447">
      <c r="A3447" s="4" t="s">
        <v>3476</v>
      </c>
      <c r="B3447" s="5" t="str">
        <f>IFERROR(__xludf.DUMMYFUNCTION("IF(A3447="""","""",INDEX(SPLIT(A3447,"" ""),COUNTA(SPLIT(A3447,"" ""))))"),"Valdobbiadene")</f>
        <v>Valdobbiadene</v>
      </c>
      <c r="C3447" s="6"/>
      <c r="D3447" s="6" t="s">
        <v>3390</v>
      </c>
      <c r="E3447" s="12" t="s">
        <v>3391</v>
      </c>
    </row>
    <row r="3448">
      <c r="A3448" s="4" t="s">
        <v>3477</v>
      </c>
      <c r="B3448" s="5" t="str">
        <f>IFERROR(__xludf.DUMMYFUNCTION("IF(A3448="""","""",INDEX(SPLIT(A3448,"" ""),COUNTA(SPLIT(A3448,"" ""))))"),"Vazzola")</f>
        <v>Vazzola</v>
      </c>
      <c r="C3448" s="6"/>
      <c r="D3448" s="6" t="s">
        <v>3390</v>
      </c>
      <c r="E3448" s="12" t="s">
        <v>3391</v>
      </c>
    </row>
    <row r="3449">
      <c r="A3449" s="4" t="s">
        <v>3478</v>
      </c>
      <c r="B3449" s="5" t="str">
        <f>IFERROR(__xludf.DUMMYFUNCTION("IF(A3449="""","""",INDEX(SPLIT(A3449,"" ""),COUNTA(SPLIT(A3449,"" ""))))"),"Vedelago")</f>
        <v>Vedelago</v>
      </c>
      <c r="C3449" s="6"/>
      <c r="D3449" s="6" t="s">
        <v>3390</v>
      </c>
      <c r="E3449" s="12" t="s">
        <v>3391</v>
      </c>
    </row>
    <row r="3450">
      <c r="A3450" s="4" t="s">
        <v>3479</v>
      </c>
      <c r="B3450" s="5" t="str">
        <f>IFERROR(__xludf.DUMMYFUNCTION("IF(A3450="""","""",INDEX(SPLIT(A3450,"" ""),COUNTA(SPLIT(A3450,"" ""))))"),"Vidor")</f>
        <v>Vidor</v>
      </c>
      <c r="C3450" s="6"/>
      <c r="D3450" s="6" t="s">
        <v>3390</v>
      </c>
      <c r="E3450" s="12" t="s">
        <v>3391</v>
      </c>
    </row>
    <row r="3451">
      <c r="A3451" s="4" t="s">
        <v>3480</v>
      </c>
      <c r="B3451" s="5" t="str">
        <f>IFERROR(__xludf.DUMMYFUNCTION("IF(A3451="""","""",INDEX(SPLIT(A3451,"" ""),COUNTA(SPLIT(A3451,"" ""))))"),"Villorba")</f>
        <v>Villorba</v>
      </c>
      <c r="C3451" s="6"/>
      <c r="D3451" s="6" t="s">
        <v>3390</v>
      </c>
      <c r="E3451" s="12" t="s">
        <v>3391</v>
      </c>
    </row>
    <row r="3452">
      <c r="A3452" s="4" t="s">
        <v>3481</v>
      </c>
      <c r="B3452" s="5" t="str">
        <f>IFERROR(__xludf.DUMMYFUNCTION("IF(A3452="""","""",INDEX(SPLIT(A3452,"" ""),COUNTA(SPLIT(A3452,"" ""))))"),"Veneto")</f>
        <v>Veneto</v>
      </c>
      <c r="C3452" s="6"/>
      <c r="D3452" s="6" t="s">
        <v>3390</v>
      </c>
      <c r="E3452" s="12" t="s">
        <v>3391</v>
      </c>
    </row>
    <row r="3453">
      <c r="A3453" s="4" t="s">
        <v>3482</v>
      </c>
      <c r="B3453" s="5" t="str">
        <f>IFERROR(__xludf.DUMMYFUNCTION("IF(A3453="""","""",INDEX(SPLIT(A3453,"" ""),COUNTA(SPLIT(A3453,"" ""))))"),"Montello")</f>
        <v>Montello</v>
      </c>
      <c r="C3453" s="6"/>
      <c r="D3453" s="6" t="s">
        <v>3390</v>
      </c>
      <c r="E3453" s="12" t="s">
        <v>3391</v>
      </c>
    </row>
    <row r="3454">
      <c r="A3454" s="4" t="s">
        <v>3483</v>
      </c>
      <c r="B3454" s="5" t="str">
        <f>IFERROR(__xludf.DUMMYFUNCTION("IF(A3454="""","""",INDEX(SPLIT(A3454,"" ""),COUNTA(SPLIT(A3454,"" ""))))"),"Piave")</f>
        <v>Piave</v>
      </c>
      <c r="C3454" s="6"/>
      <c r="D3454" s="6" t="s">
        <v>3390</v>
      </c>
      <c r="E3454" s="12" t="s">
        <v>3391</v>
      </c>
    </row>
    <row r="3455">
      <c r="A3455" s="4" t="s">
        <v>3484</v>
      </c>
      <c r="B3455" s="5" t="str">
        <f>IFERROR(__xludf.DUMMYFUNCTION("IF(A3455="""","""",INDEX(SPLIT(A3455,"" ""),COUNTA(SPLIT(A3455,"" ""))))"),"Branco")</f>
        <v>Branco</v>
      </c>
      <c r="C3455" s="6"/>
      <c r="D3455" s="6" t="s">
        <v>3390</v>
      </c>
      <c r="E3455" s="12" t="s">
        <v>3391</v>
      </c>
    </row>
    <row r="3456">
      <c r="A3456" s="4" t="s">
        <v>3485</v>
      </c>
      <c r="B3456" s="5" t="str">
        <f>IFERROR(__xludf.DUMMYFUNCTION("IF(A3456="""","""",INDEX(SPLIT(A3456,"" ""),COUNTA(SPLIT(A3456,"" ""))))"),"Veneto")</f>
        <v>Veneto</v>
      </c>
      <c r="C3456" s="6" t="s">
        <v>3486</v>
      </c>
      <c r="D3456" s="6"/>
      <c r="E3456" s="12" t="s">
        <v>3487</v>
      </c>
    </row>
    <row r="3457">
      <c r="A3457" s="4" t="s">
        <v>3488</v>
      </c>
      <c r="B3457" s="5" t="str">
        <f>IFERROR(__xludf.DUMMYFUNCTION("IF(A3457="""","""",INDEX(SPLIT(A3457,"" ""),COUNTA(SPLIT(A3457,"" ""))))"),"Lupia")</f>
        <v>Lupia</v>
      </c>
      <c r="C3457" s="6" t="s">
        <v>3486</v>
      </c>
      <c r="D3457" s="6"/>
      <c r="E3457" s="12" t="s">
        <v>3487</v>
      </c>
    </row>
    <row r="3458">
      <c r="A3458" s="4" t="s">
        <v>3489</v>
      </c>
      <c r="B3458" s="5" t="str">
        <f>IFERROR(__xludf.DUMMYFUNCTION("IF(A3458="""","""",INDEX(SPLIT(A3458,"" ""),COUNTA(SPLIT(A3458,"" ""))))"),"Maggiore")</f>
        <v>Maggiore</v>
      </c>
      <c r="C3458" s="6" t="s">
        <v>3486</v>
      </c>
      <c r="D3458" s="6"/>
      <c r="E3458" s="12" t="s">
        <v>3487</v>
      </c>
    </row>
    <row r="3459">
      <c r="A3459" s="4" t="s">
        <v>3490</v>
      </c>
      <c r="B3459" s="5" t="str">
        <f>IFERROR(__xludf.DUMMYFUNCTION("IF(A3459="""","""",INDEX(SPLIT(A3459,"" ""),COUNTA(SPLIT(A3459,"" ""))))"),"Camponogara")</f>
        <v>Camponogara</v>
      </c>
      <c r="C3459" s="6" t="s">
        <v>3486</v>
      </c>
      <c r="D3459" s="6"/>
      <c r="E3459" s="12" t="s">
        <v>3487</v>
      </c>
    </row>
    <row r="3460">
      <c r="A3460" s="4" t="s">
        <v>3491</v>
      </c>
      <c r="B3460" s="5" t="str">
        <f>IFERROR(__xludf.DUMMYFUNCTION("IF(A3460="""","""",INDEX(SPLIT(A3460,"" ""),COUNTA(SPLIT(A3460,"" ""))))"),"Caorle")</f>
        <v>Caorle</v>
      </c>
      <c r="C3460" s="6" t="s">
        <v>3486</v>
      </c>
      <c r="D3460" s="6"/>
      <c r="E3460" s="12" t="s">
        <v>3487</v>
      </c>
    </row>
    <row r="3461">
      <c r="A3461" s="4" t="s">
        <v>3492</v>
      </c>
      <c r="B3461" s="5" t="str">
        <f>IFERROR(__xludf.DUMMYFUNCTION("IF(A3461="""","""",INDEX(SPLIT(A3461,"" ""),COUNTA(SPLIT(A3461,"" ""))))"),"Cavarzere")</f>
        <v>Cavarzere</v>
      </c>
      <c r="C3461" s="6" t="s">
        <v>3486</v>
      </c>
      <c r="D3461" s="6"/>
      <c r="E3461" s="12" t="s">
        <v>3487</v>
      </c>
    </row>
    <row r="3462">
      <c r="A3462" s="4" t="s">
        <v>3493</v>
      </c>
      <c r="B3462" s="5" t="str">
        <f>IFERROR(__xludf.DUMMYFUNCTION("IF(A3462="""","""",INDEX(SPLIT(A3462,"" ""),COUNTA(SPLIT(A3462,"" ""))))"),"Ceggia")</f>
        <v>Ceggia</v>
      </c>
      <c r="C3462" s="6" t="s">
        <v>3486</v>
      </c>
      <c r="D3462" s="6"/>
      <c r="E3462" s="12" t="s">
        <v>3487</v>
      </c>
    </row>
    <row r="3463">
      <c r="A3463" s="4" t="s">
        <v>3494</v>
      </c>
      <c r="B3463" s="5" t="str">
        <f>IFERROR(__xludf.DUMMYFUNCTION("IF(A3463="""","""",INDEX(SPLIT(A3463,"" ""),COUNTA(SPLIT(A3463,"" ""))))"),"Chioggia")</f>
        <v>Chioggia</v>
      </c>
      <c r="C3463" s="6" t="s">
        <v>3486</v>
      </c>
      <c r="D3463" s="6"/>
      <c r="E3463" s="12" t="s">
        <v>3487</v>
      </c>
    </row>
    <row r="3464">
      <c r="A3464" s="4" t="s">
        <v>3495</v>
      </c>
      <c r="B3464" s="5" t="str">
        <f>IFERROR(__xludf.DUMMYFUNCTION("IF(A3464="""","""",INDEX(SPLIT(A3464,"" ""),COUNTA(SPLIT(A3464,"" ""))))"),"Caomaggiore")</f>
        <v>Caomaggiore</v>
      </c>
      <c r="C3464" s="6" t="s">
        <v>3486</v>
      </c>
      <c r="D3464" s="6"/>
      <c r="E3464" s="12" t="s">
        <v>3487</v>
      </c>
    </row>
    <row r="3465">
      <c r="A3465" s="4" t="s">
        <v>3496</v>
      </c>
      <c r="B3465" s="5" t="str">
        <f>IFERROR(__xludf.DUMMYFUNCTION("IF(A3465="""","""",INDEX(SPLIT(A3465,"" ""),COUNTA(SPLIT(A3465,"" ""))))"),"Cona")</f>
        <v>Cona</v>
      </c>
      <c r="C3465" s="6" t="s">
        <v>3486</v>
      </c>
      <c r="D3465" s="6"/>
      <c r="E3465" s="12" t="s">
        <v>3487</v>
      </c>
    </row>
    <row r="3466">
      <c r="A3466" s="4" t="s">
        <v>3497</v>
      </c>
      <c r="B3466" s="5" t="str">
        <f>IFERROR(__xludf.DUMMYFUNCTION("IF(A3466="""","""",INDEX(SPLIT(A3466,"" ""),COUNTA(SPLIT(A3466,"" ""))))"),"Sagittaria")</f>
        <v>Sagittaria</v>
      </c>
      <c r="C3466" s="6" t="s">
        <v>3486</v>
      </c>
      <c r="D3466" s="6"/>
      <c r="E3466" s="12" t="s">
        <v>3487</v>
      </c>
    </row>
    <row r="3467">
      <c r="A3467" s="4" t="s">
        <v>3498</v>
      </c>
      <c r="B3467" s="5" t="str">
        <f>IFERROR(__xludf.DUMMYFUNCTION("IF(A3467="""","""",INDEX(SPLIT(A3467,"" ""),COUNTA(SPLIT(A3467,"" ""))))"),"Dolo")</f>
        <v>Dolo</v>
      </c>
      <c r="C3467" s="6" t="s">
        <v>3486</v>
      </c>
      <c r="D3467" s="6"/>
      <c r="E3467" s="12" t="s">
        <v>3487</v>
      </c>
    </row>
    <row r="3468">
      <c r="A3468" s="4" t="s">
        <v>3499</v>
      </c>
      <c r="B3468" s="5" t="str">
        <f>IFERROR(__xludf.DUMMYFUNCTION("IF(A3468="""","""",INDEX(SPLIT(A3468,"" ""),COUNTA(SPLIT(A3468,"" ""))))"),"Eraclea")</f>
        <v>Eraclea</v>
      </c>
      <c r="C3468" s="6" t="s">
        <v>3486</v>
      </c>
      <c r="D3468" s="6"/>
      <c r="E3468" s="12" t="s">
        <v>3487</v>
      </c>
    </row>
    <row r="3469">
      <c r="A3469" s="4" t="s">
        <v>3500</v>
      </c>
      <c r="B3469" s="5" t="str">
        <f>IFERROR(__xludf.DUMMYFUNCTION("IF(A3469="""","""",INDEX(SPLIT(A3469,"" ""),COUNTA(SPLIT(A3469,"" ""))))"),"d'Artico")</f>
        <v>d'Artico</v>
      </c>
      <c r="C3469" s="6" t="s">
        <v>3486</v>
      </c>
      <c r="D3469" s="6"/>
      <c r="E3469" s="12" t="s">
        <v>3487</v>
      </c>
    </row>
    <row r="3470">
      <c r="A3470" s="4" t="s">
        <v>3501</v>
      </c>
      <c r="B3470" s="5" t="str">
        <f>IFERROR(__xludf.DUMMYFUNCTION("IF(A3470="""","""",INDEX(SPLIT(A3470,"" ""),COUNTA(SPLIT(A3470,"" ""))))"),"Piave")</f>
        <v>Piave</v>
      </c>
      <c r="C3470" s="6" t="s">
        <v>3486</v>
      </c>
      <c r="D3470" s="6"/>
      <c r="E3470" s="12" t="s">
        <v>3487</v>
      </c>
    </row>
    <row r="3471">
      <c r="A3471" s="4" t="s">
        <v>3502</v>
      </c>
      <c r="B3471" s="5" t="str">
        <f>IFERROR(__xludf.DUMMYFUNCTION("IF(A3471="""","""",INDEX(SPLIT(A3471,"" ""),COUNTA(SPLIT(A3471,"" ""))))"),"Portogruaro")</f>
        <v>Portogruaro</v>
      </c>
      <c r="C3471" s="6" t="s">
        <v>3486</v>
      </c>
      <c r="D3471" s="6"/>
      <c r="E3471" s="12" t="s">
        <v>3487</v>
      </c>
    </row>
    <row r="3472">
      <c r="A3472" s="4" t="s">
        <v>3503</v>
      </c>
      <c r="B3472" s="5" t="str">
        <f>IFERROR(__xludf.DUMMYFUNCTION("IF(A3472="""","""",INDEX(SPLIT(A3472,"" ""),COUNTA(SPLIT(A3472,"" ""))))"),"Fossò")</f>
        <v>Fossò</v>
      </c>
      <c r="C3472" s="6" t="s">
        <v>3486</v>
      </c>
      <c r="D3472" s="6"/>
      <c r="E3472" s="12" t="s">
        <v>3487</v>
      </c>
    </row>
    <row r="3473">
      <c r="A3473" s="4" t="s">
        <v>3504</v>
      </c>
      <c r="B3473" s="5" t="str">
        <f>IFERROR(__xludf.DUMMYFUNCTION("IF(A3473="""","""",INDEX(SPLIT(A3473,"" ""),COUNTA(SPLIT(A3473,"" ""))))"),"Gruaro")</f>
        <v>Gruaro</v>
      </c>
      <c r="C3473" s="6" t="s">
        <v>3486</v>
      </c>
      <c r="D3473" s="6"/>
      <c r="E3473" s="12" t="s">
        <v>3487</v>
      </c>
    </row>
    <row r="3474">
      <c r="A3474" s="4" t="s">
        <v>3505</v>
      </c>
      <c r="B3474" s="5" t="str">
        <f>IFERROR(__xludf.DUMMYFUNCTION("IF(A3474="""","""",INDEX(SPLIT(A3474,"" ""),COUNTA(SPLIT(A3474,"" ""))))"),"Jesolo")</f>
        <v>Jesolo</v>
      </c>
      <c r="C3474" s="6" t="s">
        <v>3486</v>
      </c>
      <c r="D3474" s="6"/>
      <c r="E3474" s="12" t="s">
        <v>3487</v>
      </c>
    </row>
    <row r="3475">
      <c r="A3475" s="4" t="s">
        <v>3506</v>
      </c>
      <c r="B3475" s="5" t="str">
        <f>IFERROR(__xludf.DUMMYFUNCTION("IF(A3475="""","""",INDEX(SPLIT(A3475,"" ""),COUNTA(SPLIT(A3475,"" ""))))"),"Marcon")</f>
        <v>Marcon</v>
      </c>
      <c r="C3475" s="6" t="s">
        <v>3486</v>
      </c>
      <c r="D3475" s="6"/>
      <c r="E3475" s="12" t="s">
        <v>3487</v>
      </c>
    </row>
    <row r="3476">
      <c r="A3476" s="4" t="s">
        <v>3507</v>
      </c>
      <c r="B3476" s="5" t="str">
        <f>IFERROR(__xludf.DUMMYFUNCTION("IF(A3476="""","""",INDEX(SPLIT(A3476,"" ""),COUNTA(SPLIT(A3476,"" ""))))"),"Martellago")</f>
        <v>Martellago</v>
      </c>
      <c r="C3476" s="6" t="s">
        <v>3486</v>
      </c>
      <c r="D3476" s="6"/>
      <c r="E3476" s="12" t="s">
        <v>3487</v>
      </c>
    </row>
    <row r="3477">
      <c r="A3477" s="4" t="s">
        <v>3508</v>
      </c>
      <c r="B3477" s="5" t="str">
        <f>IFERROR(__xludf.DUMMYFUNCTION("IF(A3477="""","""",INDEX(SPLIT(A3477,"" ""),COUNTA(SPLIT(A3477,"" ""))))"),"Meolo")</f>
        <v>Meolo</v>
      </c>
      <c r="C3477" s="6" t="s">
        <v>3486</v>
      </c>
      <c r="D3477" s="6"/>
      <c r="E3477" s="12" t="s">
        <v>3487</v>
      </c>
    </row>
    <row r="3478">
      <c r="A3478" s="4" t="s">
        <v>3509</v>
      </c>
      <c r="B3478" s="5" t="str">
        <f>IFERROR(__xludf.DUMMYFUNCTION("IF(A3478="""","""",INDEX(SPLIT(A3478,"" ""),COUNTA(SPLIT(A3478,"" ""))))"),"Mira")</f>
        <v>Mira</v>
      </c>
      <c r="C3478" s="6" t="s">
        <v>3486</v>
      </c>
      <c r="D3478" s="6"/>
      <c r="E3478" s="12" t="s">
        <v>3487</v>
      </c>
    </row>
    <row r="3479">
      <c r="A3479" s="4" t="s">
        <v>3510</v>
      </c>
      <c r="B3479" s="5" t="str">
        <f>IFERROR(__xludf.DUMMYFUNCTION("IF(A3479="""","""",INDEX(SPLIT(A3479,"" ""),COUNTA(SPLIT(A3479,"" ""))))"),"Mirano")</f>
        <v>Mirano</v>
      </c>
      <c r="C3479" s="6" t="s">
        <v>3486</v>
      </c>
      <c r="D3479" s="6"/>
      <c r="E3479" s="12" t="s">
        <v>3487</v>
      </c>
    </row>
    <row r="3480">
      <c r="A3480" s="4" t="s">
        <v>3511</v>
      </c>
      <c r="B3480" s="5" t="str">
        <f>IFERROR(__xludf.DUMMYFUNCTION("IF(A3480="""","""",INDEX(SPLIT(A3480,"" ""),COUNTA(SPLIT(A3480,"" ""))))"),"Piave")</f>
        <v>Piave</v>
      </c>
      <c r="C3480" s="6" t="s">
        <v>3486</v>
      </c>
      <c r="D3480" s="6"/>
      <c r="E3480" s="12" t="s">
        <v>3487</v>
      </c>
    </row>
    <row r="3481">
      <c r="A3481" s="4" t="s">
        <v>3512</v>
      </c>
      <c r="B3481" s="5" t="str">
        <f>IFERROR(__xludf.DUMMYFUNCTION("IF(A3481="""","""",INDEX(SPLIT(A3481,"" ""),COUNTA(SPLIT(A3481,"" ""))))"),"Noale")</f>
        <v>Noale</v>
      </c>
      <c r="C3481" s="6" t="s">
        <v>3486</v>
      </c>
      <c r="D3481" s="6"/>
      <c r="E3481" s="12" t="s">
        <v>3487</v>
      </c>
    </row>
    <row r="3482">
      <c r="A3482" s="4" t="s">
        <v>3513</v>
      </c>
      <c r="B3482" s="5" t="str">
        <f>IFERROR(__xludf.DUMMYFUNCTION("IF(A3482="""","""",INDEX(SPLIT(A3482,"" ""),COUNTA(SPLIT(A3482,"" ""))))"),"Piave")</f>
        <v>Piave</v>
      </c>
      <c r="C3482" s="6" t="s">
        <v>3486</v>
      </c>
      <c r="D3482" s="6"/>
      <c r="E3482" s="12" t="s">
        <v>3487</v>
      </c>
    </row>
    <row r="3483">
      <c r="A3483" s="4" t="s">
        <v>3514</v>
      </c>
      <c r="B3483" s="5" t="str">
        <f>IFERROR(__xludf.DUMMYFUNCTION("IF(A3483="""","""",INDEX(SPLIT(A3483,"" ""),COUNTA(SPLIT(A3483,"" ""))))"),"Pianiga")</f>
        <v>Pianiga</v>
      </c>
      <c r="C3483" s="6" t="s">
        <v>3486</v>
      </c>
      <c r="D3483" s="6"/>
      <c r="E3483" s="12" t="s">
        <v>3487</v>
      </c>
    </row>
    <row r="3484">
      <c r="A3484" s="4" t="s">
        <v>3515</v>
      </c>
      <c r="B3484" s="5" t="str">
        <f>IFERROR(__xludf.DUMMYFUNCTION("IF(A3484="""","""",INDEX(SPLIT(A3484,"" ""),COUNTA(SPLIT(A3484,"" ""))))"),"Portogruaro")</f>
        <v>Portogruaro</v>
      </c>
      <c r="C3484" s="6" t="s">
        <v>3486</v>
      </c>
      <c r="D3484" s="6"/>
      <c r="E3484" s="12" t="s">
        <v>3487</v>
      </c>
    </row>
    <row r="3485">
      <c r="A3485" s="4" t="s">
        <v>3516</v>
      </c>
      <c r="B3485" s="5" t="str">
        <f>IFERROR(__xludf.DUMMYFUNCTION("IF(A3485="""","""",INDEX(SPLIT(A3485,"" ""),COUNTA(SPLIT(A3485,"" ""))))"),"Pramaggiore")</f>
        <v>Pramaggiore</v>
      </c>
      <c r="C3485" s="6" t="s">
        <v>3486</v>
      </c>
      <c r="D3485" s="6"/>
      <c r="E3485" s="12" t="s">
        <v>3487</v>
      </c>
    </row>
    <row r="3486">
      <c r="A3486" s="4" t="s">
        <v>3517</v>
      </c>
      <c r="B3486" s="5" t="str">
        <f>IFERROR(__xludf.DUMMYFUNCTION("IF(A3486="""","""",INDEX(SPLIT(A3486,"" ""),COUNTA(SPLIT(A3486,"" ""))))"),"d'Altino")</f>
        <v>d'Altino</v>
      </c>
      <c r="C3486" s="6" t="s">
        <v>3486</v>
      </c>
      <c r="D3486" s="6"/>
      <c r="E3486" s="12" t="s">
        <v>3487</v>
      </c>
    </row>
    <row r="3487">
      <c r="A3487" s="4" t="s">
        <v>3518</v>
      </c>
      <c r="B3487" s="5" t="str">
        <f>IFERROR(__xludf.DUMMYFUNCTION("IF(A3487="""","""",INDEX(SPLIT(A3487,"" ""),COUNTA(SPLIT(A3487,"" ""))))"),"Salzano")</f>
        <v>Salzano</v>
      </c>
      <c r="C3487" s="6" t="s">
        <v>3486</v>
      </c>
      <c r="D3487" s="6"/>
      <c r="E3487" s="12" t="s">
        <v>3487</v>
      </c>
    </row>
    <row r="3488">
      <c r="A3488" s="4" t="s">
        <v>3519</v>
      </c>
      <c r="B3488" s="5" t="str">
        <f>IFERROR(__xludf.DUMMYFUNCTION("IF(A3488="""","""",INDEX(SPLIT(A3488,"" ""),COUNTA(SPLIT(A3488,"" ""))))"),"Piave")</f>
        <v>Piave</v>
      </c>
      <c r="C3488" s="6" t="s">
        <v>3486</v>
      </c>
      <c r="D3488" s="6"/>
      <c r="E3488" s="12" t="s">
        <v>3487</v>
      </c>
    </row>
    <row r="3489">
      <c r="A3489" s="4" t="s">
        <v>3520</v>
      </c>
      <c r="B3489" s="5" t="str">
        <f>IFERROR(__xludf.DUMMYFUNCTION("IF(A3489="""","""",INDEX(SPLIT(A3489,"" ""),COUNTA(SPLIT(A3489,"" ""))))"),"Tagliamento")</f>
        <v>Tagliamento</v>
      </c>
      <c r="C3489" s="6" t="s">
        <v>3486</v>
      </c>
      <c r="D3489" s="6"/>
      <c r="E3489" s="12" t="s">
        <v>3487</v>
      </c>
    </row>
    <row r="3490">
      <c r="A3490" s="4" t="s">
        <v>3521</v>
      </c>
      <c r="B3490" s="5" t="str">
        <f>IFERROR(__xludf.DUMMYFUNCTION("IF(A3490="""","""",INDEX(SPLIT(A3490,"" ""),COUNTA(SPLIT(A3490,"" ""))))"),"Sala")</f>
        <v>Sala</v>
      </c>
      <c r="C3490" s="6" t="s">
        <v>3486</v>
      </c>
      <c r="D3490" s="6"/>
      <c r="E3490" s="12" t="s">
        <v>3487</v>
      </c>
    </row>
    <row r="3491">
      <c r="A3491" s="4" t="s">
        <v>3522</v>
      </c>
      <c r="B3491" s="5" t="str">
        <f>IFERROR(__xludf.DUMMYFUNCTION("IF(A3491="""","""",INDEX(SPLIT(A3491,"" ""),COUNTA(SPLIT(A3491,"" ""))))"),"Livenza")</f>
        <v>Livenza</v>
      </c>
      <c r="C3491" s="6" t="s">
        <v>3486</v>
      </c>
      <c r="D3491" s="6"/>
      <c r="E3491" s="12" t="s">
        <v>3487</v>
      </c>
    </row>
    <row r="3492">
      <c r="A3492" s="4" t="s">
        <v>3523</v>
      </c>
      <c r="B3492" s="5" t="str">
        <f>IFERROR(__xludf.DUMMYFUNCTION("IF(A3492="""","""",INDEX(SPLIT(A3492,"" ""),COUNTA(SPLIT(A3492,"" ""))))"),"Scorzè")</f>
        <v>Scorzè</v>
      </c>
      <c r="C3492" s="6" t="s">
        <v>3486</v>
      </c>
      <c r="D3492" s="6"/>
      <c r="E3492" s="12" t="s">
        <v>3487</v>
      </c>
    </row>
    <row r="3493">
      <c r="A3493" s="4" t="s">
        <v>3524</v>
      </c>
      <c r="B3493" s="5" t="str">
        <f>IFERROR(__xludf.DUMMYFUNCTION("IF(A3493="""","""",INDEX(SPLIT(A3493,"" ""),COUNTA(SPLIT(A3493,"" ""))))"),"Spinea")</f>
        <v>Spinea</v>
      </c>
      <c r="C3493" s="6" t="s">
        <v>3486</v>
      </c>
      <c r="D3493" s="6"/>
      <c r="E3493" s="12" t="s">
        <v>3487</v>
      </c>
    </row>
    <row r="3494">
      <c r="A3494" s="4" t="s">
        <v>3525</v>
      </c>
      <c r="B3494" s="5" t="str">
        <f>IFERROR(__xludf.DUMMYFUNCTION("IF(A3494="""","""",INDEX(SPLIT(A3494,"" ""),COUNTA(SPLIT(A3494,"" ""))))"),"Stra")</f>
        <v>Stra</v>
      </c>
      <c r="C3494" s="6" t="s">
        <v>3486</v>
      </c>
      <c r="D3494" s="6"/>
      <c r="E3494" s="12" t="s">
        <v>3487</v>
      </c>
    </row>
    <row r="3495">
      <c r="A3495" s="4" t="s">
        <v>3526</v>
      </c>
      <c r="B3495" s="5" t="str">
        <f>IFERROR(__xludf.DUMMYFUNCTION("IF(A3495="""","""",INDEX(SPLIT(A3495,"" ""),COUNTA(SPLIT(A3495,"" ""))))"),"Veneto")</f>
        <v>Veneto</v>
      </c>
      <c r="C3495" s="6" t="s">
        <v>3486</v>
      </c>
      <c r="D3495" s="6"/>
      <c r="E3495" s="12" t="s">
        <v>3487</v>
      </c>
    </row>
    <row r="3496">
      <c r="A3496" s="4" t="s">
        <v>3527</v>
      </c>
      <c r="B3496" s="5" t="str">
        <f>IFERROR(__xludf.DUMMYFUNCTION("IF(A3496="""","""",INDEX(SPLIT(A3496,"" ""),COUNTA(SPLIT(A3496,"" ""))))"),"Mosto")</f>
        <v>Mosto</v>
      </c>
      <c r="C3496" s="6" t="s">
        <v>3486</v>
      </c>
      <c r="D3496" s="6"/>
      <c r="E3496" s="12" t="s">
        <v>3487</v>
      </c>
    </row>
    <row r="3497">
      <c r="A3497" s="4" t="s">
        <v>3486</v>
      </c>
      <c r="B3497" s="5" t="str">
        <f>IFERROR(__xludf.DUMMYFUNCTION("IF(A3497="""","""",INDEX(SPLIT(A3497,"" ""),COUNTA(SPLIT(A3497,"" ""))))"),"Venezia")</f>
        <v>Venezia</v>
      </c>
      <c r="C3497" s="6" t="s">
        <v>3486</v>
      </c>
      <c r="D3497" s="6"/>
      <c r="E3497" s="12" t="s">
        <v>3487</v>
      </c>
    </row>
    <row r="3498">
      <c r="A3498" s="4" t="s">
        <v>3528</v>
      </c>
      <c r="B3498" s="5" t="str">
        <f>IFERROR(__xludf.DUMMYFUNCTION("IF(A3498="""","""",INDEX(SPLIT(A3498,"" ""),COUNTA(SPLIT(A3498,"" ""))))"),"Vigonovo")</f>
        <v>Vigonovo</v>
      </c>
      <c r="C3498" s="6" t="s">
        <v>3486</v>
      </c>
      <c r="D3498" s="6"/>
      <c r="E3498" s="12" t="s">
        <v>3487</v>
      </c>
    </row>
    <row r="3499">
      <c r="A3499" s="4" t="s">
        <v>3529</v>
      </c>
      <c r="B3499" s="5" t="str">
        <f>IFERROR(__xludf.DUMMYFUNCTION("IF(A3499="""","""",INDEX(SPLIT(A3499,"" ""),COUNTA(SPLIT(A3499,"" ""))))"),"CavallinoTreporti")</f>
        <v>CavallinoTreporti</v>
      </c>
      <c r="C3499" s="6" t="s">
        <v>3486</v>
      </c>
      <c r="D3499" s="6"/>
      <c r="E3499" s="12" t="s">
        <v>3487</v>
      </c>
    </row>
    <row r="3500">
      <c r="A3500" s="4" t="s">
        <v>3530</v>
      </c>
      <c r="B3500" s="5" t="str">
        <f>IFERROR(__xludf.DUMMYFUNCTION("IF(A3500="""","""",INDEX(SPLIT(A3500,"" ""),COUNTA(SPLIT(A3500,"" ""))))"),"Terme")</f>
        <v>Terme</v>
      </c>
      <c r="C3500" s="6"/>
      <c r="D3500" s="6" t="s">
        <v>3531</v>
      </c>
      <c r="E3500" s="12" t="s">
        <v>3532</v>
      </c>
    </row>
    <row r="3501">
      <c r="A3501" s="4" t="s">
        <v>3533</v>
      </c>
      <c r="B3501" s="5" t="str">
        <f>IFERROR(__xludf.DUMMYFUNCTION("IF(A3501="""","""",INDEX(SPLIT(A3501,"" ""),COUNTA(SPLIT(A3501,"" ""))))"),"Agna")</f>
        <v>Agna</v>
      </c>
      <c r="C3501" s="6"/>
      <c r="D3501" s="6" t="s">
        <v>3531</v>
      </c>
      <c r="E3501" s="12" t="s">
        <v>3532</v>
      </c>
    </row>
    <row r="3502">
      <c r="A3502" s="4" t="s">
        <v>3534</v>
      </c>
      <c r="B3502" s="5" t="str">
        <f>IFERROR(__xludf.DUMMYFUNCTION("IF(A3502="""","""",INDEX(SPLIT(A3502,"" ""),COUNTA(SPLIT(A3502,"" ""))))"),"Albignasego")</f>
        <v>Albignasego</v>
      </c>
      <c r="C3502" s="6"/>
      <c r="D3502" s="6" t="s">
        <v>3531</v>
      </c>
      <c r="E3502" s="12" t="s">
        <v>3532</v>
      </c>
    </row>
    <row r="3503">
      <c r="A3503" s="4" t="s">
        <v>3535</v>
      </c>
      <c r="B3503" s="5" t="str">
        <f>IFERROR(__xludf.DUMMYFUNCTION("IF(A3503="""","""",INDEX(SPLIT(A3503,"" ""),COUNTA(SPLIT(A3503,"" ""))))"),"Veneta")</f>
        <v>Veneta</v>
      </c>
      <c r="C3503" s="6"/>
      <c r="D3503" s="6" t="s">
        <v>3531</v>
      </c>
      <c r="E3503" s="12" t="s">
        <v>3532</v>
      </c>
    </row>
    <row r="3504">
      <c r="A3504" s="4" t="s">
        <v>3536</v>
      </c>
      <c r="B3504" s="5" t="str">
        <f>IFERROR(__xludf.DUMMYFUNCTION("IF(A3504="""","""",INDEX(SPLIT(A3504,"" ""),COUNTA(SPLIT(A3504,"" ""))))"),"Petrarca")</f>
        <v>Petrarca</v>
      </c>
      <c r="C3504" s="6"/>
      <c r="D3504" s="6" t="s">
        <v>3531</v>
      </c>
      <c r="E3504" s="12" t="s">
        <v>3532</v>
      </c>
    </row>
    <row r="3505">
      <c r="A3505" s="4" t="s">
        <v>3537</v>
      </c>
      <c r="B3505" s="5" t="str">
        <f>IFERROR(__xludf.DUMMYFUNCTION("IF(A3505="""","""",INDEX(SPLIT(A3505,"" ""),COUNTA(SPLIT(A3505,"" ""))))"),"Arre")</f>
        <v>Arre</v>
      </c>
      <c r="C3505" s="6"/>
      <c r="D3505" s="6" t="s">
        <v>3531</v>
      </c>
      <c r="E3505" s="12" t="s">
        <v>3532</v>
      </c>
    </row>
    <row r="3506">
      <c r="A3506" s="4" t="s">
        <v>3538</v>
      </c>
      <c r="B3506" s="5" t="str">
        <f>IFERROR(__xludf.DUMMYFUNCTION("IF(A3506="""","""",INDEX(SPLIT(A3506,"" ""),COUNTA(SPLIT(A3506,"" ""))))"),"Arzergrande")</f>
        <v>Arzergrande</v>
      </c>
      <c r="C3506" s="6"/>
      <c r="D3506" s="6" t="s">
        <v>3531</v>
      </c>
      <c r="E3506" s="12" t="s">
        <v>3532</v>
      </c>
    </row>
    <row r="3507">
      <c r="A3507" s="4" t="s">
        <v>3539</v>
      </c>
      <c r="B3507" s="5" t="str">
        <f>IFERROR(__xludf.DUMMYFUNCTION("IF(A3507="""","""",INDEX(SPLIT(A3507,"" ""),COUNTA(SPLIT(A3507,"" ""))))"),"Sopra")</f>
        <v>Sopra</v>
      </c>
      <c r="C3507" s="6"/>
      <c r="D3507" s="6" t="s">
        <v>3531</v>
      </c>
      <c r="E3507" s="12" t="s">
        <v>3532</v>
      </c>
    </row>
    <row r="3508">
      <c r="A3508" s="4" t="s">
        <v>3540</v>
      </c>
      <c r="B3508" s="5" t="str">
        <f>IFERROR(__xludf.DUMMYFUNCTION("IF(A3508="""","""",INDEX(SPLIT(A3508,"" ""),COUNTA(SPLIT(A3508,"" ""))))"),"Baone")</f>
        <v>Baone</v>
      </c>
      <c r="C3508" s="6"/>
      <c r="D3508" s="6" t="s">
        <v>3531</v>
      </c>
      <c r="E3508" s="12" t="s">
        <v>3532</v>
      </c>
    </row>
    <row r="3509">
      <c r="A3509" s="4" t="s">
        <v>3541</v>
      </c>
      <c r="B3509" s="5" t="str">
        <f>IFERROR(__xludf.DUMMYFUNCTION("IF(A3509="""","""",INDEX(SPLIT(A3509,"" ""),COUNTA(SPLIT(A3509,"" ""))))"),"Barbona")</f>
        <v>Barbona</v>
      </c>
      <c r="C3509" s="6"/>
      <c r="D3509" s="6" t="s">
        <v>3531</v>
      </c>
      <c r="E3509" s="12" t="s">
        <v>3532</v>
      </c>
    </row>
    <row r="3510">
      <c r="A3510" s="4" t="s">
        <v>3542</v>
      </c>
      <c r="B3510" s="5" t="str">
        <f>IFERROR(__xludf.DUMMYFUNCTION("IF(A3510="""","""",INDEX(SPLIT(A3510,"" ""),COUNTA(SPLIT(A3510,"" ""))))"),"Terme")</f>
        <v>Terme</v>
      </c>
      <c r="C3510" s="6"/>
      <c r="D3510" s="6" t="s">
        <v>3531</v>
      </c>
      <c r="E3510" s="12" t="s">
        <v>3532</v>
      </c>
    </row>
    <row r="3511">
      <c r="A3511" s="4" t="s">
        <v>3543</v>
      </c>
      <c r="B3511" s="5" t="str">
        <f>IFERROR(__xludf.DUMMYFUNCTION("IF(A3511="""","""",INDEX(SPLIT(A3511,"" ""),COUNTA(SPLIT(A3511,"" ""))))"),"Pisani")</f>
        <v>Pisani</v>
      </c>
      <c r="C3511" s="6"/>
      <c r="D3511" s="6" t="s">
        <v>3531</v>
      </c>
      <c r="E3511" s="12" t="s">
        <v>3532</v>
      </c>
    </row>
    <row r="3512">
      <c r="A3512" s="4" t="s">
        <v>3544</v>
      </c>
      <c r="B3512" s="5" t="str">
        <f>IFERROR(__xludf.DUMMYFUNCTION("IF(A3512="""","""",INDEX(SPLIT(A3512,"" ""),COUNTA(SPLIT(A3512,"" ""))))"),"Borgoricco")</f>
        <v>Borgoricco</v>
      </c>
      <c r="C3512" s="6"/>
      <c r="D3512" s="6" t="s">
        <v>3531</v>
      </c>
      <c r="E3512" s="12" t="s">
        <v>3532</v>
      </c>
    </row>
    <row r="3513">
      <c r="A3513" s="4" t="s">
        <v>3545</v>
      </c>
      <c r="B3513" s="5" t="str">
        <f>IFERROR(__xludf.DUMMYFUNCTION("IF(A3513="""","""",INDEX(SPLIT(A3513,"" ""),COUNTA(SPLIT(A3513,"" ""))))"),"Bovolenta")</f>
        <v>Bovolenta</v>
      </c>
      <c r="C3513" s="6"/>
      <c r="D3513" s="6" t="s">
        <v>3531</v>
      </c>
      <c r="E3513" s="12" t="s">
        <v>3532</v>
      </c>
    </row>
    <row r="3514">
      <c r="A3514" s="4" t="s">
        <v>3546</v>
      </c>
      <c r="B3514" s="5" t="str">
        <f>IFERROR(__xludf.DUMMYFUNCTION("IF(A3514="""","""",INDEX(SPLIT(A3514,"" ""),COUNTA(SPLIT(A3514,"" ""))))"),"Brugine")</f>
        <v>Brugine</v>
      </c>
      <c r="C3514" s="6"/>
      <c r="D3514" s="6" t="s">
        <v>3531</v>
      </c>
      <c r="E3514" s="12" t="s">
        <v>3532</v>
      </c>
    </row>
    <row r="3515">
      <c r="A3515" s="4" t="s">
        <v>3547</v>
      </c>
      <c r="B3515" s="5" t="str">
        <f>IFERROR(__xludf.DUMMYFUNCTION("IF(A3515="""","""",INDEX(SPLIT(A3515,"" ""),COUNTA(SPLIT(A3515,"" ""))))"),"Cadoneghe")</f>
        <v>Cadoneghe</v>
      </c>
      <c r="C3515" s="6"/>
      <c r="D3515" s="6" t="s">
        <v>3531</v>
      </c>
      <c r="E3515" s="12" t="s">
        <v>3532</v>
      </c>
    </row>
    <row r="3516">
      <c r="A3516" s="4" t="s">
        <v>3548</v>
      </c>
      <c r="B3516" s="5" t="str">
        <f>IFERROR(__xludf.DUMMYFUNCTION("IF(A3516="""","""",INDEX(SPLIT(A3516,"" ""),COUNTA(SPLIT(A3516,"" ""))))"),"Campodarsego")</f>
        <v>Campodarsego</v>
      </c>
      <c r="C3516" s="6"/>
      <c r="D3516" s="6" t="s">
        <v>3531</v>
      </c>
      <c r="E3516" s="12" t="s">
        <v>3532</v>
      </c>
    </row>
    <row r="3517">
      <c r="A3517" s="4" t="s">
        <v>3549</v>
      </c>
      <c r="B3517" s="5" t="str">
        <f>IFERROR(__xludf.DUMMYFUNCTION("IF(A3517="""","""",INDEX(SPLIT(A3517,"" ""),COUNTA(SPLIT(A3517,"" ""))))"),"Campodoro")</f>
        <v>Campodoro</v>
      </c>
      <c r="C3517" s="6"/>
      <c r="D3517" s="6" t="s">
        <v>3531</v>
      </c>
      <c r="E3517" s="12" t="s">
        <v>3532</v>
      </c>
    </row>
    <row r="3518">
      <c r="A3518" s="4" t="s">
        <v>3550</v>
      </c>
      <c r="B3518" s="5" t="str">
        <f>IFERROR(__xludf.DUMMYFUNCTION("IF(A3518="""","""",INDEX(SPLIT(A3518,"" ""),COUNTA(SPLIT(A3518,"" ""))))"),"Camposampiero")</f>
        <v>Camposampiero</v>
      </c>
      <c r="C3518" s="6"/>
      <c r="D3518" s="6" t="s">
        <v>3531</v>
      </c>
      <c r="E3518" s="12" t="s">
        <v>3532</v>
      </c>
    </row>
    <row r="3519">
      <c r="A3519" s="4" t="s">
        <v>3551</v>
      </c>
      <c r="B3519" s="5" t="str">
        <f>IFERROR(__xludf.DUMMYFUNCTION("IF(A3519="""","""",INDEX(SPLIT(A3519,"" ""),COUNTA(SPLIT(A3519,"" ""))))"),"Martino")</f>
        <v>Martino</v>
      </c>
      <c r="C3519" s="6"/>
      <c r="D3519" s="6" t="s">
        <v>3531</v>
      </c>
      <c r="E3519" s="12" t="s">
        <v>3532</v>
      </c>
    </row>
    <row r="3520">
      <c r="A3520" s="4" t="s">
        <v>3552</v>
      </c>
      <c r="B3520" s="5" t="str">
        <f>IFERROR(__xludf.DUMMYFUNCTION("IF(A3520="""","""",INDEX(SPLIT(A3520,"" ""),COUNTA(SPLIT(A3520,"" ""))))"),"Candiana")</f>
        <v>Candiana</v>
      </c>
      <c r="C3520" s="6"/>
      <c r="D3520" s="6" t="s">
        <v>3531</v>
      </c>
      <c r="E3520" s="12" t="s">
        <v>3532</v>
      </c>
    </row>
    <row r="3521">
      <c r="A3521" s="4" t="s">
        <v>3553</v>
      </c>
      <c r="B3521" s="5" t="str">
        <f>IFERROR(__xludf.DUMMYFUNCTION("IF(A3521="""","""",INDEX(SPLIT(A3521,"" ""),COUNTA(SPLIT(A3521,"" ""))))"),"Carceri")</f>
        <v>Carceri</v>
      </c>
      <c r="C3521" s="6"/>
      <c r="D3521" s="6" t="s">
        <v>3531</v>
      </c>
      <c r="E3521" s="12" t="s">
        <v>3532</v>
      </c>
    </row>
    <row r="3522">
      <c r="A3522" s="4" t="s">
        <v>3554</v>
      </c>
      <c r="B3522" s="5" t="str">
        <f>IFERROR(__xludf.DUMMYFUNCTION("IF(A3522="""","""",INDEX(SPLIT(A3522,"" ""),COUNTA(SPLIT(A3522,"" ""))))"),"Brenta")</f>
        <v>Brenta</v>
      </c>
      <c r="C3522" s="6"/>
      <c r="D3522" s="6" t="s">
        <v>3531</v>
      </c>
      <c r="E3522" s="12" t="s">
        <v>3532</v>
      </c>
    </row>
    <row r="3523">
      <c r="A3523" s="4" t="s">
        <v>3555</v>
      </c>
      <c r="B3523" s="5" t="str">
        <f>IFERROR(__xludf.DUMMYFUNCTION("IF(A3523="""","""",INDEX(SPLIT(A3523,"" ""),COUNTA(SPLIT(A3523,"" ""))))"),"Cartura")</f>
        <v>Cartura</v>
      </c>
      <c r="C3523" s="6"/>
      <c r="D3523" s="6" t="s">
        <v>3531</v>
      </c>
      <c r="E3523" s="12" t="s">
        <v>3532</v>
      </c>
    </row>
    <row r="3524">
      <c r="A3524" s="4" t="s">
        <v>3556</v>
      </c>
      <c r="B3524" s="5" t="str">
        <f>IFERROR(__xludf.DUMMYFUNCTION("IF(A3524="""","""",INDEX(SPLIT(A3524,"" ""),COUNTA(SPLIT(A3524,"" ""))))"),"Scodosia")</f>
        <v>Scodosia</v>
      </c>
      <c r="C3524" s="6"/>
      <c r="D3524" s="6" t="s">
        <v>3531</v>
      </c>
      <c r="E3524" s="12" t="s">
        <v>3532</v>
      </c>
    </row>
    <row r="3525">
      <c r="A3525" s="4" t="s">
        <v>3557</v>
      </c>
      <c r="B3525" s="5" t="str">
        <f>IFERROR(__xludf.DUMMYFUNCTION("IF(A3525="""","""",INDEX(SPLIT(A3525,"" ""),COUNTA(SPLIT(A3525,"" ""))))"),"Casalserugo")</f>
        <v>Casalserugo</v>
      </c>
      <c r="C3525" s="6"/>
      <c r="D3525" s="6" t="s">
        <v>3531</v>
      </c>
      <c r="E3525" s="12" t="s">
        <v>3532</v>
      </c>
    </row>
    <row r="3526">
      <c r="A3526" s="4" t="s">
        <v>3558</v>
      </c>
      <c r="B3526" s="5" t="str">
        <f>IFERROR(__xludf.DUMMYFUNCTION("IF(A3526="""","""",INDEX(SPLIT(A3526,"" ""),COUNTA(SPLIT(A3526,"" ""))))"),"Castelbaldo")</f>
        <v>Castelbaldo</v>
      </c>
      <c r="C3526" s="6"/>
      <c r="D3526" s="6" t="s">
        <v>3531</v>
      </c>
      <c r="E3526" s="12" t="s">
        <v>3532</v>
      </c>
    </row>
    <row r="3527">
      <c r="A3527" s="4" t="s">
        <v>3559</v>
      </c>
      <c r="B3527" s="5" t="str">
        <f>IFERROR(__xludf.DUMMYFUNCTION("IF(A3527="""","""",INDEX(SPLIT(A3527,"" ""),COUNTA(SPLIT(A3527,"" ""))))"),"Croce")</f>
        <v>Croce</v>
      </c>
      <c r="C3527" s="6"/>
      <c r="D3527" s="6" t="s">
        <v>3531</v>
      </c>
      <c r="E3527" s="12" t="s">
        <v>3532</v>
      </c>
    </row>
    <row r="3528">
      <c r="A3528" s="4" t="s">
        <v>3560</v>
      </c>
      <c r="B3528" s="5" t="str">
        <f>IFERROR(__xludf.DUMMYFUNCTION("IF(A3528="""","""",INDEX(SPLIT(A3528,"" ""),COUNTA(SPLIT(A3528,"" ""))))"),"Euganeo")</f>
        <v>Euganeo</v>
      </c>
      <c r="C3528" s="6"/>
      <c r="D3528" s="6" t="s">
        <v>3531</v>
      </c>
      <c r="E3528" s="12" t="s">
        <v>3532</v>
      </c>
    </row>
    <row r="3529">
      <c r="A3529" s="4" t="s">
        <v>3561</v>
      </c>
      <c r="B3529" s="5" t="str">
        <f>IFERROR(__xludf.DUMMYFUNCTION("IF(A3529="""","""",INDEX(SPLIT(A3529,"" ""),COUNTA(SPLIT(A3529,"" ""))))"),"Cittadella")</f>
        <v>Cittadella</v>
      </c>
      <c r="C3529" s="6"/>
      <c r="D3529" s="6" t="s">
        <v>3531</v>
      </c>
      <c r="E3529" s="12" t="s">
        <v>3532</v>
      </c>
    </row>
    <row r="3530">
      <c r="A3530" s="4" t="s">
        <v>3562</v>
      </c>
      <c r="B3530" s="5" t="str">
        <f>IFERROR(__xludf.DUMMYFUNCTION("IF(A3530="""","""",INDEX(SPLIT(A3530,"" ""),COUNTA(SPLIT(A3530,"" ""))))"),"Codevigo")</f>
        <v>Codevigo</v>
      </c>
      <c r="C3530" s="6"/>
      <c r="D3530" s="6" t="s">
        <v>3531</v>
      </c>
      <c r="E3530" s="12" t="s">
        <v>3532</v>
      </c>
    </row>
    <row r="3531">
      <c r="A3531" s="4" t="s">
        <v>3563</v>
      </c>
      <c r="B3531" s="5" t="str">
        <f>IFERROR(__xludf.DUMMYFUNCTION("IF(A3531="""","""",INDEX(SPLIT(A3531,"" ""),COUNTA(SPLIT(A3531,"" ""))))"),"Conselve")</f>
        <v>Conselve</v>
      </c>
      <c r="C3531" s="6"/>
      <c r="D3531" s="6" t="s">
        <v>3531</v>
      </c>
      <c r="E3531" s="12" t="s">
        <v>3532</v>
      </c>
    </row>
    <row r="3532">
      <c r="A3532" s="4" t="s">
        <v>3564</v>
      </c>
      <c r="B3532" s="5" t="str">
        <f>IFERROR(__xludf.DUMMYFUNCTION("IF(A3532="""","""",INDEX(SPLIT(A3532,"" ""),COUNTA(SPLIT(A3532,"" ""))))"),"Correzzola")</f>
        <v>Correzzola</v>
      </c>
      <c r="C3532" s="6"/>
      <c r="D3532" s="6" t="s">
        <v>3531</v>
      </c>
      <c r="E3532" s="12" t="s">
        <v>3532</v>
      </c>
    </row>
    <row r="3533">
      <c r="A3533" s="4" t="s">
        <v>3565</v>
      </c>
      <c r="B3533" s="5" t="str">
        <f>IFERROR(__xludf.DUMMYFUNCTION("IF(A3533="""","""",INDEX(SPLIT(A3533,"" ""),COUNTA(SPLIT(A3533,"" ""))))"),"Curtarolo")</f>
        <v>Curtarolo</v>
      </c>
      <c r="C3533" s="6"/>
      <c r="D3533" s="6" t="s">
        <v>3531</v>
      </c>
      <c r="E3533" s="12" t="s">
        <v>3532</v>
      </c>
    </row>
    <row r="3534">
      <c r="A3534" s="4" t="s">
        <v>3566</v>
      </c>
      <c r="B3534" s="5" t="str">
        <f>IFERROR(__xludf.DUMMYFUNCTION("IF(A3534="""","""",INDEX(SPLIT(A3534,"" ""),COUNTA(SPLIT(A3534,"" ""))))"),"Este")</f>
        <v>Este</v>
      </c>
      <c r="C3534" s="6"/>
      <c r="D3534" s="6" t="s">
        <v>3531</v>
      </c>
      <c r="E3534" s="12" t="s">
        <v>3532</v>
      </c>
    </row>
    <row r="3535">
      <c r="A3535" s="4" t="s">
        <v>3567</v>
      </c>
      <c r="B3535" s="5" t="str">
        <f>IFERROR(__xludf.DUMMYFUNCTION("IF(A3535="""","""",INDEX(SPLIT(A3535,"" ""),COUNTA(SPLIT(A3535,"" ""))))"),"Fontaniva")</f>
        <v>Fontaniva</v>
      </c>
      <c r="C3535" s="6"/>
      <c r="D3535" s="6" t="s">
        <v>3531</v>
      </c>
      <c r="E3535" s="12" t="s">
        <v>3532</v>
      </c>
    </row>
    <row r="3536">
      <c r="A3536" s="4" t="s">
        <v>3568</v>
      </c>
      <c r="B3536" s="5" t="str">
        <f>IFERROR(__xludf.DUMMYFUNCTION("IF(A3536="""","""",INDEX(SPLIT(A3536,"" ""),COUNTA(SPLIT(A3536,"" ""))))"),"Veneta")</f>
        <v>Veneta</v>
      </c>
      <c r="C3536" s="6"/>
      <c r="D3536" s="6" t="s">
        <v>3531</v>
      </c>
      <c r="E3536" s="12" t="s">
        <v>3532</v>
      </c>
    </row>
    <row r="3537">
      <c r="A3537" s="4" t="s">
        <v>3569</v>
      </c>
      <c r="B3537" s="5" t="str">
        <f>IFERROR(__xludf.DUMMYFUNCTION("IF(A3537="""","""",INDEX(SPLIT(A3537,"" ""),COUNTA(SPLIT(A3537,"" ""))))"),"Terme")</f>
        <v>Terme</v>
      </c>
      <c r="C3537" s="6"/>
      <c r="D3537" s="6" t="s">
        <v>3531</v>
      </c>
      <c r="E3537" s="12" t="s">
        <v>3532</v>
      </c>
    </row>
    <row r="3538">
      <c r="A3538" s="4" t="s">
        <v>3570</v>
      </c>
      <c r="B3538" s="5" t="str">
        <f>IFERROR(__xludf.DUMMYFUNCTION("IF(A3538="""","""",INDEX(SPLIT(A3538,"" ""),COUNTA(SPLIT(A3538,"" ""))))"),"Gazzo")</f>
        <v>Gazzo</v>
      </c>
      <c r="C3538" s="6"/>
      <c r="D3538" s="6" t="s">
        <v>3531</v>
      </c>
      <c r="E3538" s="12" t="s">
        <v>3532</v>
      </c>
    </row>
    <row r="3539">
      <c r="A3539" s="4" t="s">
        <v>3571</v>
      </c>
      <c r="B3539" s="5" t="str">
        <f>IFERROR(__xludf.DUMMYFUNCTION("IF(A3539="""","""",INDEX(SPLIT(A3539,"" ""),COUNTA(SPLIT(A3539,"" ""))))"),"Grantorto")</f>
        <v>Grantorto</v>
      </c>
      <c r="C3539" s="6"/>
      <c r="D3539" s="6" t="s">
        <v>3531</v>
      </c>
      <c r="E3539" s="12" t="s">
        <v>3532</v>
      </c>
    </row>
    <row r="3540">
      <c r="A3540" s="4" t="s">
        <v>3572</v>
      </c>
      <c r="B3540" s="5" t="str">
        <f>IFERROR(__xludf.DUMMYFUNCTION("IF(A3540="""","""",INDEX(SPLIT(A3540,"" ""),COUNTA(SPLIT(A3540,"" ""))))"),"Granze")</f>
        <v>Granze</v>
      </c>
      <c r="C3540" s="6"/>
      <c r="D3540" s="6" t="s">
        <v>3531</v>
      </c>
      <c r="E3540" s="12" t="s">
        <v>3532</v>
      </c>
    </row>
    <row r="3541">
      <c r="A3541" s="4" t="s">
        <v>3573</v>
      </c>
      <c r="B3541" s="5" t="str">
        <f>IFERROR(__xludf.DUMMYFUNCTION("IF(A3541="""","""",INDEX(SPLIT(A3541,"" ""),COUNTA(SPLIT(A3541,"" ""))))"),"Legnaro")</f>
        <v>Legnaro</v>
      </c>
      <c r="C3541" s="6"/>
      <c r="D3541" s="6" t="s">
        <v>3531</v>
      </c>
      <c r="E3541" s="12" t="s">
        <v>3532</v>
      </c>
    </row>
    <row r="3542">
      <c r="A3542" s="4" t="s">
        <v>3574</v>
      </c>
      <c r="B3542" s="5" t="str">
        <f>IFERROR(__xludf.DUMMYFUNCTION("IF(A3542="""","""",INDEX(SPLIT(A3542,"" ""),COUNTA(SPLIT(A3542,"" ""))))"),"Limena")</f>
        <v>Limena</v>
      </c>
      <c r="C3542" s="6"/>
      <c r="D3542" s="6" t="s">
        <v>3531</v>
      </c>
      <c r="E3542" s="12" t="s">
        <v>3532</v>
      </c>
    </row>
    <row r="3543">
      <c r="A3543" s="4" t="s">
        <v>3575</v>
      </c>
      <c r="B3543" s="5" t="str">
        <f>IFERROR(__xludf.DUMMYFUNCTION("IF(A3543="""","""",INDEX(SPLIT(A3543,"" ""),COUNTA(SPLIT(A3543,"" ""))))"),"Loreggia")</f>
        <v>Loreggia</v>
      </c>
      <c r="C3543" s="6"/>
      <c r="D3543" s="6" t="s">
        <v>3531</v>
      </c>
      <c r="E3543" s="12" t="s">
        <v>3532</v>
      </c>
    </row>
    <row r="3544">
      <c r="A3544" s="4" t="s">
        <v>3576</v>
      </c>
      <c r="B3544" s="5" t="str">
        <f>IFERROR(__xludf.DUMMYFUNCTION("IF(A3544="""","""",INDEX(SPLIT(A3544,"" ""),COUNTA(SPLIT(A3544,"" ""))))"),"Atestino")</f>
        <v>Atestino</v>
      </c>
      <c r="C3544" s="6"/>
      <c r="D3544" s="6" t="s">
        <v>3531</v>
      </c>
      <c r="E3544" s="12" t="s">
        <v>3532</v>
      </c>
    </row>
    <row r="3545">
      <c r="A3545" s="4" t="s">
        <v>3577</v>
      </c>
      <c r="B3545" s="5" t="str">
        <f>IFERROR(__xludf.DUMMYFUNCTION("IF(A3545="""","""",INDEX(SPLIT(A3545,"" ""),COUNTA(SPLIT(A3545,"" ""))))"),"Padova")</f>
        <v>Padova</v>
      </c>
      <c r="C3545" s="6"/>
      <c r="D3545" s="6" t="s">
        <v>3531</v>
      </c>
      <c r="E3545" s="12" t="s">
        <v>3532</v>
      </c>
    </row>
    <row r="3546">
      <c r="A3546" s="4" t="s">
        <v>3578</v>
      </c>
      <c r="B3546" s="5" t="str">
        <f>IFERROR(__xludf.DUMMYFUNCTION("IF(A3546="""","""",INDEX(SPLIT(A3546,"" ""),COUNTA(SPLIT(A3546,"" ""))))"),"Masi")</f>
        <v>Masi</v>
      </c>
      <c r="C3546" s="6"/>
      <c r="D3546" s="6" t="s">
        <v>3531</v>
      </c>
      <c r="E3546" s="12" t="s">
        <v>3532</v>
      </c>
    </row>
    <row r="3547">
      <c r="A3547" s="4" t="s">
        <v>3579</v>
      </c>
      <c r="B3547" s="5" t="str">
        <f>IFERROR(__xludf.DUMMYFUNCTION("IF(A3547="""","""",INDEX(SPLIT(A3547,"" ""),COUNTA(SPLIT(A3547,"" ""))))"),"Massanzago")</f>
        <v>Massanzago</v>
      </c>
      <c r="C3547" s="6"/>
      <c r="D3547" s="6" t="s">
        <v>3531</v>
      </c>
      <c r="E3547" s="12" t="s">
        <v>3532</v>
      </c>
    </row>
    <row r="3548">
      <c r="A3548" s="4" t="s">
        <v>3580</v>
      </c>
      <c r="B3548" s="5" t="str">
        <f>IFERROR(__xludf.DUMMYFUNCTION("IF(A3548="""","""",INDEX(SPLIT(A3548,"" ""),COUNTA(SPLIT(A3548,"" ""))))"),"Vitale")</f>
        <v>Vitale</v>
      </c>
      <c r="C3548" s="6"/>
      <c r="D3548" s="6" t="s">
        <v>3531</v>
      </c>
      <c r="E3548" s="12" t="s">
        <v>3532</v>
      </c>
    </row>
    <row r="3549">
      <c r="A3549" s="4" t="s">
        <v>3581</v>
      </c>
      <c r="B3549" s="5" t="str">
        <f>IFERROR(__xludf.DUMMYFUNCTION("IF(A3549="""","""",INDEX(SPLIT(A3549,"" ""),COUNTA(SPLIT(A3549,"" ""))))"),"Merlara")</f>
        <v>Merlara</v>
      </c>
      <c r="C3549" s="6"/>
      <c r="D3549" s="6" t="s">
        <v>3531</v>
      </c>
      <c r="E3549" s="12" t="s">
        <v>3532</v>
      </c>
    </row>
    <row r="3550">
      <c r="A3550" s="4" t="s">
        <v>3582</v>
      </c>
      <c r="B3550" s="5" t="str">
        <f>IFERROR(__xludf.DUMMYFUNCTION("IF(A3550="""","""",INDEX(SPLIT(A3550,"" ""),COUNTA(SPLIT(A3550,"" ""))))"),"Mestrino")</f>
        <v>Mestrino</v>
      </c>
      <c r="C3550" s="6"/>
      <c r="D3550" s="6" t="s">
        <v>3531</v>
      </c>
      <c r="E3550" s="12" t="s">
        <v>3532</v>
      </c>
    </row>
    <row r="3551">
      <c r="A3551" s="4" t="s">
        <v>3583</v>
      </c>
      <c r="B3551" s="5" t="str">
        <f>IFERROR(__xludf.DUMMYFUNCTION("IF(A3551="""","""",INDEX(SPLIT(A3551,"" ""),COUNTA(SPLIT(A3551,"" ""))))"),"Monselice")</f>
        <v>Monselice</v>
      </c>
      <c r="C3551" s="6"/>
      <c r="D3551" s="6" t="s">
        <v>3531</v>
      </c>
      <c r="E3551" s="12" t="s">
        <v>3532</v>
      </c>
    </row>
    <row r="3552">
      <c r="A3552" s="4" t="s">
        <v>3584</v>
      </c>
      <c r="B3552" s="5" t="str">
        <f>IFERROR(__xludf.DUMMYFUNCTION("IF(A3552="""","""",INDEX(SPLIT(A3552,"" ""),COUNTA(SPLIT(A3552,"" ""))))"),"Montagnana")</f>
        <v>Montagnana</v>
      </c>
      <c r="C3552" s="6"/>
      <c r="D3552" s="6" t="s">
        <v>3531</v>
      </c>
      <c r="E3552" s="12" t="s">
        <v>3532</v>
      </c>
    </row>
    <row r="3553">
      <c r="A3553" s="4" t="s">
        <v>3585</v>
      </c>
      <c r="B3553" s="5" t="str">
        <f>IFERROR(__xludf.DUMMYFUNCTION("IF(A3553="""","""",INDEX(SPLIT(A3553,"" ""),COUNTA(SPLIT(A3553,"" ""))))"),"Terme")</f>
        <v>Terme</v>
      </c>
      <c r="C3553" s="6"/>
      <c r="D3553" s="6" t="s">
        <v>3531</v>
      </c>
      <c r="E3553" s="12" t="s">
        <v>3532</v>
      </c>
    </row>
    <row r="3554">
      <c r="A3554" s="4" t="s">
        <v>3586</v>
      </c>
      <c r="B3554" s="5" t="str">
        <f>IFERROR(__xludf.DUMMYFUNCTION("IF(A3554="""","""",INDEX(SPLIT(A3554,"" ""),COUNTA(SPLIT(A3554,"" ""))))"),"Padovana")</f>
        <v>Padovana</v>
      </c>
      <c r="C3554" s="6"/>
      <c r="D3554" s="6" t="s">
        <v>3531</v>
      </c>
      <c r="E3554" s="12" t="s">
        <v>3532</v>
      </c>
    </row>
    <row r="3555">
      <c r="A3555" s="4" t="s">
        <v>3587</v>
      </c>
      <c r="B3555" s="5" t="str">
        <f>IFERROR(__xludf.DUMMYFUNCTION("IF(A3555="""","""",INDEX(SPLIT(A3555,"" ""),COUNTA(SPLIT(A3555,"" ""))))"),"Euganeo")</f>
        <v>Euganeo</v>
      </c>
      <c r="C3555" s="6"/>
      <c r="D3555" s="6" t="s">
        <v>3531</v>
      </c>
      <c r="E3555" s="12" t="s">
        <v>3532</v>
      </c>
    </row>
    <row r="3556">
      <c r="A3556" s="4" t="s">
        <v>3531</v>
      </c>
      <c r="B3556" s="5" t="str">
        <f>IFERROR(__xludf.DUMMYFUNCTION("IF(A3556="""","""",INDEX(SPLIT(A3556,"" ""),COUNTA(SPLIT(A3556,"" ""))))"),"Padova")</f>
        <v>Padova</v>
      </c>
      <c r="C3556" s="6"/>
      <c r="D3556" s="6" t="s">
        <v>3531</v>
      </c>
      <c r="E3556" s="12" t="s">
        <v>3532</v>
      </c>
    </row>
    <row r="3557">
      <c r="A3557" s="4" t="s">
        <v>3588</v>
      </c>
      <c r="B3557" s="5" t="str">
        <f>IFERROR(__xludf.DUMMYFUNCTION("IF(A3557="""","""",INDEX(SPLIT(A3557,"" ""),COUNTA(SPLIT(A3557,"" ""))))"),"Pernumia")</f>
        <v>Pernumia</v>
      </c>
      <c r="C3557" s="6"/>
      <c r="D3557" s="6" t="s">
        <v>3531</v>
      </c>
      <c r="E3557" s="12" t="s">
        <v>3532</v>
      </c>
    </row>
    <row r="3558">
      <c r="A3558" s="4" t="s">
        <v>3589</v>
      </c>
      <c r="B3558" s="5" t="str">
        <f>IFERROR(__xludf.DUMMYFUNCTION("IF(A3558="""","""",INDEX(SPLIT(A3558,"" ""),COUNTA(SPLIT(A3558,"" ""))))"),"d'Adige")</f>
        <v>d'Adige</v>
      </c>
      <c r="C3558" s="6"/>
      <c r="D3558" s="6" t="s">
        <v>3531</v>
      </c>
      <c r="E3558" s="12" t="s">
        <v>3532</v>
      </c>
    </row>
    <row r="3559">
      <c r="A3559" s="4" t="s">
        <v>3590</v>
      </c>
      <c r="B3559" s="5" t="str">
        <f>IFERROR(__xludf.DUMMYFUNCTION("IF(A3559="""","""",INDEX(SPLIT(A3559,"" ""),COUNTA(SPLIT(A3559,"" ""))))"),"Brenta")</f>
        <v>Brenta</v>
      </c>
      <c r="C3559" s="6"/>
      <c r="D3559" s="6" t="s">
        <v>3531</v>
      </c>
      <c r="E3559" s="12" t="s">
        <v>3532</v>
      </c>
    </row>
    <row r="3560">
      <c r="A3560" s="4" t="s">
        <v>3591</v>
      </c>
      <c r="B3560" s="5" t="str">
        <f>IFERROR(__xludf.DUMMYFUNCTION("IF(A3560="""","""",INDEX(SPLIT(A3560,"" ""),COUNTA(SPLIT(A3560,"" ""))))"),"Dese")</f>
        <v>Dese</v>
      </c>
      <c r="C3560" s="6"/>
      <c r="D3560" s="6" t="s">
        <v>3531</v>
      </c>
      <c r="E3560" s="12" t="s">
        <v>3532</v>
      </c>
    </row>
    <row r="3561">
      <c r="A3561" s="4" t="s">
        <v>3592</v>
      </c>
      <c r="B3561" s="5" t="str">
        <f>IFERROR(__xludf.DUMMYFUNCTION("IF(A3561="""","""",INDEX(SPLIT(A3561,"" ""),COUNTA(SPLIT(A3561,"" ""))))"),"Sacco")</f>
        <v>Sacco</v>
      </c>
      <c r="C3561" s="6"/>
      <c r="D3561" s="6" t="s">
        <v>3531</v>
      </c>
      <c r="E3561" s="12" t="s">
        <v>3532</v>
      </c>
    </row>
    <row r="3562">
      <c r="A3562" s="4" t="s">
        <v>3593</v>
      </c>
      <c r="B3562" s="5" t="str">
        <f>IFERROR(__xludf.DUMMYFUNCTION("IF(A3562="""","""",INDEX(SPLIT(A3562,"" ""),COUNTA(SPLIT(A3562,"" ""))))"),"Polverara")</f>
        <v>Polverara</v>
      </c>
      <c r="C3562" s="6"/>
      <c r="D3562" s="6" t="s">
        <v>3531</v>
      </c>
      <c r="E3562" s="12" t="s">
        <v>3532</v>
      </c>
    </row>
    <row r="3563">
      <c r="A3563" s="4" t="s">
        <v>3594</v>
      </c>
      <c r="B3563" s="5" t="str">
        <f>IFERROR(__xludf.DUMMYFUNCTION("IF(A3563="""","""",INDEX(SPLIT(A3563,"" ""),COUNTA(SPLIT(A3563,"" ""))))"),"Ponso")</f>
        <v>Ponso</v>
      </c>
      <c r="C3563" s="6"/>
      <c r="D3563" s="6" t="s">
        <v>3531</v>
      </c>
      <c r="E3563" s="12" t="s">
        <v>3532</v>
      </c>
    </row>
    <row r="3564">
      <c r="A3564" s="4" t="s">
        <v>3595</v>
      </c>
      <c r="B3564" s="5" t="str">
        <f>IFERROR(__xludf.DUMMYFUNCTION("IF(A3564="""","""",INDEX(SPLIT(A3564,"" ""),COUNTA(SPLIT(A3564,"" ""))))"),"Pontelongo")</f>
        <v>Pontelongo</v>
      </c>
      <c r="C3564" s="6"/>
      <c r="D3564" s="6" t="s">
        <v>3531</v>
      </c>
      <c r="E3564" s="12" t="s">
        <v>3532</v>
      </c>
    </row>
    <row r="3565">
      <c r="A3565" s="4" t="s">
        <v>3596</v>
      </c>
      <c r="B3565" s="5" t="str">
        <f>IFERROR(__xludf.DUMMYFUNCTION("IF(A3565="""","""",INDEX(SPLIT(A3565,"" ""),COUNTA(SPLIT(A3565,"" ""))))"),"Nicolò")</f>
        <v>Nicolò</v>
      </c>
      <c r="C3565" s="6"/>
      <c r="D3565" s="6" t="s">
        <v>3531</v>
      </c>
      <c r="E3565" s="12" t="s">
        <v>3532</v>
      </c>
    </row>
    <row r="3566">
      <c r="A3566" s="4" t="s">
        <v>3597</v>
      </c>
      <c r="B3566" s="5" t="str">
        <f>IFERROR(__xludf.DUMMYFUNCTION("IF(A3566="""","""",INDEX(SPLIT(A3566,"" ""),COUNTA(SPLIT(A3566,"" ""))))"),"Pozzonovo")</f>
        <v>Pozzonovo</v>
      </c>
      <c r="C3566" s="6"/>
      <c r="D3566" s="6" t="s">
        <v>3531</v>
      </c>
      <c r="E3566" s="12" t="s">
        <v>3532</v>
      </c>
    </row>
    <row r="3567">
      <c r="A3567" s="4" t="s">
        <v>3598</v>
      </c>
      <c r="B3567" s="5" t="str">
        <f>IFERROR(__xludf.DUMMYFUNCTION("IF(A3567="""","""",INDEX(SPLIT(A3567,"" ""),COUNTA(SPLIT(A3567,"" ""))))"),"Rovolon")</f>
        <v>Rovolon</v>
      </c>
      <c r="C3567" s="6"/>
      <c r="D3567" s="6" t="s">
        <v>3531</v>
      </c>
      <c r="E3567" s="12" t="s">
        <v>3532</v>
      </c>
    </row>
    <row r="3568">
      <c r="A3568" s="4" t="s">
        <v>3599</v>
      </c>
      <c r="B3568" s="5" t="str">
        <f>IFERROR(__xludf.DUMMYFUNCTION("IF(A3568="""","""",INDEX(SPLIT(A3568,"" ""),COUNTA(SPLIT(A3568,"" ""))))"),"Rubano")</f>
        <v>Rubano</v>
      </c>
      <c r="C3568" s="6"/>
      <c r="D3568" s="6" t="s">
        <v>3531</v>
      </c>
      <c r="E3568" s="12" t="s">
        <v>3532</v>
      </c>
    </row>
    <row r="3569">
      <c r="A3569" s="4" t="s">
        <v>3600</v>
      </c>
      <c r="B3569" s="5" t="str">
        <f>IFERROR(__xludf.DUMMYFUNCTION("IF(A3569="""","""",INDEX(SPLIT(A3569,"" ""),COUNTA(SPLIT(A3569,"" ""))))"),"Saccolongo")</f>
        <v>Saccolongo</v>
      </c>
      <c r="C3569" s="6"/>
      <c r="D3569" s="6" t="s">
        <v>3531</v>
      </c>
      <c r="E3569" s="12" t="s">
        <v>3532</v>
      </c>
    </row>
    <row r="3570">
      <c r="A3570" s="4" t="s">
        <v>3601</v>
      </c>
      <c r="B3570" s="5" t="str">
        <f>IFERROR(__xludf.DUMMYFUNCTION("IF(A3570="""","""",INDEX(SPLIT(A3570,"" ""),COUNTA(SPLIT(A3570,"" ""))))"),"Pertiche")</f>
        <v>Pertiche</v>
      </c>
      <c r="C3570" s="6"/>
      <c r="D3570" s="6" t="s">
        <v>3531</v>
      </c>
      <c r="E3570" s="12" t="s">
        <v>3532</v>
      </c>
    </row>
    <row r="3571">
      <c r="A3571" s="4" t="s">
        <v>3602</v>
      </c>
      <c r="B3571" s="5" t="str">
        <f>IFERROR(__xludf.DUMMYFUNCTION("IF(A3571="""","""",INDEX(SPLIT(A3571,"" ""),COUNTA(SPLIT(A3571,"" ""))))"),"Bosco")</f>
        <v>Bosco</v>
      </c>
      <c r="C3571" s="6"/>
      <c r="D3571" s="6" t="s">
        <v>3531</v>
      </c>
      <c r="E3571" s="12" t="s">
        <v>3532</v>
      </c>
    </row>
    <row r="3572">
      <c r="A3572" s="4" t="s">
        <v>3603</v>
      </c>
      <c r="B3572" s="5" t="str">
        <f>IFERROR(__xludf.DUMMYFUNCTION("IF(A3572="""","""",INDEX(SPLIT(A3572,"" ""),COUNTA(SPLIT(A3572,"" ""))))"),"Lupari")</f>
        <v>Lupari</v>
      </c>
      <c r="C3572" s="6"/>
      <c r="D3572" s="6" t="s">
        <v>3531</v>
      </c>
      <c r="E3572" s="12" t="s">
        <v>3532</v>
      </c>
    </row>
    <row r="3573">
      <c r="A3573" s="4" t="s">
        <v>3604</v>
      </c>
      <c r="B3573" s="5" t="str">
        <f>IFERROR(__xludf.DUMMYFUNCTION("IF(A3573="""","""",INDEX(SPLIT(A3573,"" ""),COUNTA(SPLIT(A3573,"" ""))))"),"Gu")</f>
        <v>Gu</v>
      </c>
      <c r="C3573" s="6"/>
      <c r="D3573" s="6" t="s">
        <v>3531</v>
      </c>
      <c r="E3573" s="12" t="s">
        <v>3532</v>
      </c>
    </row>
    <row r="3574">
      <c r="A3574" s="4" t="s">
        <v>3605</v>
      </c>
      <c r="B3574" s="5" t="str">
        <f>IFERROR(__xludf.DUMMYFUNCTION("IF(A3574="""","""",INDEX(SPLIT(A3574,"" ""),COUNTA(SPLIT(A3574,"" ""))))"),"Viminario")</f>
        <v>Viminario</v>
      </c>
      <c r="C3574" s="6"/>
      <c r="D3574" s="6" t="s">
        <v>3531</v>
      </c>
      <c r="E3574" s="12" t="s">
        <v>3532</v>
      </c>
    </row>
    <row r="3575">
      <c r="A3575" s="4" t="s">
        <v>3606</v>
      </c>
      <c r="B3575" s="5" t="str">
        <f>IFERROR(__xludf.DUMMYFUNCTION("IF(A3575="""","""",INDEX(SPLIT(A3575,"" ""),COUNTA(SPLIT(A3575,"" ""))))"),"Colle")</f>
        <v>Colle</v>
      </c>
      <c r="C3575" s="6"/>
      <c r="D3575" s="6" t="s">
        <v>3531</v>
      </c>
      <c r="E3575" s="12" t="s">
        <v>3532</v>
      </c>
    </row>
    <row r="3576">
      <c r="A3576" s="4" t="s">
        <v>3607</v>
      </c>
      <c r="B3576" s="5" t="str">
        <f>IFERROR(__xludf.DUMMYFUNCTION("IF(A3576="""","""",INDEX(SPLIT(A3576,"" ""),COUNTA(SPLIT(A3576,"" ""))))"),"Sacco")</f>
        <v>Sacco</v>
      </c>
      <c r="C3576" s="6"/>
      <c r="D3576" s="6" t="s">
        <v>3531</v>
      </c>
      <c r="E3576" s="12" t="s">
        <v>3532</v>
      </c>
    </row>
    <row r="3577">
      <c r="A3577" s="4" t="s">
        <v>3608</v>
      </c>
      <c r="B3577" s="5" t="str">
        <f>IFERROR(__xludf.DUMMYFUNCTION("IF(A3577="""","""",INDEX(SPLIT(A3577,"" ""),COUNTA(SPLIT(A3577,"" ""))))"),"Sant'Elena")</f>
        <v>Sant'Elena</v>
      </c>
      <c r="C3577" s="6"/>
      <c r="D3577" s="6" t="s">
        <v>3531</v>
      </c>
      <c r="E3577" s="12" t="s">
        <v>3532</v>
      </c>
    </row>
    <row r="3578">
      <c r="A3578" s="4" t="s">
        <v>3609</v>
      </c>
      <c r="B3578" s="5" t="str">
        <f>IFERROR(__xludf.DUMMYFUNCTION("IF(A3578="""","""",INDEX(SPLIT(A3578,"" ""),COUNTA(SPLIT(A3578,"" ""))))"),"Sant'Urbano")</f>
        <v>Sant'Urbano</v>
      </c>
      <c r="C3578" s="6"/>
      <c r="D3578" s="6" t="s">
        <v>3531</v>
      </c>
      <c r="E3578" s="12" t="s">
        <v>3532</v>
      </c>
    </row>
    <row r="3579">
      <c r="A3579" s="4" t="s">
        <v>3610</v>
      </c>
      <c r="B3579" s="5" t="str">
        <f>IFERROR(__xludf.DUMMYFUNCTION("IF(A3579="""","""",INDEX(SPLIT(A3579,"" ""),COUNTA(SPLIT(A3579,"" ""))))"),"Saonara")</f>
        <v>Saonara</v>
      </c>
      <c r="C3579" s="6"/>
      <c r="D3579" s="6" t="s">
        <v>3531</v>
      </c>
      <c r="E3579" s="12" t="s">
        <v>3532</v>
      </c>
    </row>
    <row r="3580">
      <c r="A3580" s="4" t="s">
        <v>3611</v>
      </c>
      <c r="B3580" s="5" t="str">
        <f>IFERROR(__xludf.DUMMYFUNCTION("IF(A3580="""","""",INDEX(SPLIT(A3580,"" ""),COUNTA(SPLIT(A3580,"" ""))))"),"Dentro")</f>
        <v>Dentro</v>
      </c>
      <c r="C3580" s="6"/>
      <c r="D3580" s="6" t="s">
        <v>3531</v>
      </c>
      <c r="E3580" s="12" t="s">
        <v>3532</v>
      </c>
    </row>
    <row r="3581">
      <c r="A3581" s="4" t="s">
        <v>3612</v>
      </c>
      <c r="B3581" s="5" t="str">
        <f>IFERROR(__xludf.DUMMYFUNCTION("IF(A3581="""","""",INDEX(SPLIT(A3581,"" ""),COUNTA(SPLIT(A3581,"" ""))))"),"Solesino")</f>
        <v>Solesino</v>
      </c>
      <c r="C3581" s="6"/>
      <c r="D3581" s="6" t="s">
        <v>3531</v>
      </c>
      <c r="E3581" s="12" t="s">
        <v>3532</v>
      </c>
    </row>
    <row r="3582">
      <c r="A3582" s="4" t="s">
        <v>3613</v>
      </c>
      <c r="B3582" s="5" t="str">
        <f>IFERROR(__xludf.DUMMYFUNCTION("IF(A3582="""","""",INDEX(SPLIT(A3582,"" ""),COUNTA(SPLIT(A3582,"" ""))))"),"Stanghella")</f>
        <v>Stanghella</v>
      </c>
      <c r="C3582" s="6"/>
      <c r="D3582" s="6" t="s">
        <v>3531</v>
      </c>
      <c r="E3582" s="12" t="s">
        <v>3532</v>
      </c>
    </row>
    <row r="3583">
      <c r="A3583" s="4" t="s">
        <v>3614</v>
      </c>
      <c r="B3583" s="5" t="str">
        <f>IFERROR(__xludf.DUMMYFUNCTION("IF(A3583="""","""",INDEX(SPLIT(A3583,"" ""),COUNTA(SPLIT(A3583,"" ""))))"),"Teolo")</f>
        <v>Teolo</v>
      </c>
      <c r="C3583" s="6"/>
      <c r="D3583" s="6" t="s">
        <v>3531</v>
      </c>
      <c r="E3583" s="12" t="s">
        <v>3532</v>
      </c>
    </row>
    <row r="3584">
      <c r="A3584" s="4" t="s">
        <v>3615</v>
      </c>
      <c r="B3584" s="5" t="str">
        <f>IFERROR(__xludf.DUMMYFUNCTION("IF(A3584="""","""",INDEX(SPLIT(A3584,"" ""),COUNTA(SPLIT(A3584,"" ""))))"),"Padovana")</f>
        <v>Padovana</v>
      </c>
      <c r="C3584" s="6"/>
      <c r="D3584" s="6" t="s">
        <v>3531</v>
      </c>
      <c r="E3584" s="12" t="s">
        <v>3532</v>
      </c>
    </row>
    <row r="3585">
      <c r="A3585" s="4" t="s">
        <v>3616</v>
      </c>
      <c r="B3585" s="5" t="str">
        <f>IFERROR(__xludf.DUMMYFUNCTION("IF(A3585="""","""",INDEX(SPLIT(A3585,"" ""),COUNTA(SPLIT(A3585,"" ""))))"),"Tombolo")</f>
        <v>Tombolo</v>
      </c>
      <c r="C3585" s="6"/>
      <c r="D3585" s="6" t="s">
        <v>3531</v>
      </c>
      <c r="E3585" s="12" t="s">
        <v>3532</v>
      </c>
    </row>
    <row r="3586">
      <c r="A3586" s="4" t="s">
        <v>3617</v>
      </c>
      <c r="B3586" s="5" t="str">
        <f>IFERROR(__xludf.DUMMYFUNCTION("IF(A3586="""","""",INDEX(SPLIT(A3586,"" ""),COUNTA(SPLIT(A3586,"" ""))))"),"Torreglia")</f>
        <v>Torreglia</v>
      </c>
      <c r="C3586" s="6"/>
      <c r="D3586" s="6" t="s">
        <v>3531</v>
      </c>
      <c r="E3586" s="12" t="s">
        <v>3532</v>
      </c>
    </row>
    <row r="3587">
      <c r="A3587" s="4" t="s">
        <v>3618</v>
      </c>
      <c r="B3587" s="5" t="str">
        <f>IFERROR(__xludf.DUMMYFUNCTION("IF(A3587="""","""",INDEX(SPLIT(A3587,"" ""),COUNTA(SPLIT(A3587,"" ""))))"),"Trebaseleghe")</f>
        <v>Trebaseleghe</v>
      </c>
      <c r="C3587" s="6"/>
      <c r="D3587" s="6" t="s">
        <v>3531</v>
      </c>
      <c r="E3587" s="12" t="s">
        <v>3532</v>
      </c>
    </row>
    <row r="3588">
      <c r="A3588" s="4" t="s">
        <v>3619</v>
      </c>
      <c r="B3588" s="5" t="str">
        <f>IFERROR(__xludf.DUMMYFUNCTION("IF(A3588="""","""",INDEX(SPLIT(A3588,"" ""),COUNTA(SPLIT(A3588,"" ""))))"),"Tribano")</f>
        <v>Tribano</v>
      </c>
      <c r="C3588" s="6"/>
      <c r="D3588" s="6" t="s">
        <v>3531</v>
      </c>
      <c r="E3588" s="12" t="s">
        <v>3532</v>
      </c>
    </row>
    <row r="3589">
      <c r="A3589" s="4" t="s">
        <v>3620</v>
      </c>
      <c r="B3589" s="5" t="str">
        <f>IFERROR(__xludf.DUMMYFUNCTION("IF(A3589="""","""",INDEX(SPLIT(A3589,"" ""),COUNTA(SPLIT(A3589,"" ""))))"),"Urbana")</f>
        <v>Urbana</v>
      </c>
      <c r="C3589" s="6"/>
      <c r="D3589" s="6" t="s">
        <v>3531</v>
      </c>
      <c r="E3589" s="12" t="s">
        <v>3532</v>
      </c>
    </row>
    <row r="3590">
      <c r="A3590" s="4" t="s">
        <v>3621</v>
      </c>
      <c r="B3590" s="5" t="str">
        <f>IFERROR(__xludf.DUMMYFUNCTION("IF(A3590="""","""",INDEX(SPLIT(A3590,"" ""),COUNTA(SPLIT(A3590,"" ""))))"),"Veggiano")</f>
        <v>Veggiano</v>
      </c>
      <c r="C3590" s="6"/>
      <c r="D3590" s="6" t="s">
        <v>3531</v>
      </c>
      <c r="E3590" s="12" t="s">
        <v>3532</v>
      </c>
    </row>
    <row r="3591">
      <c r="A3591" s="4" t="s">
        <v>3622</v>
      </c>
      <c r="B3591" s="5" t="str">
        <f>IFERROR(__xludf.DUMMYFUNCTION("IF(A3591="""","""",INDEX(SPLIT(A3591,"" ""),COUNTA(SPLIT(A3591,"" ""))))"),"Vescovana")</f>
        <v>Vescovana</v>
      </c>
      <c r="C3591" s="6"/>
      <c r="D3591" s="6" t="s">
        <v>3531</v>
      </c>
      <c r="E3591" s="12" t="s">
        <v>3532</v>
      </c>
    </row>
    <row r="3592">
      <c r="A3592" s="4" t="s">
        <v>3623</v>
      </c>
      <c r="B3592" s="5" t="str">
        <f>IFERROR(__xludf.DUMMYFUNCTION("IF(A3592="""","""",INDEX(SPLIT(A3592,"" ""),COUNTA(SPLIT(A3592,"" ""))))"),"d'Este")</f>
        <v>d'Este</v>
      </c>
      <c r="C3592" s="6"/>
      <c r="D3592" s="6" t="s">
        <v>3531</v>
      </c>
      <c r="E3592" s="12" t="s">
        <v>3532</v>
      </c>
    </row>
    <row r="3593">
      <c r="A3593" s="4" t="s">
        <v>3624</v>
      </c>
      <c r="B3593" s="5" t="str">
        <f>IFERROR(__xludf.DUMMYFUNCTION("IF(A3593="""","""",INDEX(SPLIT(A3593,"" ""),COUNTA(SPLIT(A3593,"" ""))))"),"Vigodarzere")</f>
        <v>Vigodarzere</v>
      </c>
      <c r="C3593" s="6"/>
      <c r="D3593" s="6" t="s">
        <v>3531</v>
      </c>
      <c r="E3593" s="12" t="s">
        <v>3532</v>
      </c>
    </row>
    <row r="3594">
      <c r="A3594" s="4" t="s">
        <v>3625</v>
      </c>
      <c r="B3594" s="5" t="str">
        <f>IFERROR(__xludf.DUMMYFUNCTION("IF(A3594="""","""",INDEX(SPLIT(A3594,"" ""),COUNTA(SPLIT(A3594,"" ""))))"),"Vigonza")</f>
        <v>Vigonza</v>
      </c>
      <c r="C3594" s="6"/>
      <c r="D3594" s="6" t="s">
        <v>3531</v>
      </c>
      <c r="E3594" s="12" t="s">
        <v>3532</v>
      </c>
    </row>
    <row r="3595">
      <c r="A3595" s="4" t="s">
        <v>3626</v>
      </c>
      <c r="B3595" s="5" t="str">
        <f>IFERROR(__xludf.DUMMYFUNCTION("IF(A3595="""","""",INDEX(SPLIT(A3595,"" ""),COUNTA(SPLIT(A3595,"" ""))))"),"Conte")</f>
        <v>Conte</v>
      </c>
      <c r="C3595" s="6"/>
      <c r="D3595" s="6" t="s">
        <v>3531</v>
      </c>
      <c r="E3595" s="12" t="s">
        <v>3532</v>
      </c>
    </row>
    <row r="3596">
      <c r="A3596" s="4" t="s">
        <v>3627</v>
      </c>
      <c r="B3596" s="5" t="str">
        <f>IFERROR(__xludf.DUMMYFUNCTION("IF(A3596="""","""",INDEX(SPLIT(A3596,"" ""),COUNTA(SPLIT(A3596,"" ""))))"),"Estense")</f>
        <v>Estense</v>
      </c>
      <c r="C3596" s="6"/>
      <c r="D3596" s="6" t="s">
        <v>3531</v>
      </c>
      <c r="E3596" s="12" t="s">
        <v>3532</v>
      </c>
    </row>
    <row r="3597">
      <c r="A3597" s="4" t="s">
        <v>3628</v>
      </c>
      <c r="B3597" s="5" t="str">
        <f>IFERROR(__xludf.DUMMYFUNCTION("IF(A3597="""","""",INDEX(SPLIT(A3597,"" ""),COUNTA(SPLIT(A3597,"" ""))))"),"Padovana")</f>
        <v>Padovana</v>
      </c>
      <c r="C3597" s="6"/>
      <c r="D3597" s="6" t="s">
        <v>3531</v>
      </c>
      <c r="E3597" s="12" t="s">
        <v>3532</v>
      </c>
    </row>
    <row r="3598">
      <c r="A3598" s="4" t="s">
        <v>3629</v>
      </c>
      <c r="B3598" s="5" t="str">
        <f>IFERROR(__xludf.DUMMYFUNCTION("IF(A3598="""","""",INDEX(SPLIT(A3598,"" ""),COUNTA(SPLIT(A3598,"" ""))))"),"Camposampiero")</f>
        <v>Camposampiero</v>
      </c>
      <c r="C3598" s="6"/>
      <c r="D3598" s="6" t="s">
        <v>3531</v>
      </c>
      <c r="E3598" s="12" t="s">
        <v>3532</v>
      </c>
    </row>
    <row r="3599">
      <c r="A3599" s="4" t="s">
        <v>3630</v>
      </c>
      <c r="B3599" s="5" t="str">
        <f>IFERROR(__xludf.DUMMYFUNCTION("IF(A3599="""","""",INDEX(SPLIT(A3599,"" ""),COUNTA(SPLIT(A3599,"" ""))))"),"Vo'")</f>
        <v>Vo'</v>
      </c>
      <c r="C3599" s="6"/>
      <c r="D3599" s="6" t="s">
        <v>3531</v>
      </c>
      <c r="E3599" s="12" t="s">
        <v>3532</v>
      </c>
    </row>
    <row r="3600">
      <c r="A3600" s="4" t="s">
        <v>3631</v>
      </c>
      <c r="B3600" s="5" t="str">
        <f>IFERROR(__xludf.DUMMYFUNCTION("IF(A3600="""","""",INDEX(SPLIT(A3600,"" ""),COUNTA(SPLIT(A3600,"" ""))))"),"Carrare")</f>
        <v>Carrare</v>
      </c>
      <c r="C3600" s="6"/>
      <c r="D3600" s="6" t="s">
        <v>3531</v>
      </c>
      <c r="E3600" s="12" t="s">
        <v>3532</v>
      </c>
    </row>
    <row r="3601">
      <c r="A3601" s="4" t="s">
        <v>3632</v>
      </c>
      <c r="B3601" s="5" t="str">
        <f>IFERROR(__xludf.DUMMYFUNCTION("IF(A3601="""","""",INDEX(SPLIT(A3601,"" ""),COUNTA(SPLIT(A3601,"" ""))))"),"Veneto")</f>
        <v>Veneto</v>
      </c>
      <c r="C3601" s="6"/>
      <c r="D3601" s="6" t="s">
        <v>3531</v>
      </c>
      <c r="E3601" s="12" t="s">
        <v>3532</v>
      </c>
    </row>
    <row r="3602">
      <c r="A3602" s="4" t="s">
        <v>3633</v>
      </c>
      <c r="B3602" s="5" t="str">
        <f>IFERROR(__xludf.DUMMYFUNCTION("IF(A3602="""","""",INDEX(SPLIT(A3602,"" ""),COUNTA(SPLIT(A3602,"" ""))))"),"Adria")</f>
        <v>Adria</v>
      </c>
      <c r="C3602" s="6"/>
      <c r="D3602" s="6" t="s">
        <v>3634</v>
      </c>
      <c r="E3602" s="12" t="s">
        <v>3635</v>
      </c>
    </row>
    <row r="3603">
      <c r="A3603" s="4" t="s">
        <v>3636</v>
      </c>
      <c r="B3603" s="5" t="str">
        <f>IFERROR(__xludf.DUMMYFUNCTION("IF(A3603="""","""",INDEX(SPLIT(A3603,"" ""),COUNTA(SPLIT(A3603,"" ""))))"),"Polesine")</f>
        <v>Polesine</v>
      </c>
      <c r="C3603" s="6"/>
      <c r="D3603" s="6" t="s">
        <v>3634</v>
      </c>
      <c r="E3603" s="12" t="s">
        <v>3635</v>
      </c>
    </row>
    <row r="3604">
      <c r="A3604" s="4" t="s">
        <v>3637</v>
      </c>
      <c r="B3604" s="5" t="str">
        <f>IFERROR(__xludf.DUMMYFUNCTION("IF(A3604="""","""",INDEX(SPLIT(A3604,"" ""),COUNTA(SPLIT(A3604,"" ""))))"),"Polesine")</f>
        <v>Polesine</v>
      </c>
      <c r="C3604" s="6"/>
      <c r="D3604" s="6" t="s">
        <v>3634</v>
      </c>
      <c r="E3604" s="12" t="s">
        <v>3635</v>
      </c>
    </row>
    <row r="3605">
      <c r="A3605" s="4" t="s">
        <v>3638</v>
      </c>
      <c r="B3605" s="5" t="str">
        <f>IFERROR(__xludf.DUMMYFUNCTION("IF(A3605="""","""",INDEX(SPLIT(A3605,"" ""),COUNTA(SPLIT(A3605,"" ""))))"),"Polesine")</f>
        <v>Polesine</v>
      </c>
      <c r="C3605" s="6"/>
      <c r="D3605" s="6" t="s">
        <v>3634</v>
      </c>
      <c r="E3605" s="12" t="s">
        <v>3635</v>
      </c>
    </row>
    <row r="3606">
      <c r="A3606" s="4" t="s">
        <v>3639</v>
      </c>
      <c r="B3606" s="5" t="str">
        <f>IFERROR(__xludf.DUMMYFUNCTION("IF(A3606="""","""",INDEX(SPLIT(A3606,"" ""),COUNTA(SPLIT(A3606,"" ""))))"),"Po")</f>
        <v>Po</v>
      </c>
      <c r="C3606" s="6"/>
      <c r="D3606" s="6" t="s">
        <v>3634</v>
      </c>
      <c r="E3606" s="12" t="s">
        <v>3635</v>
      </c>
    </row>
    <row r="3607">
      <c r="A3607" s="4" t="s">
        <v>3640</v>
      </c>
      <c r="B3607" s="5" t="str">
        <f>IFERROR(__xludf.DUMMYFUNCTION("IF(A3607="""","""",INDEX(SPLIT(A3607,"" ""),COUNTA(SPLIT(A3607,"" ""))))"),"Bergantino")</f>
        <v>Bergantino</v>
      </c>
      <c r="C3607" s="6"/>
      <c r="D3607" s="6" t="s">
        <v>3634</v>
      </c>
      <c r="E3607" s="12" t="s">
        <v>3635</v>
      </c>
    </row>
    <row r="3608">
      <c r="A3608" s="4" t="s">
        <v>3641</v>
      </c>
      <c r="B3608" s="5" t="str">
        <f>IFERROR(__xludf.DUMMYFUNCTION("IF(A3608="""","""",INDEX(SPLIT(A3608,"" ""),COUNTA(SPLIT(A3608,"" ""))))"),"Bosaro")</f>
        <v>Bosaro</v>
      </c>
      <c r="C3608" s="6"/>
      <c r="D3608" s="6" t="s">
        <v>3634</v>
      </c>
      <c r="E3608" s="12" t="s">
        <v>3635</v>
      </c>
    </row>
    <row r="3609">
      <c r="A3609" s="4" t="s">
        <v>3642</v>
      </c>
      <c r="B3609" s="5" t="str">
        <f>IFERROR(__xludf.DUMMYFUNCTION("IF(A3609="""","""",INDEX(SPLIT(A3609,"" ""),COUNTA(SPLIT(A3609,"" ""))))"),"Calto")</f>
        <v>Calto</v>
      </c>
      <c r="C3609" s="6"/>
      <c r="D3609" s="6" t="s">
        <v>3634</v>
      </c>
      <c r="E3609" s="12" t="s">
        <v>3635</v>
      </c>
    </row>
    <row r="3610">
      <c r="A3610" s="4" t="s">
        <v>3643</v>
      </c>
      <c r="B3610" s="5" t="str">
        <f>IFERROR(__xludf.DUMMYFUNCTION("IF(A3610="""","""",INDEX(SPLIT(A3610,"" ""),COUNTA(SPLIT(A3610,"" ""))))"),"Canaro")</f>
        <v>Canaro</v>
      </c>
      <c r="C3610" s="6"/>
      <c r="D3610" s="6" t="s">
        <v>3634</v>
      </c>
      <c r="E3610" s="12" t="s">
        <v>3635</v>
      </c>
    </row>
    <row r="3611">
      <c r="A3611" s="4" t="s">
        <v>3644</v>
      </c>
      <c r="B3611" s="5" t="str">
        <f>IFERROR(__xludf.DUMMYFUNCTION("IF(A3611="""","""",INDEX(SPLIT(A3611,"" ""),COUNTA(SPLIT(A3611,"" ""))))"),"Canda")</f>
        <v>Canda</v>
      </c>
      <c r="C3611" s="6"/>
      <c r="D3611" s="6" t="s">
        <v>3634</v>
      </c>
      <c r="E3611" s="12" t="s">
        <v>3635</v>
      </c>
    </row>
    <row r="3612">
      <c r="A3612" s="4" t="s">
        <v>3645</v>
      </c>
      <c r="B3612" s="5" t="str">
        <f>IFERROR(__xludf.DUMMYFUNCTION("IF(A3612="""","""",INDEX(SPLIT(A3612,"" ""),COUNTA(SPLIT(A3612,"" ""))))"),"Castelguglielmo")</f>
        <v>Castelguglielmo</v>
      </c>
      <c r="C3612" s="6"/>
      <c r="D3612" s="6" t="s">
        <v>3634</v>
      </c>
      <c r="E3612" s="12" t="s">
        <v>3635</v>
      </c>
    </row>
    <row r="3613">
      <c r="A3613" s="4" t="s">
        <v>3646</v>
      </c>
      <c r="B3613" s="5" t="str">
        <f>IFERROR(__xludf.DUMMYFUNCTION("IF(A3613="""","""",INDEX(SPLIT(A3613,"" ""),COUNTA(SPLIT(A3613,"" ""))))"),"Castelmassa")</f>
        <v>Castelmassa</v>
      </c>
      <c r="C3613" s="6"/>
      <c r="D3613" s="6" t="s">
        <v>3634</v>
      </c>
      <c r="E3613" s="12" t="s">
        <v>3635</v>
      </c>
    </row>
    <row r="3614">
      <c r="A3614" s="4" t="s">
        <v>3647</v>
      </c>
      <c r="B3614" s="5" t="str">
        <f>IFERROR(__xludf.DUMMYFUNCTION("IF(A3614="""","""",INDEX(SPLIT(A3614,"" ""),COUNTA(SPLIT(A3614,"" ""))))"),"Bariano")</f>
        <v>Bariano</v>
      </c>
      <c r="C3614" s="6"/>
      <c r="D3614" s="6" t="s">
        <v>3634</v>
      </c>
      <c r="E3614" s="12" t="s">
        <v>3635</v>
      </c>
    </row>
    <row r="3615">
      <c r="A3615" s="4" t="s">
        <v>3648</v>
      </c>
      <c r="B3615" s="5" t="str">
        <f>IFERROR(__xludf.DUMMYFUNCTION("IF(A3615="""","""",INDEX(SPLIT(A3615,"" ""),COUNTA(SPLIT(A3615,"" ""))))"),"Ceneselli")</f>
        <v>Ceneselli</v>
      </c>
      <c r="C3615" s="6"/>
      <c r="D3615" s="6" t="s">
        <v>3634</v>
      </c>
      <c r="E3615" s="12" t="s">
        <v>3635</v>
      </c>
    </row>
    <row r="3616">
      <c r="A3616" s="4" t="s">
        <v>3649</v>
      </c>
      <c r="B3616" s="5" t="str">
        <f>IFERROR(__xludf.DUMMYFUNCTION("IF(A3616="""","""",INDEX(SPLIT(A3616,"" ""),COUNTA(SPLIT(A3616,"" ""))))"),"Ceregnano")</f>
        <v>Ceregnano</v>
      </c>
      <c r="C3616" s="6"/>
      <c r="D3616" s="6" t="s">
        <v>3634</v>
      </c>
      <c r="E3616" s="12" t="s">
        <v>3635</v>
      </c>
    </row>
    <row r="3617">
      <c r="A3617" s="4" t="s">
        <v>3650</v>
      </c>
      <c r="B3617" s="5" t="str">
        <f>IFERROR(__xludf.DUMMYFUNCTION("IF(A3617="""","""",INDEX(SPLIT(A3617,"" ""),COUNTA(SPLIT(A3617,"" ""))))"),"Corbola")</f>
        <v>Corbola</v>
      </c>
      <c r="C3617" s="6"/>
      <c r="D3617" s="6" t="s">
        <v>3634</v>
      </c>
      <c r="E3617" s="12" t="s">
        <v>3635</v>
      </c>
    </row>
    <row r="3618">
      <c r="A3618" s="4" t="s">
        <v>3651</v>
      </c>
      <c r="B3618" s="5" t="str">
        <f>IFERROR(__xludf.DUMMYFUNCTION("IF(A3618="""","""",INDEX(SPLIT(A3618,"" ""),COUNTA(SPLIT(A3618,"" ""))))"),"Rovigo")</f>
        <v>Rovigo</v>
      </c>
      <c r="C3618" s="6"/>
      <c r="D3618" s="6" t="s">
        <v>3634</v>
      </c>
      <c r="E3618" s="12" t="s">
        <v>3635</v>
      </c>
    </row>
    <row r="3619">
      <c r="A3619" s="4" t="s">
        <v>3652</v>
      </c>
      <c r="B3619" s="5" t="str">
        <f>IFERROR(__xludf.DUMMYFUNCTION("IF(A3619="""","""",INDEX(SPLIT(A3619,"" ""),COUNTA(SPLIT(A3619,"" ""))))"),"Crespino")</f>
        <v>Crespino</v>
      </c>
      <c r="C3619" s="6"/>
      <c r="D3619" s="6" t="s">
        <v>3634</v>
      </c>
      <c r="E3619" s="12" t="s">
        <v>3635</v>
      </c>
    </row>
    <row r="3620">
      <c r="A3620" s="4" t="s">
        <v>3653</v>
      </c>
      <c r="B3620" s="5" t="str">
        <f>IFERROR(__xludf.DUMMYFUNCTION("IF(A3620="""","""",INDEX(SPLIT(A3620,"" ""),COUNTA(SPLIT(A3620,"" ""))))"),"Ficarolo")</f>
        <v>Ficarolo</v>
      </c>
      <c r="C3620" s="6"/>
      <c r="D3620" s="6" t="s">
        <v>3634</v>
      </c>
      <c r="E3620" s="12" t="s">
        <v>3635</v>
      </c>
    </row>
    <row r="3621">
      <c r="A3621" s="4" t="s">
        <v>3654</v>
      </c>
      <c r="B3621" s="5" t="str">
        <f>IFERROR(__xludf.DUMMYFUNCTION("IF(A3621="""","""",INDEX(SPLIT(A3621,"" ""),COUNTA(SPLIT(A3621,"" ""))))"),"Umbertiano")</f>
        <v>Umbertiano</v>
      </c>
      <c r="C3621" s="6"/>
      <c r="D3621" s="6" t="s">
        <v>3634</v>
      </c>
      <c r="E3621" s="12" t="s">
        <v>3635</v>
      </c>
    </row>
    <row r="3622">
      <c r="A3622" s="4" t="s">
        <v>3655</v>
      </c>
      <c r="B3622" s="5" t="str">
        <f>IFERROR(__xludf.DUMMYFUNCTION("IF(A3622="""","""",INDEX(SPLIT(A3622,"" ""),COUNTA(SPLIT(A3622,"" ""))))"),"Polesine")</f>
        <v>Polesine</v>
      </c>
      <c r="C3622" s="6"/>
      <c r="D3622" s="6" t="s">
        <v>3634</v>
      </c>
      <c r="E3622" s="12" t="s">
        <v>3635</v>
      </c>
    </row>
    <row r="3623">
      <c r="A3623" s="4" t="s">
        <v>3656</v>
      </c>
      <c r="B3623" s="5" t="str">
        <f>IFERROR(__xludf.DUMMYFUNCTION("IF(A3623="""","""",INDEX(SPLIT(A3623,"" ""),COUNTA(SPLIT(A3623,"" ""))))"),"Polesine")</f>
        <v>Polesine</v>
      </c>
      <c r="C3623" s="6"/>
      <c r="D3623" s="6" t="s">
        <v>3634</v>
      </c>
      <c r="E3623" s="12" t="s">
        <v>3635</v>
      </c>
    </row>
    <row r="3624">
      <c r="A3624" s="4" t="s">
        <v>3657</v>
      </c>
      <c r="B3624" s="5" t="str">
        <f>IFERROR(__xludf.DUMMYFUNCTION("IF(A3624="""","""",INDEX(SPLIT(A3624,"" ""),COUNTA(SPLIT(A3624,"" ""))))"),"Gaiba")</f>
        <v>Gaiba</v>
      </c>
      <c r="C3624" s="6"/>
      <c r="D3624" s="6" t="s">
        <v>3634</v>
      </c>
      <c r="E3624" s="12" t="s">
        <v>3635</v>
      </c>
    </row>
    <row r="3625">
      <c r="A3625" s="4" t="s">
        <v>3658</v>
      </c>
      <c r="B3625" s="5" t="str">
        <f>IFERROR(__xludf.DUMMYFUNCTION("IF(A3625="""","""",INDEX(SPLIT(A3625,"" ""),COUNTA(SPLIT(A3625,"" ""))))"),"Gavello")</f>
        <v>Gavello</v>
      </c>
      <c r="C3625" s="6"/>
      <c r="D3625" s="6" t="s">
        <v>3634</v>
      </c>
      <c r="E3625" s="12" t="s">
        <v>3635</v>
      </c>
    </row>
    <row r="3626">
      <c r="A3626" s="4" t="s">
        <v>3659</v>
      </c>
      <c r="B3626" s="5" t="str">
        <f>IFERROR(__xludf.DUMMYFUNCTION("IF(A3626="""","""",INDEX(SPLIT(A3626,"" ""),COUNTA(SPLIT(A3626,"" ""))))"),"Baruchella")</f>
        <v>Baruchella</v>
      </c>
      <c r="C3626" s="6"/>
      <c r="D3626" s="6" t="s">
        <v>3634</v>
      </c>
      <c r="E3626" s="12" t="s">
        <v>3635</v>
      </c>
    </row>
    <row r="3627">
      <c r="A3627" s="4" t="s">
        <v>3660</v>
      </c>
      <c r="B3627" s="5" t="str">
        <f>IFERROR(__xludf.DUMMYFUNCTION("IF(A3627="""","""",INDEX(SPLIT(A3627,"" ""),COUNTA(SPLIT(A3627,"" ""))))"),"Veneta")</f>
        <v>Veneta</v>
      </c>
      <c r="C3627" s="6"/>
      <c r="D3627" s="6" t="s">
        <v>3634</v>
      </c>
      <c r="E3627" s="12" t="s">
        <v>3635</v>
      </c>
    </row>
    <row r="3628">
      <c r="A3628" s="4" t="s">
        <v>3661</v>
      </c>
      <c r="B3628" s="5" t="str">
        <f>IFERROR(__xludf.DUMMYFUNCTION("IF(A3628="""","""",INDEX(SPLIT(A3628,"" ""),COUNTA(SPLIT(A3628,"" ""))))"),"Lendinara")</f>
        <v>Lendinara</v>
      </c>
      <c r="C3628" s="6"/>
      <c r="D3628" s="6" t="s">
        <v>3634</v>
      </c>
      <c r="E3628" s="12" t="s">
        <v>3635</v>
      </c>
    </row>
    <row r="3629">
      <c r="A3629" s="4" t="s">
        <v>3662</v>
      </c>
      <c r="B3629" s="5" t="str">
        <f>IFERROR(__xludf.DUMMYFUNCTION("IF(A3629="""","""",INDEX(SPLIT(A3629,"" ""),COUNTA(SPLIT(A3629,"" ""))))"),"Loreo")</f>
        <v>Loreo</v>
      </c>
      <c r="C3629" s="6"/>
      <c r="D3629" s="6" t="s">
        <v>3634</v>
      </c>
      <c r="E3629" s="12" t="s">
        <v>3635</v>
      </c>
    </row>
    <row r="3630">
      <c r="A3630" s="4" t="s">
        <v>3663</v>
      </c>
      <c r="B3630" s="5" t="str">
        <f>IFERROR(__xludf.DUMMYFUNCTION("IF(A3630="""","""",INDEX(SPLIT(A3630,"" ""),COUNTA(SPLIT(A3630,"" ""))))"),"Lusia")</f>
        <v>Lusia</v>
      </c>
      <c r="C3630" s="6"/>
      <c r="D3630" s="6" t="s">
        <v>3634</v>
      </c>
      <c r="E3630" s="12" t="s">
        <v>3635</v>
      </c>
    </row>
    <row r="3631">
      <c r="A3631" s="4" t="s">
        <v>3664</v>
      </c>
      <c r="B3631" s="5" t="str">
        <f>IFERROR(__xludf.DUMMYFUNCTION("IF(A3631="""","""",INDEX(SPLIT(A3631,"" ""),COUNTA(SPLIT(A3631,"" ""))))"),"Melara")</f>
        <v>Melara</v>
      </c>
      <c r="C3631" s="6"/>
      <c r="D3631" s="6" t="s">
        <v>3634</v>
      </c>
      <c r="E3631" s="12" t="s">
        <v>3635</v>
      </c>
    </row>
    <row r="3632">
      <c r="A3632" s="4" t="s">
        <v>3665</v>
      </c>
      <c r="B3632" s="5" t="str">
        <f>IFERROR(__xludf.DUMMYFUNCTION("IF(A3632="""","""",INDEX(SPLIT(A3632,"" ""),COUNTA(SPLIT(A3632,"" ""))))"),"Occhiobello")</f>
        <v>Occhiobello</v>
      </c>
      <c r="C3632" s="6"/>
      <c r="D3632" s="6" t="s">
        <v>3634</v>
      </c>
      <c r="E3632" s="12" t="s">
        <v>3635</v>
      </c>
    </row>
    <row r="3633">
      <c r="A3633" s="4" t="s">
        <v>3666</v>
      </c>
      <c r="B3633" s="5" t="str">
        <f>IFERROR(__xludf.DUMMYFUNCTION("IF(A3633="""","""",INDEX(SPLIT(A3633,"" ""),COUNTA(SPLIT(A3633,"" ""))))"),"Papozze")</f>
        <v>Papozze</v>
      </c>
      <c r="C3633" s="6"/>
      <c r="D3633" s="6" t="s">
        <v>3634</v>
      </c>
      <c r="E3633" s="12" t="s">
        <v>3635</v>
      </c>
    </row>
    <row r="3634">
      <c r="A3634" s="4" t="s">
        <v>3667</v>
      </c>
      <c r="B3634" s="5" t="str">
        <f>IFERROR(__xludf.DUMMYFUNCTION("IF(A3634="""","""",INDEX(SPLIT(A3634,"" ""),COUNTA(SPLIT(A3634,"" ""))))"),"Grimani")</f>
        <v>Grimani</v>
      </c>
      <c r="C3634" s="6"/>
      <c r="D3634" s="6" t="s">
        <v>3634</v>
      </c>
      <c r="E3634" s="12" t="s">
        <v>3635</v>
      </c>
    </row>
    <row r="3635">
      <c r="A3635" s="4" t="s">
        <v>3668</v>
      </c>
      <c r="B3635" s="5" t="str">
        <f>IFERROR(__xludf.DUMMYFUNCTION("IF(A3635="""","""",INDEX(SPLIT(A3635,"" ""),COUNTA(SPLIT(A3635,"" ""))))"),"Pincara")</f>
        <v>Pincara</v>
      </c>
      <c r="C3635" s="6"/>
      <c r="D3635" s="6" t="s">
        <v>3634</v>
      </c>
      <c r="E3635" s="12" t="s">
        <v>3635</v>
      </c>
    </row>
    <row r="3636">
      <c r="A3636" s="4" t="s">
        <v>3669</v>
      </c>
      <c r="B3636" s="5" t="str">
        <f>IFERROR(__xludf.DUMMYFUNCTION("IF(A3636="""","""",INDEX(SPLIT(A3636,"" ""),COUNTA(SPLIT(A3636,"" ""))))"),"Polesella")</f>
        <v>Polesella</v>
      </c>
      <c r="C3636" s="6"/>
      <c r="D3636" s="6" t="s">
        <v>3634</v>
      </c>
      <c r="E3636" s="12" t="s">
        <v>3635</v>
      </c>
    </row>
    <row r="3637">
      <c r="A3637" s="4" t="s">
        <v>3670</v>
      </c>
      <c r="B3637" s="5" t="str">
        <f>IFERROR(__xludf.DUMMYFUNCTION("IF(A3637="""","""",INDEX(SPLIT(A3637,"" ""),COUNTA(SPLIT(A3637,"" ""))))"),"Polesine")</f>
        <v>Polesine</v>
      </c>
      <c r="C3637" s="6"/>
      <c r="D3637" s="6" t="s">
        <v>3634</v>
      </c>
      <c r="E3637" s="12" t="s">
        <v>3635</v>
      </c>
    </row>
    <row r="3638">
      <c r="A3638" s="4" t="s">
        <v>3671</v>
      </c>
      <c r="B3638" s="5" t="str">
        <f>IFERROR(__xludf.DUMMYFUNCTION("IF(A3638="""","""",INDEX(SPLIT(A3638,"" ""),COUNTA(SPLIT(A3638,"" ""))))"),"Tolle")</f>
        <v>Tolle</v>
      </c>
      <c r="C3638" s="6"/>
      <c r="D3638" s="6" t="s">
        <v>3634</v>
      </c>
      <c r="E3638" s="12" t="s">
        <v>3635</v>
      </c>
    </row>
    <row r="3639">
      <c r="A3639" s="4" t="s">
        <v>3672</v>
      </c>
      <c r="B3639" s="5" t="str">
        <f>IFERROR(__xludf.DUMMYFUNCTION("IF(A3639="""","""",INDEX(SPLIT(A3639,"" ""),COUNTA(SPLIT(A3639,"" ""))))"),"Rosolina")</f>
        <v>Rosolina</v>
      </c>
      <c r="C3639" s="6"/>
      <c r="D3639" s="6" t="s">
        <v>3634</v>
      </c>
      <c r="E3639" s="12" t="s">
        <v>3635</v>
      </c>
    </row>
    <row r="3640">
      <c r="A3640" s="4" t="s">
        <v>3634</v>
      </c>
      <c r="B3640" s="5" t="str">
        <f>IFERROR(__xludf.DUMMYFUNCTION("IF(A3640="""","""",INDEX(SPLIT(A3640,"" ""),COUNTA(SPLIT(A3640,"" ""))))"),"Rovigo")</f>
        <v>Rovigo</v>
      </c>
      <c r="C3640" s="6"/>
      <c r="D3640" s="6" t="s">
        <v>3634</v>
      </c>
      <c r="E3640" s="12" t="s">
        <v>3635</v>
      </c>
    </row>
    <row r="3641">
      <c r="A3641" s="4" t="s">
        <v>3673</v>
      </c>
      <c r="B3641" s="5" t="str">
        <f>IFERROR(__xludf.DUMMYFUNCTION("IF(A3641="""","""",INDEX(SPLIT(A3641,"" ""),COUNTA(SPLIT(A3641,"" ""))))"),"Salara")</f>
        <v>Salara</v>
      </c>
      <c r="C3641" s="6"/>
      <c r="D3641" s="6" t="s">
        <v>3634</v>
      </c>
      <c r="E3641" s="12" t="s">
        <v>3635</v>
      </c>
    </row>
    <row r="3642">
      <c r="A3642" s="4" t="s">
        <v>3674</v>
      </c>
      <c r="B3642" s="5" t="str">
        <f>IFERROR(__xludf.DUMMYFUNCTION("IF(A3642="""","""",INDEX(SPLIT(A3642,"" ""),COUNTA(SPLIT(A3642,"" ""))))"),"Bellino")</f>
        <v>Bellino</v>
      </c>
      <c r="C3642" s="6"/>
      <c r="D3642" s="6" t="s">
        <v>3634</v>
      </c>
      <c r="E3642" s="12" t="s">
        <v>3635</v>
      </c>
    </row>
    <row r="3643">
      <c r="A3643" s="4" t="s">
        <v>3675</v>
      </c>
      <c r="B3643" s="5" t="str">
        <f>IFERROR(__xludf.DUMMYFUNCTION("IF(A3643="""","""",INDEX(SPLIT(A3643,"" ""),COUNTA(SPLIT(A3643,"" ""))))"),"Venezze")</f>
        <v>Venezze</v>
      </c>
      <c r="C3643" s="6"/>
      <c r="D3643" s="6" t="s">
        <v>3634</v>
      </c>
      <c r="E3643" s="12" t="s">
        <v>3635</v>
      </c>
    </row>
    <row r="3644">
      <c r="A3644" s="4" t="s">
        <v>3676</v>
      </c>
      <c r="B3644" s="5" t="str">
        <f>IFERROR(__xludf.DUMMYFUNCTION("IF(A3644="""","""",INDEX(SPLIT(A3644,"" ""),COUNTA(SPLIT(A3644,"" ""))))"),"Stienta")</f>
        <v>Stienta</v>
      </c>
      <c r="C3644" s="6"/>
      <c r="D3644" s="6" t="s">
        <v>3634</v>
      </c>
      <c r="E3644" s="12" t="s">
        <v>3635</v>
      </c>
    </row>
    <row r="3645">
      <c r="A3645" s="4" t="s">
        <v>3677</v>
      </c>
      <c r="B3645" s="5" t="str">
        <f>IFERROR(__xludf.DUMMYFUNCTION("IF(A3645="""","""",INDEX(SPLIT(A3645,"" ""),COUNTA(SPLIT(A3645,"" ""))))"),"Po")</f>
        <v>Po</v>
      </c>
      <c r="C3645" s="6"/>
      <c r="D3645" s="6" t="s">
        <v>3634</v>
      </c>
      <c r="E3645" s="12" t="s">
        <v>3635</v>
      </c>
    </row>
    <row r="3646">
      <c r="A3646" s="4" t="s">
        <v>3678</v>
      </c>
      <c r="B3646" s="5" t="str">
        <f>IFERROR(__xludf.DUMMYFUNCTION("IF(A3646="""","""",INDEX(SPLIT(A3646,"" ""),COUNTA(SPLIT(A3646,"" ""))))"),"Trecenta")</f>
        <v>Trecenta</v>
      </c>
      <c r="C3646" s="6"/>
      <c r="D3646" s="6" t="s">
        <v>3634</v>
      </c>
      <c r="E3646" s="12" t="s">
        <v>3635</v>
      </c>
    </row>
    <row r="3647">
      <c r="A3647" s="4" t="s">
        <v>3679</v>
      </c>
      <c r="B3647" s="5" t="str">
        <f>IFERROR(__xludf.DUMMYFUNCTION("IF(A3647="""","""",INDEX(SPLIT(A3647,"" ""),COUNTA(SPLIT(A3647,"" ""))))"),"Villadose")</f>
        <v>Villadose</v>
      </c>
      <c r="C3647" s="6"/>
      <c r="D3647" s="6" t="s">
        <v>3634</v>
      </c>
      <c r="E3647" s="12" t="s">
        <v>3635</v>
      </c>
    </row>
    <row r="3648">
      <c r="A3648" s="4" t="s">
        <v>3680</v>
      </c>
      <c r="B3648" s="5" t="str">
        <f>IFERROR(__xludf.DUMMYFUNCTION("IF(A3648="""","""",INDEX(SPLIT(A3648,"" ""),COUNTA(SPLIT(A3648,"" ""))))"),"Villamarzana")</f>
        <v>Villamarzana</v>
      </c>
      <c r="C3648" s="6"/>
      <c r="D3648" s="6" t="s">
        <v>3634</v>
      </c>
      <c r="E3648" s="12" t="s">
        <v>3635</v>
      </c>
    </row>
    <row r="3649">
      <c r="A3649" s="4" t="s">
        <v>3681</v>
      </c>
      <c r="B3649" s="5" t="str">
        <f>IFERROR(__xludf.DUMMYFUNCTION("IF(A3649="""","""",INDEX(SPLIT(A3649,"" ""),COUNTA(SPLIT(A3649,"" ""))))"),"Ghebbo")</f>
        <v>Ghebbo</v>
      </c>
      <c r="C3649" s="6"/>
      <c r="D3649" s="6" t="s">
        <v>3634</v>
      </c>
      <c r="E3649" s="12" t="s">
        <v>3635</v>
      </c>
    </row>
    <row r="3650">
      <c r="A3650" s="4" t="s">
        <v>3682</v>
      </c>
      <c r="B3650" s="5" t="str">
        <f>IFERROR(__xludf.DUMMYFUNCTION("IF(A3650="""","""",INDEX(SPLIT(A3650,"" ""),COUNTA(SPLIT(A3650,"" ""))))"),"Marchesana")</f>
        <v>Marchesana</v>
      </c>
      <c r="C3650" s="6"/>
      <c r="D3650" s="6" t="s">
        <v>3634</v>
      </c>
      <c r="E3650" s="12" t="s">
        <v>3635</v>
      </c>
    </row>
    <row r="3651">
      <c r="A3651" s="4" t="s">
        <v>3683</v>
      </c>
      <c r="B3651" s="5" t="str">
        <f>IFERROR(__xludf.DUMMYFUNCTION("IF(A3651="""","""",INDEX(SPLIT(A3651,"" ""),COUNTA(SPLIT(A3651,"" ""))))"),"Viro")</f>
        <v>Viro</v>
      </c>
      <c r="C3651" s="6"/>
      <c r="D3651" s="6" t="s">
        <v>3634</v>
      </c>
      <c r="E3651" s="12" t="s">
        <v>3635</v>
      </c>
    </row>
    <row r="3652">
      <c r="A3652" s="4" t="s">
        <v>3684</v>
      </c>
      <c r="B3652" s="5" t="str">
        <f>IFERROR(__xludf.DUMMYFUNCTION("IF(A3652="""","""",INDEX(SPLIT(A3652,"" ""),COUNTA(SPLIT(A3652,"" ""))))"),"Friuli")</f>
        <v>Friuli</v>
      </c>
      <c r="C3652" s="6"/>
      <c r="D3652" s="6" t="s">
        <v>3685</v>
      </c>
      <c r="E3652" s="12" t="s">
        <v>3686</v>
      </c>
    </row>
    <row r="3653">
      <c r="A3653" s="4" t="s">
        <v>3687</v>
      </c>
      <c r="B3653" s="5" t="str">
        <f>IFERROR(__xludf.DUMMYFUNCTION("IF(A3653="""","""",INDEX(SPLIT(A3653,"" ""),COUNTA(SPLIT(A3653,"" ""))))"),"Amaro")</f>
        <v>Amaro</v>
      </c>
      <c r="C3653" s="6"/>
      <c r="D3653" s="6" t="s">
        <v>3685</v>
      </c>
      <c r="E3653" s="12" t="s">
        <v>3686</v>
      </c>
    </row>
    <row r="3654">
      <c r="A3654" s="4" t="s">
        <v>3688</v>
      </c>
      <c r="B3654" s="5" t="str">
        <f>IFERROR(__xludf.DUMMYFUNCTION("IF(A3654="""","""",INDEX(SPLIT(A3654,"" ""),COUNTA(SPLIT(A3654,"" ""))))"),"Ampezzo")</f>
        <v>Ampezzo</v>
      </c>
      <c r="C3654" s="6"/>
      <c r="D3654" s="6" t="s">
        <v>3685</v>
      </c>
      <c r="E3654" s="12" t="s">
        <v>3686</v>
      </c>
    </row>
    <row r="3655">
      <c r="A3655" s="4" t="s">
        <v>3689</v>
      </c>
      <c r="B3655" s="5" t="str">
        <f>IFERROR(__xludf.DUMMYFUNCTION("IF(A3655="""","""",INDEX(SPLIT(A3655,"" ""),COUNTA(SPLIT(A3655,"" ""))))"),"Aquileia")</f>
        <v>Aquileia</v>
      </c>
      <c r="C3655" s="6"/>
      <c r="D3655" s="6" t="s">
        <v>3685</v>
      </c>
      <c r="E3655" s="12" t="s">
        <v>3686</v>
      </c>
    </row>
    <row r="3656">
      <c r="A3656" s="4" t="s">
        <v>3690</v>
      </c>
      <c r="B3656" s="5" t="str">
        <f>IFERROR(__xludf.DUMMYFUNCTION("IF(A3656="""","""",INDEX(SPLIT(A3656,"" ""),COUNTA(SPLIT(A3656,"" ""))))"),"Terme")</f>
        <v>Terme</v>
      </c>
      <c r="C3656" s="6"/>
      <c r="D3656" s="6" t="s">
        <v>3685</v>
      </c>
      <c r="E3656" s="12" t="s">
        <v>3686</v>
      </c>
    </row>
    <row r="3657">
      <c r="A3657" s="4" t="s">
        <v>3691</v>
      </c>
      <c r="B3657" s="5" t="str">
        <f>IFERROR(__xludf.DUMMYFUNCTION("IF(A3657="""","""",INDEX(SPLIT(A3657,"" ""),COUNTA(SPLIT(A3657,"" ""))))"),"Artegna")</f>
        <v>Artegna</v>
      </c>
      <c r="C3657" s="6"/>
      <c r="D3657" s="6" t="s">
        <v>3685</v>
      </c>
      <c r="E3657" s="12" t="s">
        <v>3686</v>
      </c>
    </row>
    <row r="3658">
      <c r="A3658" s="4" t="s">
        <v>3692</v>
      </c>
      <c r="B3658" s="5" t="str">
        <f>IFERROR(__xludf.DUMMYFUNCTION("IF(A3658="""","""",INDEX(SPLIT(A3658,"" ""),COUNTA(SPLIT(A3658,"" ""))))"),"Attimis")</f>
        <v>Attimis</v>
      </c>
      <c r="C3658" s="6"/>
      <c r="D3658" s="6" t="s">
        <v>3685</v>
      </c>
      <c r="E3658" s="12" t="s">
        <v>3686</v>
      </c>
    </row>
    <row r="3659">
      <c r="A3659" s="4" t="s">
        <v>3693</v>
      </c>
      <c r="B3659" s="5" t="str">
        <f>IFERROR(__xludf.DUMMYFUNCTION("IF(A3659="""","""",INDEX(SPLIT(A3659,"" ""),COUNTA(SPLIT(A3659,"" ""))))"),"Arsa")</f>
        <v>Arsa</v>
      </c>
      <c r="C3659" s="6"/>
      <c r="D3659" s="6" t="s">
        <v>3685</v>
      </c>
      <c r="E3659" s="12" t="s">
        <v>3686</v>
      </c>
    </row>
    <row r="3660">
      <c r="A3660" s="4" t="s">
        <v>3694</v>
      </c>
      <c r="B3660" s="5" t="str">
        <f>IFERROR(__xludf.DUMMYFUNCTION("IF(A3660="""","""",INDEX(SPLIT(A3660,"" ""),COUNTA(SPLIT(A3660,"" ""))))"),"Basiliano")</f>
        <v>Basiliano</v>
      </c>
      <c r="C3660" s="6"/>
      <c r="D3660" s="6" t="s">
        <v>3685</v>
      </c>
      <c r="E3660" s="12" t="s">
        <v>3686</v>
      </c>
    </row>
    <row r="3661">
      <c r="A3661" s="4" t="s">
        <v>3695</v>
      </c>
      <c r="B3661" s="5" t="str">
        <f>IFERROR(__xludf.DUMMYFUNCTION("IF(A3661="""","""",INDEX(SPLIT(A3661,"" ""),COUNTA(SPLIT(A3661,"" ""))))"),"Bertiolo")</f>
        <v>Bertiolo</v>
      </c>
      <c r="C3661" s="6"/>
      <c r="D3661" s="6" t="s">
        <v>3685</v>
      </c>
      <c r="E3661" s="12" t="s">
        <v>3686</v>
      </c>
    </row>
    <row r="3662">
      <c r="A3662" s="4" t="s">
        <v>3696</v>
      </c>
      <c r="B3662" s="5" t="str">
        <f>IFERROR(__xludf.DUMMYFUNCTION("IF(A3662="""","""",INDEX(SPLIT(A3662,"" ""),COUNTA(SPLIT(A3662,"" ""))))"),"Bicinicco")</f>
        <v>Bicinicco</v>
      </c>
      <c r="C3662" s="6"/>
      <c r="D3662" s="6" t="s">
        <v>3685</v>
      </c>
      <c r="E3662" s="12" t="s">
        <v>3686</v>
      </c>
    </row>
    <row r="3663">
      <c r="A3663" s="4" t="s">
        <v>3697</v>
      </c>
      <c r="B3663" s="5" t="str">
        <f>IFERROR(__xludf.DUMMYFUNCTION("IF(A3663="""","""",INDEX(SPLIT(A3663,"" ""),COUNTA(SPLIT(A3663,"" ""))))"),"Bordano")</f>
        <v>Bordano</v>
      </c>
      <c r="C3663" s="6"/>
      <c r="D3663" s="6" t="s">
        <v>3685</v>
      </c>
      <c r="E3663" s="12" t="s">
        <v>3686</v>
      </c>
    </row>
    <row r="3664">
      <c r="A3664" s="4" t="s">
        <v>3698</v>
      </c>
      <c r="B3664" s="5" t="str">
        <f>IFERROR(__xludf.DUMMYFUNCTION("IF(A3664="""","""",INDEX(SPLIT(A3664,"" ""),COUNTA(SPLIT(A3664,"" ""))))"),"Buja")</f>
        <v>Buja</v>
      </c>
      <c r="C3664" s="6"/>
      <c r="D3664" s="6" t="s">
        <v>3685</v>
      </c>
      <c r="E3664" s="12" t="s">
        <v>3686</v>
      </c>
    </row>
    <row r="3665">
      <c r="A3665" s="4" t="s">
        <v>3699</v>
      </c>
      <c r="B3665" s="5" t="str">
        <f>IFERROR(__xludf.DUMMYFUNCTION("IF(A3665="""","""",INDEX(SPLIT(A3665,"" ""),COUNTA(SPLIT(A3665,"" ""))))"),"Buttrio")</f>
        <v>Buttrio</v>
      </c>
      <c r="C3665" s="6"/>
      <c r="D3665" s="6" t="s">
        <v>3685</v>
      </c>
      <c r="E3665" s="12" t="s">
        <v>3686</v>
      </c>
    </row>
    <row r="3666">
      <c r="A3666" s="4" t="s">
        <v>3700</v>
      </c>
      <c r="B3666" s="5" t="str">
        <f>IFERROR(__xludf.DUMMYFUNCTION("IF(A3666="""","""",INDEX(SPLIT(A3666,"" ""),COUNTA(SPLIT(A3666,"" ""))))"),"Tagliamento")</f>
        <v>Tagliamento</v>
      </c>
      <c r="C3666" s="6"/>
      <c r="D3666" s="6" t="s">
        <v>3685</v>
      </c>
      <c r="E3666" s="12" t="s">
        <v>3686</v>
      </c>
    </row>
    <row r="3667">
      <c r="A3667" s="4" t="s">
        <v>3701</v>
      </c>
      <c r="B3667" s="5" t="str">
        <f>IFERROR(__xludf.DUMMYFUNCTION("IF(A3667="""","""",INDEX(SPLIT(A3667,"" ""),COUNTA(SPLIT(A3667,"" ""))))"),"Campoformido")</f>
        <v>Campoformido</v>
      </c>
      <c r="C3667" s="6"/>
      <c r="D3667" s="6" t="s">
        <v>3685</v>
      </c>
      <c r="E3667" s="12" t="s">
        <v>3686</v>
      </c>
    </row>
    <row r="3668">
      <c r="A3668" s="4" t="s">
        <v>3702</v>
      </c>
      <c r="B3668" s="5" t="str">
        <f>IFERROR(__xludf.DUMMYFUNCTION("IF(A3668="""","""",INDEX(SPLIT(A3668,"" ""),COUNTA(SPLIT(A3668,"" ""))))"),"Carlino")</f>
        <v>Carlino</v>
      </c>
      <c r="C3668" s="6"/>
      <c r="D3668" s="6" t="s">
        <v>3685</v>
      </c>
      <c r="E3668" s="12" t="s">
        <v>3686</v>
      </c>
    </row>
    <row r="3669">
      <c r="A3669" s="4" t="s">
        <v>3703</v>
      </c>
      <c r="B3669" s="5" t="str">
        <f>IFERROR(__xludf.DUMMYFUNCTION("IF(A3669="""","""",INDEX(SPLIT(A3669,"" ""),COUNTA(SPLIT(A3669,"" ""))))"),"Cassacco")</f>
        <v>Cassacco</v>
      </c>
      <c r="C3669" s="6"/>
      <c r="D3669" s="6" t="s">
        <v>3685</v>
      </c>
      <c r="E3669" s="12" t="s">
        <v>3686</v>
      </c>
    </row>
    <row r="3670">
      <c r="A3670" s="4" t="s">
        <v>3704</v>
      </c>
      <c r="B3670" s="5" t="str">
        <f>IFERROR(__xludf.DUMMYFUNCTION("IF(A3670="""","""",INDEX(SPLIT(A3670,"" ""),COUNTA(SPLIT(A3670,"" ""))))"),"Strada")</f>
        <v>Strada</v>
      </c>
      <c r="C3670" s="6"/>
      <c r="D3670" s="6" t="s">
        <v>3685</v>
      </c>
      <c r="E3670" s="12" t="s">
        <v>3686</v>
      </c>
    </row>
    <row r="3671">
      <c r="A3671" s="4" t="s">
        <v>3705</v>
      </c>
      <c r="B3671" s="5" t="str">
        <f>IFERROR(__xludf.DUMMYFUNCTION("IF(A3671="""","""",INDEX(SPLIT(A3671,"" ""),COUNTA(SPLIT(A3671,"" ""))))"),"Carnico")</f>
        <v>Carnico</v>
      </c>
      <c r="C3671" s="6"/>
      <c r="D3671" s="6" t="s">
        <v>3685</v>
      </c>
      <c r="E3671" s="12" t="s">
        <v>3686</v>
      </c>
    </row>
    <row r="3672">
      <c r="A3672" s="4" t="s">
        <v>3706</v>
      </c>
      <c r="B3672" s="5" t="str">
        <f>IFERROR(__xludf.DUMMYFUNCTION("IF(A3672="""","""",INDEX(SPLIT(A3672,"" ""),COUNTA(SPLIT(A3672,"" ""))))"),"Cercivento")</f>
        <v>Cercivento</v>
      </c>
      <c r="C3672" s="6"/>
      <c r="D3672" s="6" t="s">
        <v>3685</v>
      </c>
      <c r="E3672" s="12" t="s">
        <v>3686</v>
      </c>
    </row>
    <row r="3673">
      <c r="A3673" s="4" t="s">
        <v>3707</v>
      </c>
      <c r="B3673" s="5" t="str">
        <f>IFERROR(__xludf.DUMMYFUNCTION("IF(A3673="""","""",INDEX(SPLIT(A3673,"" ""),COUNTA(SPLIT(A3673,"" ""))))"),"Friuli")</f>
        <v>Friuli</v>
      </c>
      <c r="C3673" s="6"/>
      <c r="D3673" s="6" t="s">
        <v>3685</v>
      </c>
      <c r="E3673" s="12" t="s">
        <v>3686</v>
      </c>
    </row>
    <row r="3674">
      <c r="A3674" s="4" t="s">
        <v>3708</v>
      </c>
      <c r="B3674" s="5" t="str">
        <f>IFERROR(__xludf.DUMMYFUNCTION("IF(A3674="""","""",INDEX(SPLIT(A3674,"" ""),COUNTA(SPLIT(A3674,"" ""))))"),"ChioprisViscone")</f>
        <v>ChioprisViscone</v>
      </c>
      <c r="C3674" s="6"/>
      <c r="D3674" s="6" t="s">
        <v>3685</v>
      </c>
      <c r="E3674" s="12" t="s">
        <v>3686</v>
      </c>
    </row>
    <row r="3675">
      <c r="A3675" s="4" t="s">
        <v>3709</v>
      </c>
      <c r="B3675" s="5" t="str">
        <f>IFERROR(__xludf.DUMMYFUNCTION("IF(A3675="""","""",INDEX(SPLIT(A3675,"" ""),COUNTA(SPLIT(A3675,"" ""))))"),"Chiusaforte")</f>
        <v>Chiusaforte</v>
      </c>
      <c r="C3675" s="6"/>
      <c r="D3675" s="6" t="s">
        <v>3685</v>
      </c>
      <c r="E3675" s="12" t="s">
        <v>3686</v>
      </c>
    </row>
    <row r="3676">
      <c r="A3676" s="4" t="s">
        <v>3710</v>
      </c>
      <c r="B3676" s="5" t="str">
        <f>IFERROR(__xludf.DUMMYFUNCTION("IF(A3676="""","""",INDEX(SPLIT(A3676,"" ""),COUNTA(SPLIT(A3676,"" ""))))"),"Friuli")</f>
        <v>Friuli</v>
      </c>
      <c r="C3676" s="6"/>
      <c r="D3676" s="6" t="s">
        <v>3685</v>
      </c>
      <c r="E3676" s="12" t="s">
        <v>3686</v>
      </c>
    </row>
    <row r="3677">
      <c r="A3677" s="4" t="s">
        <v>3711</v>
      </c>
      <c r="B3677" s="5" t="str">
        <f>IFERROR(__xludf.DUMMYFUNCTION("IF(A3677="""","""",INDEX(SPLIT(A3677,"" ""),COUNTA(SPLIT(A3677,"" ""))))"),"Codroipo")</f>
        <v>Codroipo</v>
      </c>
      <c r="C3677" s="6"/>
      <c r="D3677" s="6" t="s">
        <v>3685</v>
      </c>
      <c r="E3677" s="12" t="s">
        <v>3686</v>
      </c>
    </row>
    <row r="3678">
      <c r="A3678" s="4" t="s">
        <v>3712</v>
      </c>
      <c r="B3678" s="5" t="str">
        <f>IFERROR(__xludf.DUMMYFUNCTION("IF(A3678="""","""",INDEX(SPLIT(A3678,"" ""),COUNTA(SPLIT(A3678,"" ""))))"),"Albano")</f>
        <v>Albano</v>
      </c>
      <c r="C3678" s="6"/>
      <c r="D3678" s="6" t="s">
        <v>3685</v>
      </c>
      <c r="E3678" s="12" t="s">
        <v>3686</v>
      </c>
    </row>
    <row r="3679">
      <c r="A3679" s="4" t="s">
        <v>3713</v>
      </c>
      <c r="B3679" s="5" t="str">
        <f>IFERROR(__xludf.DUMMYFUNCTION("IF(A3679="""","""",INDEX(SPLIT(A3679,"" ""),COUNTA(SPLIT(A3679,"" ""))))"),"Comeglians")</f>
        <v>Comeglians</v>
      </c>
      <c r="C3679" s="6"/>
      <c r="D3679" s="6" t="s">
        <v>3685</v>
      </c>
      <c r="E3679" s="12" t="s">
        <v>3686</v>
      </c>
    </row>
    <row r="3680">
      <c r="A3680" s="4" t="s">
        <v>3714</v>
      </c>
      <c r="B3680" s="5" t="str">
        <f>IFERROR(__xludf.DUMMYFUNCTION("IF(A3680="""","""",INDEX(SPLIT(A3680,"" ""),COUNTA(SPLIT(A3680,"" ""))))"),"Rosazzo")</f>
        <v>Rosazzo</v>
      </c>
      <c r="C3680" s="6"/>
      <c r="D3680" s="6" t="s">
        <v>3685</v>
      </c>
      <c r="E3680" s="12" t="s">
        <v>3686</v>
      </c>
    </row>
    <row r="3681">
      <c r="A3681" s="4" t="s">
        <v>3715</v>
      </c>
      <c r="B3681" s="5" t="str">
        <f>IFERROR(__xludf.DUMMYFUNCTION("IF(A3681="""","""",INDEX(SPLIT(A3681,"" ""),COUNTA(SPLIT(A3681,"" ""))))"),"Coseano")</f>
        <v>Coseano</v>
      </c>
      <c r="C3681" s="6"/>
      <c r="D3681" s="6" t="s">
        <v>3685</v>
      </c>
      <c r="E3681" s="12" t="s">
        <v>3686</v>
      </c>
    </row>
    <row r="3682">
      <c r="A3682" s="4" t="s">
        <v>3716</v>
      </c>
      <c r="B3682" s="5" t="str">
        <f>IFERROR(__xludf.DUMMYFUNCTION("IF(A3682="""","""",INDEX(SPLIT(A3682,"" ""),COUNTA(SPLIT(A3682,"" ""))))"),"Dignano")</f>
        <v>Dignano</v>
      </c>
      <c r="C3682" s="6"/>
      <c r="D3682" s="6" t="s">
        <v>3685</v>
      </c>
      <c r="E3682" s="12" t="s">
        <v>3686</v>
      </c>
    </row>
    <row r="3683">
      <c r="A3683" s="4" t="s">
        <v>3717</v>
      </c>
      <c r="B3683" s="5" t="str">
        <f>IFERROR(__xludf.DUMMYFUNCTION("IF(A3683="""","""",INDEX(SPLIT(A3683,"" ""),COUNTA(SPLIT(A3683,"" ""))))"),"Dogna")</f>
        <v>Dogna</v>
      </c>
      <c r="C3683" s="6"/>
      <c r="D3683" s="6" t="s">
        <v>3685</v>
      </c>
      <c r="E3683" s="12" t="s">
        <v>3686</v>
      </c>
    </row>
    <row r="3684">
      <c r="A3684" s="4" t="s">
        <v>3718</v>
      </c>
      <c r="B3684" s="5" t="str">
        <f>IFERROR(__xludf.DUMMYFUNCTION("IF(A3684="""","""",INDEX(SPLIT(A3684,"" ""),COUNTA(SPLIT(A3684,"" ""))))"),"Drenchia")</f>
        <v>Drenchia</v>
      </c>
      <c r="C3684" s="6"/>
      <c r="D3684" s="6" t="s">
        <v>3685</v>
      </c>
      <c r="E3684" s="12" t="s">
        <v>3686</v>
      </c>
    </row>
    <row r="3685">
      <c r="A3685" s="4" t="s">
        <v>3719</v>
      </c>
      <c r="B3685" s="5" t="str">
        <f>IFERROR(__xludf.DUMMYFUNCTION("IF(A3685="""","""",INDEX(SPLIT(A3685,"" ""),COUNTA(SPLIT(A3685,"" ""))))"),"Enemonzo")</f>
        <v>Enemonzo</v>
      </c>
      <c r="C3685" s="6"/>
      <c r="D3685" s="6" t="s">
        <v>3685</v>
      </c>
      <c r="E3685" s="12" t="s">
        <v>3686</v>
      </c>
    </row>
    <row r="3686">
      <c r="A3686" s="4" t="s">
        <v>3720</v>
      </c>
      <c r="B3686" s="5" t="str">
        <f>IFERROR(__xludf.DUMMYFUNCTION("IF(A3686="""","""",INDEX(SPLIT(A3686,"" ""),COUNTA(SPLIT(A3686,"" ""))))"),"Faedis")</f>
        <v>Faedis</v>
      </c>
      <c r="C3686" s="6"/>
      <c r="D3686" s="6" t="s">
        <v>3685</v>
      </c>
      <c r="E3686" s="12" t="s">
        <v>3686</v>
      </c>
    </row>
    <row r="3687">
      <c r="A3687" s="4" t="s">
        <v>3721</v>
      </c>
      <c r="B3687" s="5" t="str">
        <f>IFERROR(__xludf.DUMMYFUNCTION("IF(A3687="""","""",INDEX(SPLIT(A3687,"" ""),COUNTA(SPLIT(A3687,"" ""))))"),"Fagagna")</f>
        <v>Fagagna</v>
      </c>
      <c r="C3687" s="6"/>
      <c r="D3687" s="6" t="s">
        <v>3685</v>
      </c>
      <c r="E3687" s="12" t="s">
        <v>3686</v>
      </c>
    </row>
    <row r="3688">
      <c r="A3688" s="4" t="s">
        <v>3722</v>
      </c>
      <c r="B3688" s="5" t="str">
        <f>IFERROR(__xludf.DUMMYFUNCTION("IF(A3688="""","""",INDEX(SPLIT(A3688,"" ""),COUNTA(SPLIT(A3688,"" ""))))"),"Flaibano")</f>
        <v>Flaibano</v>
      </c>
      <c r="C3688" s="6"/>
      <c r="D3688" s="6" t="s">
        <v>3685</v>
      </c>
      <c r="E3688" s="12" t="s">
        <v>3686</v>
      </c>
    </row>
    <row r="3689">
      <c r="A3689" s="4" t="s">
        <v>3723</v>
      </c>
      <c r="B3689" s="5" t="str">
        <f>IFERROR(__xludf.DUMMYFUNCTION("IF(A3689="""","""",INDEX(SPLIT(A3689,"" ""),COUNTA(SPLIT(A3689,"" ""))))"),"Avoltri")</f>
        <v>Avoltri</v>
      </c>
      <c r="C3689" s="6"/>
      <c r="D3689" s="6" t="s">
        <v>3685</v>
      </c>
      <c r="E3689" s="12" t="s">
        <v>3686</v>
      </c>
    </row>
    <row r="3690">
      <c r="A3690" s="4" t="s">
        <v>3724</v>
      </c>
      <c r="B3690" s="5" t="str">
        <f>IFERROR(__xludf.DUMMYFUNCTION("IF(A3690="""","""",INDEX(SPLIT(A3690,"" ""),COUNTA(SPLIT(A3690,"" ""))))"),"Sopra")</f>
        <v>Sopra</v>
      </c>
      <c r="C3690" s="6"/>
      <c r="D3690" s="6" t="s">
        <v>3685</v>
      </c>
      <c r="E3690" s="12" t="s">
        <v>3686</v>
      </c>
    </row>
    <row r="3691">
      <c r="A3691" s="4" t="s">
        <v>3725</v>
      </c>
      <c r="B3691" s="5" t="str">
        <f>IFERROR(__xludf.DUMMYFUNCTION("IF(A3691="""","""",INDEX(SPLIT(A3691,"" ""),COUNTA(SPLIT(A3691,"" ""))))"),"Sotto")</f>
        <v>Sotto</v>
      </c>
      <c r="C3691" s="6"/>
      <c r="D3691" s="6" t="s">
        <v>3685</v>
      </c>
      <c r="E3691" s="12" t="s">
        <v>3686</v>
      </c>
    </row>
    <row r="3692">
      <c r="A3692" s="4" t="s">
        <v>3726</v>
      </c>
      <c r="B3692" s="5" t="str">
        <f>IFERROR(__xludf.DUMMYFUNCTION("IF(A3692="""","""",INDEX(SPLIT(A3692,"" ""),COUNTA(SPLIT(A3692,"" ""))))"),"Friuli")</f>
        <v>Friuli</v>
      </c>
      <c r="C3692" s="6"/>
      <c r="D3692" s="6" t="s">
        <v>3685</v>
      </c>
      <c r="E3692" s="12" t="s">
        <v>3686</v>
      </c>
    </row>
    <row r="3693">
      <c r="A3693" s="4" t="s">
        <v>3727</v>
      </c>
      <c r="B3693" s="5" t="str">
        <f>IFERROR(__xludf.DUMMYFUNCTION("IF(A3693="""","""",INDEX(SPLIT(A3693,"" ""),COUNTA(SPLIT(A3693,"" ""))))"),"Gonars")</f>
        <v>Gonars</v>
      </c>
      <c r="C3693" s="6"/>
      <c r="D3693" s="6" t="s">
        <v>3685</v>
      </c>
      <c r="E3693" s="12" t="s">
        <v>3686</v>
      </c>
    </row>
    <row r="3694">
      <c r="A3694" s="4" t="s">
        <v>3728</v>
      </c>
      <c r="B3694" s="5" t="str">
        <f>IFERROR(__xludf.DUMMYFUNCTION("IF(A3694="""","""",INDEX(SPLIT(A3694,"" ""),COUNTA(SPLIT(A3694,"" ""))))"),"Grimacco")</f>
        <v>Grimacco</v>
      </c>
      <c r="C3694" s="6"/>
      <c r="D3694" s="6" t="s">
        <v>3685</v>
      </c>
      <c r="E3694" s="12" t="s">
        <v>3686</v>
      </c>
    </row>
    <row r="3695">
      <c r="A3695" s="4" t="s">
        <v>3729</v>
      </c>
      <c r="B3695" s="5" t="str">
        <f>IFERROR(__xludf.DUMMYFUNCTION("IF(A3695="""","""",INDEX(SPLIT(A3695,"" ""),COUNTA(SPLIT(A3695,"" ""))))"),"Latisana")</f>
        <v>Latisana</v>
      </c>
      <c r="C3695" s="6"/>
      <c r="D3695" s="6" t="s">
        <v>3685</v>
      </c>
      <c r="E3695" s="12" t="s">
        <v>3686</v>
      </c>
    </row>
    <row r="3696">
      <c r="A3696" s="4" t="s">
        <v>3730</v>
      </c>
      <c r="B3696" s="5" t="str">
        <f>IFERROR(__xludf.DUMMYFUNCTION("IF(A3696="""","""",INDEX(SPLIT(A3696,"" ""),COUNTA(SPLIT(A3696,"" ""))))"),"Lauco")</f>
        <v>Lauco</v>
      </c>
      <c r="C3696" s="6"/>
      <c r="D3696" s="6" t="s">
        <v>3685</v>
      </c>
      <c r="E3696" s="12" t="s">
        <v>3686</v>
      </c>
    </row>
    <row r="3697">
      <c r="A3697" s="4" t="s">
        <v>3731</v>
      </c>
      <c r="B3697" s="5" t="str">
        <f>IFERROR(__xludf.DUMMYFUNCTION("IF(A3697="""","""",INDEX(SPLIT(A3697,"" ""),COUNTA(SPLIT(A3697,"" ""))))"),"Lestizza")</f>
        <v>Lestizza</v>
      </c>
      <c r="C3697" s="6"/>
      <c r="D3697" s="6" t="s">
        <v>3685</v>
      </c>
      <c r="E3697" s="12" t="s">
        <v>3686</v>
      </c>
    </row>
    <row r="3698">
      <c r="A3698" s="4" t="s">
        <v>3732</v>
      </c>
      <c r="B3698" s="5" t="str">
        <f>IFERROR(__xludf.DUMMYFUNCTION("IF(A3698="""","""",INDEX(SPLIT(A3698,"" ""),COUNTA(SPLIT(A3698,"" ""))))"),"Sabbiadoro")</f>
        <v>Sabbiadoro</v>
      </c>
      <c r="C3698" s="6"/>
      <c r="D3698" s="6" t="s">
        <v>3685</v>
      </c>
      <c r="E3698" s="12" t="s">
        <v>3686</v>
      </c>
    </row>
    <row r="3699">
      <c r="A3699" s="4" t="s">
        <v>3733</v>
      </c>
      <c r="B3699" s="5" t="str">
        <f>IFERROR(__xludf.DUMMYFUNCTION("IF(A3699="""","""",INDEX(SPLIT(A3699,"" ""),COUNTA(SPLIT(A3699,"" ""))))"),"Lusevera")</f>
        <v>Lusevera</v>
      </c>
      <c r="C3699" s="6"/>
      <c r="D3699" s="6" t="s">
        <v>3685</v>
      </c>
      <c r="E3699" s="12" t="s">
        <v>3686</v>
      </c>
    </row>
    <row r="3700">
      <c r="A3700" s="4" t="s">
        <v>3734</v>
      </c>
      <c r="B3700" s="5" t="str">
        <f>IFERROR(__xludf.DUMMYFUNCTION("IF(A3700="""","""",INDEX(SPLIT(A3700,"" ""),COUNTA(SPLIT(A3700,"" ""))))"),"Riviera")</f>
        <v>Riviera</v>
      </c>
      <c r="C3700" s="6"/>
      <c r="D3700" s="6" t="s">
        <v>3685</v>
      </c>
      <c r="E3700" s="12" t="s">
        <v>3686</v>
      </c>
    </row>
    <row r="3701">
      <c r="A3701" s="4" t="s">
        <v>3735</v>
      </c>
      <c r="B3701" s="5" t="str">
        <f>IFERROR(__xludf.DUMMYFUNCTION("IF(A3701="""","""",INDEX(SPLIT(A3701,"" ""),COUNTA(SPLIT(A3701,"" ""))))"),"Majano")</f>
        <v>Majano</v>
      </c>
      <c r="C3701" s="6"/>
      <c r="D3701" s="6" t="s">
        <v>3685</v>
      </c>
      <c r="E3701" s="12" t="s">
        <v>3686</v>
      </c>
    </row>
    <row r="3702">
      <c r="A3702" s="4" t="s">
        <v>3736</v>
      </c>
      <c r="B3702" s="5" t="str">
        <f>IFERROR(__xludf.DUMMYFUNCTION("IF(A3702="""","""",INDEX(SPLIT(A3702,"" ""),COUNTA(SPLIT(A3702,"" ""))))"),"Valbruna")</f>
        <v>Valbruna</v>
      </c>
      <c r="C3702" s="6"/>
      <c r="D3702" s="6" t="s">
        <v>3685</v>
      </c>
      <c r="E3702" s="12" t="s">
        <v>3686</v>
      </c>
    </row>
    <row r="3703">
      <c r="A3703" s="4" t="s">
        <v>3737</v>
      </c>
      <c r="B3703" s="5" t="str">
        <f>IFERROR(__xludf.DUMMYFUNCTION("IF(A3703="""","""",INDEX(SPLIT(A3703,"" ""),COUNTA(SPLIT(A3703,"" ""))))"),"Manzano")</f>
        <v>Manzano</v>
      </c>
      <c r="C3703" s="6"/>
      <c r="D3703" s="6" t="s">
        <v>3685</v>
      </c>
      <c r="E3703" s="12" t="s">
        <v>3686</v>
      </c>
    </row>
    <row r="3704">
      <c r="A3704" s="4" t="s">
        <v>3738</v>
      </c>
      <c r="B3704" s="5" t="str">
        <f>IFERROR(__xludf.DUMMYFUNCTION("IF(A3704="""","""",INDEX(SPLIT(A3704,"" ""),COUNTA(SPLIT(A3704,"" ""))))"),"Lagunare")</f>
        <v>Lagunare</v>
      </c>
      <c r="C3704" s="6"/>
      <c r="D3704" s="6" t="s">
        <v>3685</v>
      </c>
      <c r="E3704" s="12" t="s">
        <v>3686</v>
      </c>
    </row>
    <row r="3705">
      <c r="A3705" s="4" t="s">
        <v>3739</v>
      </c>
      <c r="B3705" s="5" t="str">
        <f>IFERROR(__xludf.DUMMYFUNCTION("IF(A3705="""","""",INDEX(SPLIT(A3705,"" ""),COUNTA(SPLIT(A3705,"" ""))))"),"Martignacco")</f>
        <v>Martignacco</v>
      </c>
      <c r="C3705" s="6"/>
      <c r="D3705" s="6" t="s">
        <v>3685</v>
      </c>
      <c r="E3705" s="12" t="s">
        <v>3686</v>
      </c>
    </row>
    <row r="3706">
      <c r="A3706" s="4" t="s">
        <v>3740</v>
      </c>
      <c r="B3706" s="5" t="str">
        <f>IFERROR(__xludf.DUMMYFUNCTION("IF(A3706="""","""",INDEX(SPLIT(A3706,"" ""),COUNTA(SPLIT(A3706,"" ""))))"),"Tomba")</f>
        <v>Tomba</v>
      </c>
      <c r="C3706" s="6"/>
      <c r="D3706" s="6" t="s">
        <v>3685</v>
      </c>
      <c r="E3706" s="12" t="s">
        <v>3686</v>
      </c>
    </row>
    <row r="3707">
      <c r="A3707" s="4" t="s">
        <v>3741</v>
      </c>
      <c r="B3707" s="5" t="str">
        <f>IFERROR(__xludf.DUMMYFUNCTION("IF(A3707="""","""",INDEX(SPLIT(A3707,"" ""),COUNTA(SPLIT(A3707,"" ""))))"),"Udinese")</f>
        <v>Udinese</v>
      </c>
      <c r="C3707" s="6"/>
      <c r="D3707" s="6" t="s">
        <v>3685</v>
      </c>
      <c r="E3707" s="12" t="s">
        <v>3686</v>
      </c>
    </row>
    <row r="3708">
      <c r="A3708" s="4" t="s">
        <v>3742</v>
      </c>
      <c r="B3708" s="5" t="str">
        <f>IFERROR(__xludf.DUMMYFUNCTION("IF(A3708="""","""",INDEX(SPLIT(A3708,"" ""),COUNTA(SPLIT(A3708,"" ""))))"),"Moimacco")</f>
        <v>Moimacco</v>
      </c>
      <c r="C3708" s="6"/>
      <c r="D3708" s="6" t="s">
        <v>3685</v>
      </c>
      <c r="E3708" s="12" t="s">
        <v>3686</v>
      </c>
    </row>
    <row r="3709">
      <c r="A3709" s="4" t="s">
        <v>3743</v>
      </c>
      <c r="B3709" s="5" t="str">
        <f>IFERROR(__xludf.DUMMYFUNCTION("IF(A3709="""","""",INDEX(SPLIT(A3709,"" ""),COUNTA(SPLIT(A3709,"" ""))))"),"Montenars")</f>
        <v>Montenars</v>
      </c>
      <c r="C3709" s="6"/>
      <c r="D3709" s="6" t="s">
        <v>3685</v>
      </c>
      <c r="E3709" s="12" t="s">
        <v>3686</v>
      </c>
    </row>
    <row r="3710">
      <c r="A3710" s="4" t="s">
        <v>3744</v>
      </c>
      <c r="B3710" s="5" t="str">
        <f>IFERROR(__xludf.DUMMYFUNCTION("IF(A3710="""","""",INDEX(SPLIT(A3710,"" ""),COUNTA(SPLIT(A3710,"" ""))))"),"Mortegliano")</f>
        <v>Mortegliano</v>
      </c>
      <c r="C3710" s="6"/>
      <c r="D3710" s="6" t="s">
        <v>3685</v>
      </c>
      <c r="E3710" s="12" t="s">
        <v>3686</v>
      </c>
    </row>
    <row r="3711">
      <c r="A3711" s="4" t="s">
        <v>3745</v>
      </c>
      <c r="B3711" s="5" t="str">
        <f>IFERROR(__xludf.DUMMYFUNCTION("IF(A3711="""","""",INDEX(SPLIT(A3711,"" ""),COUNTA(SPLIT(A3711,"" ""))))"),"Moruzzo")</f>
        <v>Moruzzo</v>
      </c>
      <c r="C3711" s="6"/>
      <c r="D3711" s="6" t="s">
        <v>3685</v>
      </c>
      <c r="E3711" s="12" t="s">
        <v>3686</v>
      </c>
    </row>
    <row r="3712">
      <c r="A3712" s="4" t="s">
        <v>3746</v>
      </c>
      <c r="B3712" s="5" t="str">
        <f>IFERROR(__xludf.DUMMYFUNCTION("IF(A3712="""","""",INDEX(SPLIT(A3712,"" ""),COUNTA(SPLIT(A3712,"" ""))))"),"Turgnano")</f>
        <v>Turgnano</v>
      </c>
      <c r="C3712" s="6"/>
      <c r="D3712" s="6" t="s">
        <v>3685</v>
      </c>
      <c r="E3712" s="12" t="s">
        <v>3686</v>
      </c>
    </row>
    <row r="3713">
      <c r="A3713" s="4" t="s">
        <v>3747</v>
      </c>
      <c r="B3713" s="5" t="str">
        <f>IFERROR(__xludf.DUMMYFUNCTION("IF(A3713="""","""",INDEX(SPLIT(A3713,"" ""),COUNTA(SPLIT(A3713,"" ""))))"),"Nimis")</f>
        <v>Nimis</v>
      </c>
      <c r="C3713" s="6"/>
      <c r="D3713" s="6" t="s">
        <v>3685</v>
      </c>
      <c r="E3713" s="12" t="s">
        <v>3686</v>
      </c>
    </row>
    <row r="3714">
      <c r="A3714" s="4" t="s">
        <v>3748</v>
      </c>
      <c r="B3714" s="5" t="str">
        <f>IFERROR(__xludf.DUMMYFUNCTION("IF(A3714="""","""",INDEX(SPLIT(A3714,"" ""),COUNTA(SPLIT(A3714,"" ""))))"),"Osoppo")</f>
        <v>Osoppo</v>
      </c>
      <c r="C3714" s="6"/>
      <c r="D3714" s="6" t="s">
        <v>3685</v>
      </c>
      <c r="E3714" s="12" t="s">
        <v>3686</v>
      </c>
    </row>
    <row r="3715">
      <c r="A3715" s="4" t="s">
        <v>3749</v>
      </c>
      <c r="B3715" s="5" t="str">
        <f>IFERROR(__xludf.DUMMYFUNCTION("IF(A3715="""","""",INDEX(SPLIT(A3715,"" ""),COUNTA(SPLIT(A3715,"" ""))))"),"Ovaro")</f>
        <v>Ovaro</v>
      </c>
      <c r="C3715" s="6"/>
      <c r="D3715" s="6" t="s">
        <v>3685</v>
      </c>
      <c r="E3715" s="12" t="s">
        <v>3686</v>
      </c>
    </row>
    <row r="3716">
      <c r="A3716" s="4" t="s">
        <v>3750</v>
      </c>
      <c r="B3716" s="5" t="str">
        <f>IFERROR(__xludf.DUMMYFUNCTION("IF(A3716="""","""",INDEX(SPLIT(A3716,"" ""),COUNTA(SPLIT(A3716,"" ""))))"),"Pagnacco")</f>
        <v>Pagnacco</v>
      </c>
      <c r="C3716" s="6"/>
      <c r="D3716" s="6" t="s">
        <v>3685</v>
      </c>
      <c r="E3716" s="12" t="s">
        <v>3686</v>
      </c>
    </row>
    <row r="3717">
      <c r="A3717" s="4" t="s">
        <v>3751</v>
      </c>
      <c r="B3717" s="5" t="str">
        <f>IFERROR(__xludf.DUMMYFUNCTION("IF(A3717="""","""",INDEX(SPLIT(A3717,"" ""),COUNTA(SPLIT(A3717,"" ""))))"),"Stella")</f>
        <v>Stella</v>
      </c>
      <c r="C3717" s="6"/>
      <c r="D3717" s="6" t="s">
        <v>3685</v>
      </c>
      <c r="E3717" s="12" t="s">
        <v>3686</v>
      </c>
    </row>
    <row r="3718">
      <c r="A3718" s="4" t="s">
        <v>3752</v>
      </c>
      <c r="B3718" s="5" t="str">
        <f>IFERROR(__xludf.DUMMYFUNCTION("IF(A3718="""","""",INDEX(SPLIT(A3718,"" ""),COUNTA(SPLIT(A3718,"" ""))))"),"Palmanova")</f>
        <v>Palmanova</v>
      </c>
      <c r="C3718" s="6"/>
      <c r="D3718" s="6" t="s">
        <v>3685</v>
      </c>
      <c r="E3718" s="12" t="s">
        <v>3686</v>
      </c>
    </row>
    <row r="3719">
      <c r="A3719" s="4" t="s">
        <v>3753</v>
      </c>
      <c r="B3719" s="5" t="str">
        <f>IFERROR(__xludf.DUMMYFUNCTION("IF(A3719="""","""",INDEX(SPLIT(A3719,"" ""),COUNTA(SPLIT(A3719,"" ""))))"),"Paluzza")</f>
        <v>Paluzza</v>
      </c>
      <c r="C3719" s="6"/>
      <c r="D3719" s="6" t="s">
        <v>3685</v>
      </c>
      <c r="E3719" s="12" t="s">
        <v>3686</v>
      </c>
    </row>
    <row r="3720">
      <c r="A3720" s="4" t="s">
        <v>3754</v>
      </c>
      <c r="B3720" s="5" t="str">
        <f>IFERROR(__xludf.DUMMYFUNCTION("IF(A3720="""","""",INDEX(SPLIT(A3720,"" ""),COUNTA(SPLIT(A3720,"" ""))))"),"Prato")</f>
        <v>Prato</v>
      </c>
      <c r="C3720" s="6"/>
      <c r="D3720" s="6" t="s">
        <v>3685</v>
      </c>
      <c r="E3720" s="12" t="s">
        <v>3686</v>
      </c>
    </row>
    <row r="3721">
      <c r="A3721" s="4" t="s">
        <v>3755</v>
      </c>
      <c r="B3721" s="5" t="str">
        <f>IFERROR(__xludf.DUMMYFUNCTION("IF(A3721="""","""",INDEX(SPLIT(A3721,"" ""),COUNTA(SPLIT(A3721,"" ""))))"),"Paularo")</f>
        <v>Paularo</v>
      </c>
      <c r="C3721" s="6"/>
      <c r="D3721" s="6" t="s">
        <v>3685</v>
      </c>
      <c r="E3721" s="12" t="s">
        <v>3686</v>
      </c>
    </row>
    <row r="3722">
      <c r="A3722" s="4" t="s">
        <v>3756</v>
      </c>
      <c r="B3722" s="5" t="str">
        <f>IFERROR(__xludf.DUMMYFUNCTION("IF(A3722="""","""",INDEX(SPLIT(A3722,"" ""),COUNTA(SPLIT(A3722,"" ""))))"),"Udine")</f>
        <v>Udine</v>
      </c>
      <c r="C3722" s="6"/>
      <c r="D3722" s="6" t="s">
        <v>3685</v>
      </c>
      <c r="E3722" s="12" t="s">
        <v>3686</v>
      </c>
    </row>
    <row r="3723">
      <c r="A3723" s="4" t="s">
        <v>3757</v>
      </c>
      <c r="B3723" s="5" t="str">
        <f>IFERROR(__xludf.DUMMYFUNCTION("IF(A3723="""","""",INDEX(SPLIT(A3723,"" ""),COUNTA(SPLIT(A3723,"" ""))))"),"Pocenia")</f>
        <v>Pocenia</v>
      </c>
      <c r="C3723" s="6"/>
      <c r="D3723" s="6" t="s">
        <v>3685</v>
      </c>
      <c r="E3723" s="12" t="s">
        <v>3686</v>
      </c>
    </row>
    <row r="3724">
      <c r="A3724" s="4" t="s">
        <v>3758</v>
      </c>
      <c r="B3724" s="5" t="str">
        <f>IFERROR(__xludf.DUMMYFUNCTION("IF(A3724="""","""",INDEX(SPLIT(A3724,"" ""),COUNTA(SPLIT(A3724,"" ""))))"),"Pontebba")</f>
        <v>Pontebba</v>
      </c>
      <c r="C3724" s="6"/>
      <c r="D3724" s="6" t="s">
        <v>3685</v>
      </c>
      <c r="E3724" s="12" t="s">
        <v>3686</v>
      </c>
    </row>
    <row r="3725">
      <c r="A3725" s="4" t="s">
        <v>3759</v>
      </c>
      <c r="B3725" s="5" t="str">
        <f>IFERROR(__xludf.DUMMYFUNCTION("IF(A3725="""","""",INDEX(SPLIT(A3725,"" ""),COUNTA(SPLIT(A3725,"" ""))))"),"Porpetto")</f>
        <v>Porpetto</v>
      </c>
      <c r="C3725" s="6"/>
      <c r="D3725" s="6" t="s">
        <v>3685</v>
      </c>
      <c r="E3725" s="12" t="s">
        <v>3686</v>
      </c>
    </row>
    <row r="3726">
      <c r="A3726" s="4" t="s">
        <v>3760</v>
      </c>
      <c r="B3726" s="5" t="str">
        <f>IFERROR(__xludf.DUMMYFUNCTION("IF(A3726="""","""",INDEX(SPLIT(A3726,"" ""),COUNTA(SPLIT(A3726,"" ""))))"),"Povoletto")</f>
        <v>Povoletto</v>
      </c>
      <c r="C3726" s="6"/>
      <c r="D3726" s="6" t="s">
        <v>3685</v>
      </c>
      <c r="E3726" s="12" t="s">
        <v>3686</v>
      </c>
    </row>
    <row r="3727">
      <c r="A3727" s="4" t="s">
        <v>3761</v>
      </c>
      <c r="B3727" s="5" t="str">
        <f>IFERROR(__xludf.DUMMYFUNCTION("IF(A3727="""","""",INDEX(SPLIT(A3727,"" ""),COUNTA(SPLIT(A3727,"" ""))))"),"Friuli")</f>
        <v>Friuli</v>
      </c>
      <c r="C3727" s="6"/>
      <c r="D3727" s="6" t="s">
        <v>3685</v>
      </c>
      <c r="E3727" s="12" t="s">
        <v>3686</v>
      </c>
    </row>
    <row r="3728">
      <c r="A3728" s="4" t="s">
        <v>3762</v>
      </c>
      <c r="B3728" s="5" t="str">
        <f>IFERROR(__xludf.DUMMYFUNCTION("IF(A3728="""","""",INDEX(SPLIT(A3728,"" ""),COUNTA(SPLIT(A3728,"" ""))))"),"Pradamano")</f>
        <v>Pradamano</v>
      </c>
      <c r="C3728" s="6"/>
      <c r="D3728" s="6" t="s">
        <v>3685</v>
      </c>
      <c r="E3728" s="12" t="s">
        <v>3686</v>
      </c>
    </row>
    <row r="3729">
      <c r="A3729" s="4" t="s">
        <v>3763</v>
      </c>
      <c r="B3729" s="5" t="str">
        <f>IFERROR(__xludf.DUMMYFUNCTION("IF(A3729="""","""",INDEX(SPLIT(A3729,"" ""),COUNTA(SPLIT(A3729,"" ""))))"),"Carnico")</f>
        <v>Carnico</v>
      </c>
      <c r="C3729" s="6"/>
      <c r="D3729" s="6" t="s">
        <v>3685</v>
      </c>
      <c r="E3729" s="12" t="s">
        <v>3686</v>
      </c>
    </row>
    <row r="3730">
      <c r="A3730" s="4" t="s">
        <v>3764</v>
      </c>
      <c r="B3730" s="5" t="str">
        <f>IFERROR(__xludf.DUMMYFUNCTION("IF(A3730="""","""",INDEX(SPLIT(A3730,"" ""),COUNTA(SPLIT(A3730,"" ""))))"),"Precenicco")</f>
        <v>Precenicco</v>
      </c>
      <c r="C3730" s="6"/>
      <c r="D3730" s="6" t="s">
        <v>3685</v>
      </c>
      <c r="E3730" s="12" t="s">
        <v>3686</v>
      </c>
    </row>
    <row r="3731">
      <c r="A3731" s="4" t="s">
        <v>3765</v>
      </c>
      <c r="B3731" s="5" t="str">
        <f>IFERROR(__xludf.DUMMYFUNCTION("IF(A3731="""","""",INDEX(SPLIT(A3731,"" ""),COUNTA(SPLIT(A3731,"" ""))))"),"Premariacco")</f>
        <v>Premariacco</v>
      </c>
      <c r="C3731" s="6"/>
      <c r="D3731" s="6" t="s">
        <v>3685</v>
      </c>
      <c r="E3731" s="12" t="s">
        <v>3686</v>
      </c>
    </row>
    <row r="3732">
      <c r="A3732" s="4" t="s">
        <v>3766</v>
      </c>
      <c r="B3732" s="5" t="str">
        <f>IFERROR(__xludf.DUMMYFUNCTION("IF(A3732="""","""",INDEX(SPLIT(A3732,"" ""),COUNTA(SPLIT(A3732,"" ""))))"),"Preone")</f>
        <v>Preone</v>
      </c>
      <c r="C3732" s="6"/>
      <c r="D3732" s="6" t="s">
        <v>3685</v>
      </c>
      <c r="E3732" s="12" t="s">
        <v>3686</v>
      </c>
    </row>
    <row r="3733">
      <c r="A3733" s="4" t="s">
        <v>3767</v>
      </c>
      <c r="B3733" s="5" t="str">
        <f>IFERROR(__xludf.DUMMYFUNCTION("IF(A3733="""","""",INDEX(SPLIT(A3733,"" ""),COUNTA(SPLIT(A3733,"" ""))))"),"Prepotto")</f>
        <v>Prepotto</v>
      </c>
      <c r="C3733" s="6"/>
      <c r="D3733" s="6" t="s">
        <v>3685</v>
      </c>
      <c r="E3733" s="12" t="s">
        <v>3686</v>
      </c>
    </row>
    <row r="3734">
      <c r="A3734" s="4" t="s">
        <v>3768</v>
      </c>
      <c r="B3734" s="5" t="str">
        <f>IFERROR(__xludf.DUMMYFUNCTION("IF(A3734="""","""",INDEX(SPLIT(A3734,"" ""),COUNTA(SPLIT(A3734,"" ""))))"),"Pulfero")</f>
        <v>Pulfero</v>
      </c>
      <c r="C3734" s="6"/>
      <c r="D3734" s="6" t="s">
        <v>3685</v>
      </c>
      <c r="E3734" s="12" t="s">
        <v>3686</v>
      </c>
    </row>
    <row r="3735">
      <c r="A3735" s="4" t="s">
        <v>3769</v>
      </c>
      <c r="B3735" s="5" t="str">
        <f>IFERROR(__xludf.DUMMYFUNCTION("IF(A3735="""","""",INDEX(SPLIT(A3735,"" ""),COUNTA(SPLIT(A3735,"" ""))))"),"Ragogna")</f>
        <v>Ragogna</v>
      </c>
      <c r="C3735" s="6"/>
      <c r="D3735" s="6" t="s">
        <v>3685</v>
      </c>
      <c r="E3735" s="12" t="s">
        <v>3686</v>
      </c>
    </row>
    <row r="3736">
      <c r="A3736" s="4" t="s">
        <v>3770</v>
      </c>
      <c r="B3736" s="5" t="str">
        <f>IFERROR(__xludf.DUMMYFUNCTION("IF(A3736="""","""",INDEX(SPLIT(A3736,"" ""),COUNTA(SPLIT(A3736,"" ""))))"),"Ravascletto")</f>
        <v>Ravascletto</v>
      </c>
      <c r="C3736" s="6"/>
      <c r="D3736" s="6" t="s">
        <v>3685</v>
      </c>
      <c r="E3736" s="12" t="s">
        <v>3686</v>
      </c>
    </row>
    <row r="3737">
      <c r="A3737" s="4" t="s">
        <v>3771</v>
      </c>
      <c r="B3737" s="5" t="str">
        <f>IFERROR(__xludf.DUMMYFUNCTION("IF(A3737="""","""",INDEX(SPLIT(A3737,"" ""),COUNTA(SPLIT(A3737,"" ""))))"),"Raveo")</f>
        <v>Raveo</v>
      </c>
      <c r="C3737" s="6"/>
      <c r="D3737" s="6" t="s">
        <v>3685</v>
      </c>
      <c r="E3737" s="12" t="s">
        <v>3686</v>
      </c>
    </row>
    <row r="3738">
      <c r="A3738" s="4" t="s">
        <v>3772</v>
      </c>
      <c r="B3738" s="5" t="str">
        <f>IFERROR(__xludf.DUMMYFUNCTION("IF(A3738="""","""",INDEX(SPLIT(A3738,"" ""),COUNTA(SPLIT(A3738,"" ""))))"),"Rojale")</f>
        <v>Rojale</v>
      </c>
      <c r="C3738" s="6"/>
      <c r="D3738" s="6" t="s">
        <v>3685</v>
      </c>
      <c r="E3738" s="12" t="s">
        <v>3686</v>
      </c>
    </row>
    <row r="3739">
      <c r="A3739" s="4" t="s">
        <v>3773</v>
      </c>
      <c r="B3739" s="5" t="str">
        <f>IFERROR(__xludf.DUMMYFUNCTION("IF(A3739="""","""",INDEX(SPLIT(A3739,"" ""),COUNTA(SPLIT(A3739,"" ""))))"),"Remanzacco")</f>
        <v>Remanzacco</v>
      </c>
      <c r="C3739" s="6"/>
      <c r="D3739" s="6" t="s">
        <v>3685</v>
      </c>
      <c r="E3739" s="12" t="s">
        <v>3686</v>
      </c>
    </row>
    <row r="3740">
      <c r="A3740" s="4" t="s">
        <v>3774</v>
      </c>
      <c r="B3740" s="5" t="str">
        <f>IFERROR(__xludf.DUMMYFUNCTION("IF(A3740="""","""",INDEX(SPLIT(A3740,"" ""),COUNTA(SPLIT(A3740,"" ""))))"),"Resia")</f>
        <v>Resia</v>
      </c>
      <c r="C3740" s="6"/>
      <c r="D3740" s="6" t="s">
        <v>3685</v>
      </c>
      <c r="E3740" s="12" t="s">
        <v>3686</v>
      </c>
    </row>
    <row r="3741">
      <c r="A3741" s="4" t="s">
        <v>3775</v>
      </c>
      <c r="B3741" s="5" t="str">
        <f>IFERROR(__xludf.DUMMYFUNCTION("IF(A3741="""","""",INDEX(SPLIT(A3741,"" ""),COUNTA(SPLIT(A3741,"" ""))))"),"Resiutta")</f>
        <v>Resiutta</v>
      </c>
      <c r="C3741" s="6"/>
      <c r="D3741" s="6" t="s">
        <v>3685</v>
      </c>
      <c r="E3741" s="12" t="s">
        <v>3686</v>
      </c>
    </row>
    <row r="3742">
      <c r="A3742" s="4" t="s">
        <v>3776</v>
      </c>
      <c r="B3742" s="5" t="str">
        <f>IFERROR(__xludf.DUMMYFUNCTION("IF(A3742="""","""",INDEX(SPLIT(A3742,"" ""),COUNTA(SPLIT(A3742,"" ""))))"),"Rigolato")</f>
        <v>Rigolato</v>
      </c>
      <c r="C3742" s="6"/>
      <c r="D3742" s="6" t="s">
        <v>3685</v>
      </c>
      <c r="E3742" s="12" t="s">
        <v>3686</v>
      </c>
    </row>
    <row r="3743">
      <c r="A3743" s="4" t="s">
        <v>3777</v>
      </c>
      <c r="B3743" s="5" t="str">
        <f>IFERROR(__xludf.DUMMYFUNCTION("IF(A3743="""","""",INDEX(SPLIT(A3743,"" ""),COUNTA(SPLIT(A3743,"" ""))))"),"d'Arcano")</f>
        <v>d'Arcano</v>
      </c>
      <c r="C3743" s="6"/>
      <c r="D3743" s="6" t="s">
        <v>3685</v>
      </c>
      <c r="E3743" s="12" t="s">
        <v>3686</v>
      </c>
    </row>
    <row r="3744">
      <c r="A3744" s="4" t="s">
        <v>3778</v>
      </c>
      <c r="B3744" s="5" t="str">
        <f>IFERROR(__xludf.DUMMYFUNCTION("IF(A3744="""","""",INDEX(SPLIT(A3744,"" ""),COUNTA(SPLIT(A3744,"" ""))))"),"Ronchis")</f>
        <v>Ronchis</v>
      </c>
      <c r="C3744" s="6"/>
      <c r="D3744" s="6" t="s">
        <v>3685</v>
      </c>
      <c r="E3744" s="12" t="s">
        <v>3686</v>
      </c>
    </row>
    <row r="3745">
      <c r="A3745" s="4" t="s">
        <v>3779</v>
      </c>
      <c r="B3745" s="5" t="str">
        <f>IFERROR(__xludf.DUMMYFUNCTION("IF(A3745="""","""",INDEX(SPLIT(A3745,"" ""),COUNTA(SPLIT(A3745,"" ""))))"),"Ruda")</f>
        <v>Ruda</v>
      </c>
      <c r="C3745" s="6"/>
      <c r="D3745" s="6" t="s">
        <v>3685</v>
      </c>
      <c r="E3745" s="12" t="s">
        <v>3686</v>
      </c>
    </row>
    <row r="3746">
      <c r="A3746" s="4" t="s">
        <v>3780</v>
      </c>
      <c r="B3746" s="5" t="str">
        <f>IFERROR(__xludf.DUMMYFUNCTION("IF(A3746="""","""",INDEX(SPLIT(A3746,"" ""),COUNTA(SPLIT(A3746,"" ""))))"),"Friuli")</f>
        <v>Friuli</v>
      </c>
      <c r="C3746" s="6"/>
      <c r="D3746" s="6" t="s">
        <v>3685</v>
      </c>
      <c r="E3746" s="12" t="s">
        <v>3686</v>
      </c>
    </row>
    <row r="3747">
      <c r="A3747" s="4" t="s">
        <v>3781</v>
      </c>
      <c r="B3747" s="5" t="str">
        <f>IFERROR(__xludf.DUMMYFUNCTION("IF(A3747="""","""",INDEX(SPLIT(A3747,"" ""),COUNTA(SPLIT(A3747,"" ""))))"),"Nogaro")</f>
        <v>Nogaro</v>
      </c>
      <c r="C3747" s="6"/>
      <c r="D3747" s="6" t="s">
        <v>3685</v>
      </c>
      <c r="E3747" s="12" t="s">
        <v>3686</v>
      </c>
    </row>
    <row r="3748">
      <c r="A3748" s="4" t="s">
        <v>3782</v>
      </c>
      <c r="B3748" s="5" t="str">
        <f>IFERROR(__xludf.DUMMYFUNCTION("IF(A3748="""","""",INDEX(SPLIT(A3748,"" ""),COUNTA(SPLIT(A3748,"" ""))))"),"Natisone")</f>
        <v>Natisone</v>
      </c>
      <c r="C3748" s="6"/>
      <c r="D3748" s="6" t="s">
        <v>3685</v>
      </c>
      <c r="E3748" s="12" t="s">
        <v>3686</v>
      </c>
    </row>
    <row r="3749">
      <c r="A3749" s="4" t="s">
        <v>3783</v>
      </c>
      <c r="B3749" s="5" t="str">
        <f>IFERROR(__xludf.DUMMYFUNCTION("IF(A3749="""","""",INDEX(SPLIT(A3749,"" ""),COUNTA(SPLIT(A3749,"" ""))))"),"Leonardo")</f>
        <v>Leonardo</v>
      </c>
      <c r="C3749" s="6"/>
      <c r="D3749" s="6" t="s">
        <v>3685</v>
      </c>
      <c r="E3749" s="12" t="s">
        <v>3686</v>
      </c>
    </row>
    <row r="3750">
      <c r="A3750" s="4" t="s">
        <v>3784</v>
      </c>
      <c r="B3750" s="5" t="str">
        <f>IFERROR(__xludf.DUMMYFUNCTION("IF(A3750="""","""",INDEX(SPLIT(A3750,"" ""),COUNTA(SPLIT(A3750,"" ""))))"),"Natisone")</f>
        <v>Natisone</v>
      </c>
      <c r="C3750" s="6"/>
      <c r="D3750" s="6" t="s">
        <v>3685</v>
      </c>
      <c r="E3750" s="12" t="s">
        <v>3686</v>
      </c>
    </row>
    <row r="3751">
      <c r="A3751" s="4" t="s">
        <v>3785</v>
      </c>
      <c r="B3751" s="5" t="str">
        <f>IFERROR(__xludf.DUMMYFUNCTION("IF(A3751="""","""",INDEX(SPLIT(A3751,"" ""),COUNTA(SPLIT(A3751,"" ""))))"),"Longa")</f>
        <v>Longa</v>
      </c>
      <c r="C3751" s="6"/>
      <c r="D3751" s="6" t="s">
        <v>3685</v>
      </c>
      <c r="E3751" s="12" t="s">
        <v>3686</v>
      </c>
    </row>
    <row r="3752">
      <c r="A3752" s="4" t="s">
        <v>3786</v>
      </c>
      <c r="B3752" s="5" t="str">
        <f>IFERROR(__xludf.DUMMYFUNCTION("IF(A3752="""","""",INDEX(SPLIT(A3752,"" ""),COUNTA(SPLIT(A3752,"" ""))))"),"Torre")</f>
        <v>Torre</v>
      </c>
      <c r="C3752" s="6"/>
      <c r="D3752" s="6" t="s">
        <v>3685</v>
      </c>
      <c r="E3752" s="12" t="s">
        <v>3686</v>
      </c>
    </row>
    <row r="3753">
      <c r="A3753" s="4" t="s">
        <v>3787</v>
      </c>
      <c r="B3753" s="5" t="str">
        <f>IFERROR(__xludf.DUMMYFUNCTION("IF(A3753="""","""",INDEX(SPLIT(A3753,"" ""),COUNTA(SPLIT(A3753,"" ""))))"),"Fagagna")</f>
        <v>Fagagna</v>
      </c>
      <c r="C3753" s="6"/>
      <c r="D3753" s="6" t="s">
        <v>3685</v>
      </c>
      <c r="E3753" s="12" t="s">
        <v>3686</v>
      </c>
    </row>
    <row r="3754">
      <c r="A3754" s="4" t="s">
        <v>3788</v>
      </c>
      <c r="B3754" s="5" t="str">
        <f>IFERROR(__xludf.DUMMYFUNCTION("IF(A3754="""","""",INDEX(SPLIT(A3754,"" ""),COUNTA(SPLIT(A3754,"" ""))))"),"Sauris")</f>
        <v>Sauris</v>
      </c>
      <c r="C3754" s="6"/>
      <c r="D3754" s="6" t="s">
        <v>3685</v>
      </c>
      <c r="E3754" s="12" t="s">
        <v>3686</v>
      </c>
    </row>
    <row r="3755">
      <c r="A3755" s="4" t="s">
        <v>3789</v>
      </c>
      <c r="B3755" s="5" t="str">
        <f>IFERROR(__xludf.DUMMYFUNCTION("IF(A3755="""","""",INDEX(SPLIT(A3755,"" ""),COUNTA(SPLIT(A3755,"" ""))))"),"Savogna")</f>
        <v>Savogna</v>
      </c>
      <c r="C3755" s="6"/>
      <c r="D3755" s="6" t="s">
        <v>3685</v>
      </c>
      <c r="E3755" s="12" t="s">
        <v>3686</v>
      </c>
    </row>
    <row r="3756">
      <c r="A3756" s="4" t="s">
        <v>3790</v>
      </c>
      <c r="B3756" s="5" t="str">
        <f>IFERROR(__xludf.DUMMYFUNCTION("IF(A3756="""","""",INDEX(SPLIT(A3756,"" ""),COUNTA(SPLIT(A3756,"" ""))))"),"Sedegliano")</f>
        <v>Sedegliano</v>
      </c>
      <c r="C3756" s="6"/>
      <c r="D3756" s="6" t="s">
        <v>3685</v>
      </c>
      <c r="E3756" s="12" t="s">
        <v>3686</v>
      </c>
    </row>
    <row r="3757">
      <c r="A3757" s="4" t="s">
        <v>3791</v>
      </c>
      <c r="B3757" s="5" t="str">
        <f>IFERROR(__xludf.DUMMYFUNCTION("IF(A3757="""","""",INDEX(SPLIT(A3757,"" ""),COUNTA(SPLIT(A3757,"" ""))))"),"Socchieve")</f>
        <v>Socchieve</v>
      </c>
      <c r="C3757" s="6"/>
      <c r="D3757" s="6" t="s">
        <v>3685</v>
      </c>
      <c r="E3757" s="12" t="s">
        <v>3686</v>
      </c>
    </row>
    <row r="3758">
      <c r="A3758" s="4" t="s">
        <v>3792</v>
      </c>
      <c r="B3758" s="5" t="str">
        <f>IFERROR(__xludf.DUMMYFUNCTION("IF(A3758="""","""",INDEX(SPLIT(A3758,"" ""),COUNTA(SPLIT(A3758,"" ""))))"),"Stregna")</f>
        <v>Stregna</v>
      </c>
      <c r="C3758" s="6"/>
      <c r="D3758" s="6" t="s">
        <v>3685</v>
      </c>
      <c r="E3758" s="12" t="s">
        <v>3686</v>
      </c>
    </row>
    <row r="3759">
      <c r="A3759" s="4" t="s">
        <v>3793</v>
      </c>
      <c r="B3759" s="5" t="str">
        <f>IFERROR(__xludf.DUMMYFUNCTION("IF(A3759="""","""",INDEX(SPLIT(A3759,"" ""),COUNTA(SPLIT(A3759,"" ""))))"),"Sutrio")</f>
        <v>Sutrio</v>
      </c>
      <c r="C3759" s="6"/>
      <c r="D3759" s="6" t="s">
        <v>3685</v>
      </c>
      <c r="E3759" s="12" t="s">
        <v>3686</v>
      </c>
    </row>
    <row r="3760">
      <c r="A3760" s="4" t="s">
        <v>3794</v>
      </c>
      <c r="B3760" s="5" t="str">
        <f>IFERROR(__xludf.DUMMYFUNCTION("IF(A3760="""","""",INDEX(SPLIT(A3760,"" ""),COUNTA(SPLIT(A3760,"" ""))))"),"Taipana")</f>
        <v>Taipana</v>
      </c>
      <c r="C3760" s="6"/>
      <c r="D3760" s="6" t="s">
        <v>3685</v>
      </c>
      <c r="E3760" s="12" t="s">
        <v>3686</v>
      </c>
    </row>
    <row r="3761">
      <c r="A3761" s="4" t="s">
        <v>3795</v>
      </c>
      <c r="B3761" s="5" t="str">
        <f>IFERROR(__xludf.DUMMYFUNCTION("IF(A3761="""","""",INDEX(SPLIT(A3761,"" ""),COUNTA(SPLIT(A3761,"" ""))))"),"Talmassons")</f>
        <v>Talmassons</v>
      </c>
      <c r="C3761" s="6"/>
      <c r="D3761" s="6" t="s">
        <v>3685</v>
      </c>
      <c r="E3761" s="12" t="s">
        <v>3686</v>
      </c>
    </row>
    <row r="3762">
      <c r="A3762" s="4" t="s">
        <v>3796</v>
      </c>
      <c r="B3762" s="5" t="str">
        <f>IFERROR(__xludf.DUMMYFUNCTION("IF(A3762="""","""",INDEX(SPLIT(A3762,"" ""),COUNTA(SPLIT(A3762,"" ""))))"),"Tarcento")</f>
        <v>Tarcento</v>
      </c>
      <c r="C3762" s="6"/>
      <c r="D3762" s="6" t="s">
        <v>3685</v>
      </c>
      <c r="E3762" s="12" t="s">
        <v>3686</v>
      </c>
    </row>
    <row r="3763">
      <c r="A3763" s="4" t="s">
        <v>3797</v>
      </c>
      <c r="B3763" s="5" t="str">
        <f>IFERROR(__xludf.DUMMYFUNCTION("IF(A3763="""","""",INDEX(SPLIT(A3763,"" ""),COUNTA(SPLIT(A3763,"" ""))))"),"Tarvisio")</f>
        <v>Tarvisio</v>
      </c>
      <c r="C3763" s="6"/>
      <c r="D3763" s="6" t="s">
        <v>3685</v>
      </c>
      <c r="E3763" s="12" t="s">
        <v>3686</v>
      </c>
    </row>
    <row r="3764">
      <c r="A3764" s="4" t="s">
        <v>3798</v>
      </c>
      <c r="B3764" s="5" t="str">
        <f>IFERROR(__xludf.DUMMYFUNCTION("IF(A3764="""","""",INDEX(SPLIT(A3764,"" ""),COUNTA(SPLIT(A3764,"" ""))))"),"Tavagnacco")</f>
        <v>Tavagnacco</v>
      </c>
      <c r="C3764" s="6"/>
      <c r="D3764" s="6" t="s">
        <v>3685</v>
      </c>
      <c r="E3764" s="12" t="s">
        <v>3686</v>
      </c>
    </row>
    <row r="3765">
      <c r="A3765" s="4" t="s">
        <v>3799</v>
      </c>
      <c r="B3765" s="5" t="str">
        <f>IFERROR(__xludf.DUMMYFUNCTION("IF(A3765="""","""",INDEX(SPLIT(A3765,"" ""),COUNTA(SPLIT(A3765,"" ""))))"),"d'Aquileia")</f>
        <v>d'Aquileia</v>
      </c>
      <c r="C3765" s="6"/>
      <c r="D3765" s="6" t="s">
        <v>3685</v>
      </c>
      <c r="E3765" s="12" t="s">
        <v>3686</v>
      </c>
    </row>
    <row r="3766">
      <c r="A3766" s="4" t="s">
        <v>3800</v>
      </c>
      <c r="B3766" s="5" t="str">
        <f>IFERROR(__xludf.DUMMYFUNCTION("IF(A3766="""","""",INDEX(SPLIT(A3766,"" ""),COUNTA(SPLIT(A3766,"" ""))))"),"Tolmezzo")</f>
        <v>Tolmezzo</v>
      </c>
      <c r="C3766" s="6"/>
      <c r="D3766" s="6" t="s">
        <v>3685</v>
      </c>
      <c r="E3766" s="12" t="s">
        <v>3686</v>
      </c>
    </row>
    <row r="3767">
      <c r="A3767" s="4" t="s">
        <v>3801</v>
      </c>
      <c r="B3767" s="5" t="str">
        <f>IFERROR(__xludf.DUMMYFUNCTION("IF(A3767="""","""",INDEX(SPLIT(A3767,"" ""),COUNTA(SPLIT(A3767,"" ""))))"),"Torreano")</f>
        <v>Torreano</v>
      </c>
      <c r="C3767" s="6"/>
      <c r="D3767" s="6" t="s">
        <v>3685</v>
      </c>
      <c r="E3767" s="12" t="s">
        <v>3686</v>
      </c>
    </row>
    <row r="3768">
      <c r="A3768" s="4" t="s">
        <v>3802</v>
      </c>
      <c r="B3768" s="5" t="str">
        <f>IFERROR(__xludf.DUMMYFUNCTION("IF(A3768="""","""",INDEX(SPLIT(A3768,"" ""),COUNTA(SPLIT(A3768,"" ""))))"),"Torviscosa")</f>
        <v>Torviscosa</v>
      </c>
      <c r="C3768" s="6"/>
      <c r="D3768" s="6" t="s">
        <v>3685</v>
      </c>
      <c r="E3768" s="12" t="s">
        <v>3686</v>
      </c>
    </row>
    <row r="3769">
      <c r="A3769" s="4" t="s">
        <v>3803</v>
      </c>
      <c r="B3769" s="5" t="str">
        <f>IFERROR(__xludf.DUMMYFUNCTION("IF(A3769="""","""",INDEX(SPLIT(A3769,"" ""),COUNTA(SPLIT(A3769,"" ""))))"),"Trasaghis")</f>
        <v>Trasaghis</v>
      </c>
      <c r="C3769" s="6"/>
      <c r="D3769" s="6" t="s">
        <v>3685</v>
      </c>
      <c r="E3769" s="12" t="s">
        <v>3686</v>
      </c>
    </row>
    <row r="3770">
      <c r="A3770" s="4" t="s">
        <v>3804</v>
      </c>
      <c r="B3770" s="5" t="str">
        <f>IFERROR(__xludf.DUMMYFUNCTION("IF(A3770="""","""",INDEX(SPLIT(A3770,"" ""),COUNTA(SPLIT(A3770,"" ""))))"),"Grande")</f>
        <v>Grande</v>
      </c>
      <c r="C3770" s="6"/>
      <c r="D3770" s="6" t="s">
        <v>3685</v>
      </c>
      <c r="E3770" s="12" t="s">
        <v>3686</v>
      </c>
    </row>
    <row r="3771">
      <c r="A3771" s="4" t="s">
        <v>3805</v>
      </c>
      <c r="B3771" s="5" t="str">
        <f>IFERROR(__xludf.DUMMYFUNCTION("IF(A3771="""","""",INDEX(SPLIT(A3771,"" ""),COUNTA(SPLIT(A3771,"" ""))))"),"Tricesimo")</f>
        <v>Tricesimo</v>
      </c>
      <c r="C3771" s="6"/>
      <c r="D3771" s="6" t="s">
        <v>3685</v>
      </c>
      <c r="E3771" s="12" t="s">
        <v>3686</v>
      </c>
    </row>
    <row r="3772">
      <c r="A3772" s="4" t="s">
        <v>3806</v>
      </c>
      <c r="B3772" s="5" t="str">
        <f>IFERROR(__xludf.DUMMYFUNCTION("IF(A3772="""","""",INDEX(SPLIT(A3772,"" ""),COUNTA(SPLIT(A3772,"" ""))))"),"Udinese")</f>
        <v>Udinese</v>
      </c>
      <c r="C3772" s="6"/>
      <c r="D3772" s="6" t="s">
        <v>3685</v>
      </c>
      <c r="E3772" s="12" t="s">
        <v>3686</v>
      </c>
    </row>
    <row r="3773">
      <c r="A3773" s="4" t="s">
        <v>3685</v>
      </c>
      <c r="B3773" s="5" t="str">
        <f>IFERROR(__xludf.DUMMYFUNCTION("IF(A3773="""","""",INDEX(SPLIT(A3773,"" ""),COUNTA(SPLIT(A3773,"" ""))))"),"Udine")</f>
        <v>Udine</v>
      </c>
      <c r="C3773" s="6"/>
      <c r="D3773" s="6" t="s">
        <v>3685</v>
      </c>
      <c r="E3773" s="12" t="s">
        <v>3686</v>
      </c>
    </row>
    <row r="3774">
      <c r="A3774" s="4" t="s">
        <v>3807</v>
      </c>
      <c r="B3774" s="5" t="str">
        <f>IFERROR(__xludf.DUMMYFUNCTION("IF(A3774="""","""",INDEX(SPLIT(A3774,"" ""),COUNTA(SPLIT(A3774,"" ""))))"),"Varmo")</f>
        <v>Varmo</v>
      </c>
      <c r="C3774" s="6"/>
      <c r="D3774" s="6" t="s">
        <v>3685</v>
      </c>
      <c r="E3774" s="12" t="s">
        <v>3686</v>
      </c>
    </row>
    <row r="3775">
      <c r="A3775" s="4" t="s">
        <v>3808</v>
      </c>
      <c r="B3775" s="5" t="str">
        <f>IFERROR(__xludf.DUMMYFUNCTION("IF(A3775="""","""",INDEX(SPLIT(A3775,"" ""),COUNTA(SPLIT(A3775,"" ""))))"),"Venzone")</f>
        <v>Venzone</v>
      </c>
      <c r="C3775" s="6"/>
      <c r="D3775" s="6" t="s">
        <v>3685</v>
      </c>
      <c r="E3775" s="12" t="s">
        <v>3686</v>
      </c>
    </row>
    <row r="3776">
      <c r="A3776" s="4" t="s">
        <v>3809</v>
      </c>
      <c r="B3776" s="5" t="str">
        <f>IFERROR(__xludf.DUMMYFUNCTION("IF(A3776="""","""",INDEX(SPLIT(A3776,"" ""),COUNTA(SPLIT(A3776,"" ""))))"),"Verzegnis")</f>
        <v>Verzegnis</v>
      </c>
      <c r="C3776" s="6"/>
      <c r="D3776" s="6" t="s">
        <v>3685</v>
      </c>
      <c r="E3776" s="12" t="s">
        <v>3686</v>
      </c>
    </row>
    <row r="3777">
      <c r="A3777" s="4" t="s">
        <v>3810</v>
      </c>
      <c r="B3777" s="5" t="str">
        <f>IFERROR(__xludf.DUMMYFUNCTION("IF(A3777="""","""",INDEX(SPLIT(A3777,"" ""),COUNTA(SPLIT(A3777,"" ""))))"),"Santina")</f>
        <v>Santina</v>
      </c>
      <c r="C3777" s="6"/>
      <c r="D3777" s="6" t="s">
        <v>3685</v>
      </c>
      <c r="E3777" s="12" t="s">
        <v>3686</v>
      </c>
    </row>
    <row r="3778">
      <c r="A3778" s="4" t="s">
        <v>3811</v>
      </c>
      <c r="B3778" s="5" t="str">
        <f>IFERROR(__xludf.DUMMYFUNCTION("IF(A3778="""","""",INDEX(SPLIT(A3778,"" ""),COUNTA(SPLIT(A3778,"" ""))))"),"Visco")</f>
        <v>Visco</v>
      </c>
      <c r="C3778" s="6"/>
      <c r="D3778" s="6" t="s">
        <v>3685</v>
      </c>
      <c r="E3778" s="12" t="s">
        <v>3686</v>
      </c>
    </row>
    <row r="3779">
      <c r="A3779" s="4" t="s">
        <v>3812</v>
      </c>
      <c r="B3779" s="5" t="str">
        <f>IFERROR(__xludf.DUMMYFUNCTION("IF(A3779="""","""",INDEX(SPLIT(A3779,"" ""),COUNTA(SPLIT(A3779,"" ""))))"),"Zuglio")</f>
        <v>Zuglio</v>
      </c>
      <c r="C3779" s="6"/>
      <c r="D3779" s="6" t="s">
        <v>3685</v>
      </c>
      <c r="E3779" s="12" t="s">
        <v>3686</v>
      </c>
    </row>
    <row r="3780">
      <c r="A3780" s="4" t="s">
        <v>3813</v>
      </c>
      <c r="B3780" s="5" t="str">
        <f>IFERROR(__xludf.DUMMYFUNCTION("IF(A3780="""","""",INDEX(SPLIT(A3780,"" ""),COUNTA(SPLIT(A3780,"" ""))))"),"Friuli")</f>
        <v>Friuli</v>
      </c>
      <c r="C3780" s="6"/>
      <c r="D3780" s="6" t="s">
        <v>3685</v>
      </c>
      <c r="E3780" s="12" t="s">
        <v>3686</v>
      </c>
    </row>
    <row r="3781">
      <c r="A3781" s="4" t="s">
        <v>3814</v>
      </c>
      <c r="B3781" s="5" t="str">
        <f>IFERROR(__xludf.DUMMYFUNCTION("IF(A3781="""","""",INDEX(SPLIT(A3781,"" ""),COUNTA(SPLIT(A3781,"" ""))))"),"Tapogliano")</f>
        <v>Tapogliano</v>
      </c>
      <c r="C3781" s="6"/>
      <c r="D3781" s="6" t="s">
        <v>3685</v>
      </c>
      <c r="E3781" s="12" t="s">
        <v>3686</v>
      </c>
    </row>
    <row r="3782">
      <c r="A3782" s="4" t="s">
        <v>3815</v>
      </c>
      <c r="B3782" s="5" t="str">
        <f>IFERROR(__xludf.DUMMYFUNCTION("IF(A3782="""","""",INDEX(SPLIT(A3782,"" ""),COUNTA(SPLIT(A3782,"" ""))))"),"Teor")</f>
        <v>Teor</v>
      </c>
      <c r="C3782" s="6"/>
      <c r="D3782" s="6" t="s">
        <v>3685</v>
      </c>
      <c r="E3782" s="12" t="s">
        <v>3686</v>
      </c>
    </row>
    <row r="3783">
      <c r="A3783" s="4" t="s">
        <v>3816</v>
      </c>
      <c r="B3783" s="5" t="str">
        <f>IFERROR(__xludf.DUMMYFUNCTION("IF(A3783="""","""",INDEX(SPLIT(A3783,"" ""),COUNTA(SPLIT(A3783,"" ""))))"),"Sappada")</f>
        <v>Sappada</v>
      </c>
      <c r="C3783" s="6"/>
      <c r="D3783" s="6" t="s">
        <v>3685</v>
      </c>
      <c r="E3783" s="12" t="s">
        <v>3686</v>
      </c>
    </row>
    <row r="3784">
      <c r="A3784" s="4" t="s">
        <v>3817</v>
      </c>
      <c r="B3784" s="5" t="str">
        <f>IFERROR(__xludf.DUMMYFUNCTION("IF(A3784="""","""",INDEX(SPLIT(A3784,"" ""),COUNTA(SPLIT(A3784,"" ""))))"),"Vicentina")</f>
        <v>Vicentina</v>
      </c>
      <c r="C3784" s="6"/>
      <c r="D3784" s="6" t="s">
        <v>3685</v>
      </c>
      <c r="E3784" s="12" t="s">
        <v>3686</v>
      </c>
    </row>
    <row r="3785">
      <c r="A3785" s="4" t="s">
        <v>3818</v>
      </c>
      <c r="B3785" s="5" t="str">
        <f>IFERROR(__xludf.DUMMYFUNCTION("IF(A3785="""","""",INDEX(SPLIT(A3785,"" ""),COUNTA(SPLIT(A3785,"" ""))))"),"Ligosullo")</f>
        <v>Ligosullo</v>
      </c>
      <c r="C3785" s="6"/>
      <c r="D3785" s="6" t="s">
        <v>3685</v>
      </c>
      <c r="E3785" s="12" t="s">
        <v>3686</v>
      </c>
    </row>
    <row r="3786">
      <c r="A3786" s="4" t="s">
        <v>3819</v>
      </c>
      <c r="B3786" s="5" t="str">
        <f>IFERROR(__xludf.DUMMYFUNCTION("IF(A3786="""","""",INDEX(SPLIT(A3786,"" ""),COUNTA(SPLIT(A3786,"" ""))))"),"Friuli")</f>
        <v>Friuli</v>
      </c>
      <c r="C3786" s="6"/>
      <c r="D3786" s="6" t="s">
        <v>3820</v>
      </c>
      <c r="E3786" s="12" t="s">
        <v>3821</v>
      </c>
    </row>
    <row r="3787">
      <c r="A3787" s="4" t="s">
        <v>3822</v>
      </c>
      <c r="B3787" s="5" t="str">
        <f>IFERROR(__xludf.DUMMYFUNCTION("IF(A3787="""","""",INDEX(SPLIT(A3787,"" ""),COUNTA(SPLIT(A3787,"" ""))))"),"Cormons")</f>
        <v>Cormons</v>
      </c>
      <c r="C3787" s="6"/>
      <c r="D3787" s="6" t="s">
        <v>3820</v>
      </c>
      <c r="E3787" s="12" t="s">
        <v>3821</v>
      </c>
    </row>
    <row r="3788">
      <c r="A3788" s="4" t="s">
        <v>3823</v>
      </c>
      <c r="B3788" s="5" t="str">
        <f>IFERROR(__xludf.DUMMYFUNCTION("IF(A3788="""","""",INDEX(SPLIT(A3788,"" ""),COUNTA(SPLIT(A3788,"" ""))))"),"Lago")</f>
        <v>Lago</v>
      </c>
      <c r="C3788" s="6"/>
      <c r="D3788" s="6" t="s">
        <v>3820</v>
      </c>
      <c r="E3788" s="12" t="s">
        <v>3821</v>
      </c>
    </row>
    <row r="3789">
      <c r="A3789" s="4" t="s">
        <v>3824</v>
      </c>
      <c r="B3789" s="5" t="str">
        <f>IFERROR(__xludf.DUMMYFUNCTION("IF(A3789="""","""",INDEX(SPLIT(A3789,"" ""),COUNTA(SPLIT(A3789,"" ""))))"),"Collio")</f>
        <v>Collio</v>
      </c>
      <c r="C3789" s="6"/>
      <c r="D3789" s="6" t="s">
        <v>3820</v>
      </c>
      <c r="E3789" s="12" t="s">
        <v>3821</v>
      </c>
    </row>
    <row r="3790">
      <c r="A3790" s="4" t="s">
        <v>3825</v>
      </c>
      <c r="B3790" s="5" t="str">
        <f>IFERROR(__xludf.DUMMYFUNCTION("IF(A3790="""","""",INDEX(SPLIT(A3790,"" ""),COUNTA(SPLIT(A3790,"" ""))))"),"d'Isonzo")</f>
        <v>d'Isonzo</v>
      </c>
      <c r="C3790" s="6"/>
      <c r="D3790" s="6" t="s">
        <v>3820</v>
      </c>
      <c r="E3790" s="12" t="s">
        <v>3821</v>
      </c>
    </row>
    <row r="3791">
      <c r="A3791" s="4" t="s">
        <v>3826</v>
      </c>
      <c r="B3791" s="5" t="str">
        <f>IFERROR(__xludf.DUMMYFUNCTION("IF(A3791="""","""",INDEX(SPLIT(A3791,"" ""),COUNTA(SPLIT(A3791,"" ""))))"),"Redipuglia")</f>
        <v>Redipuglia</v>
      </c>
      <c r="C3791" s="6"/>
      <c r="D3791" s="6" t="s">
        <v>3820</v>
      </c>
      <c r="E3791" s="12" t="s">
        <v>3821</v>
      </c>
    </row>
    <row r="3792">
      <c r="A3792" s="4" t="s">
        <v>3820</v>
      </c>
      <c r="B3792" s="5" t="str">
        <f>IFERROR(__xludf.DUMMYFUNCTION("IF(A3792="""","""",INDEX(SPLIT(A3792,"" ""),COUNTA(SPLIT(A3792,"" ""))))"),"Gorizia")</f>
        <v>Gorizia</v>
      </c>
      <c r="C3792" s="6"/>
      <c r="D3792" s="6" t="s">
        <v>3820</v>
      </c>
      <c r="E3792" s="12" t="s">
        <v>3821</v>
      </c>
    </row>
    <row r="3793">
      <c r="A3793" s="4" t="s">
        <v>3827</v>
      </c>
      <c r="B3793" s="5" t="str">
        <f>IFERROR(__xludf.DUMMYFUNCTION("IF(A3793="""","""",INDEX(SPLIT(A3793,"" ""),COUNTA(SPLIT(A3793,"" ""))))"),"d'Isonzo")</f>
        <v>d'Isonzo</v>
      </c>
      <c r="C3793" s="6"/>
      <c r="D3793" s="6" t="s">
        <v>3820</v>
      </c>
      <c r="E3793" s="12" t="s">
        <v>3821</v>
      </c>
    </row>
    <row r="3794">
      <c r="A3794" s="4" t="s">
        <v>3828</v>
      </c>
      <c r="B3794" s="5" t="str">
        <f>IFERROR(__xludf.DUMMYFUNCTION("IF(A3794="""","""",INDEX(SPLIT(A3794,"" ""),COUNTA(SPLIT(A3794,"" ""))))"),"Grado")</f>
        <v>Grado</v>
      </c>
      <c r="C3794" s="6"/>
      <c r="D3794" s="6" t="s">
        <v>3820</v>
      </c>
      <c r="E3794" s="12" t="s">
        <v>3821</v>
      </c>
    </row>
    <row r="3795">
      <c r="A3795" s="4" t="s">
        <v>3829</v>
      </c>
      <c r="B3795" s="5" t="str">
        <f>IFERROR(__xludf.DUMMYFUNCTION("IF(A3795="""","""",INDEX(SPLIT(A3795,"" ""),COUNTA(SPLIT(A3795,"" ""))))"),"Friuli")</f>
        <v>Friuli</v>
      </c>
      <c r="C3795" s="6"/>
      <c r="D3795" s="6" t="s">
        <v>3820</v>
      </c>
      <c r="E3795" s="12" t="s">
        <v>3821</v>
      </c>
    </row>
    <row r="3796">
      <c r="A3796" s="4" t="s">
        <v>3830</v>
      </c>
      <c r="B3796" s="5" t="str">
        <f>IFERROR(__xludf.DUMMYFUNCTION("IF(A3796="""","""",INDEX(SPLIT(A3796,"" ""),COUNTA(SPLIT(A3796,"" ""))))"),"Medea")</f>
        <v>Medea</v>
      </c>
      <c r="C3796" s="6"/>
      <c r="D3796" s="6" t="s">
        <v>3820</v>
      </c>
      <c r="E3796" s="12" t="s">
        <v>3821</v>
      </c>
    </row>
    <row r="3797">
      <c r="A3797" s="4" t="s">
        <v>3831</v>
      </c>
      <c r="B3797" s="5" t="str">
        <f>IFERROR(__xludf.DUMMYFUNCTION("IF(A3797="""","""",INDEX(SPLIT(A3797,"" ""),COUNTA(SPLIT(A3797,"" ""))))"),"Monfalcone")</f>
        <v>Monfalcone</v>
      </c>
      <c r="C3797" s="6"/>
      <c r="D3797" s="6" t="s">
        <v>3820</v>
      </c>
      <c r="E3797" s="12" t="s">
        <v>3821</v>
      </c>
    </row>
    <row r="3798">
      <c r="A3798" s="4" t="s">
        <v>3832</v>
      </c>
      <c r="B3798" s="5" t="str">
        <f>IFERROR(__xludf.DUMMYFUNCTION("IF(A3798="""","""",INDEX(SPLIT(A3798,"" ""),COUNTA(SPLIT(A3798,"" ""))))"),"Moraro")</f>
        <v>Moraro</v>
      </c>
      <c r="C3798" s="6"/>
      <c r="D3798" s="6" t="s">
        <v>3820</v>
      </c>
      <c r="E3798" s="12" t="s">
        <v>3821</v>
      </c>
    </row>
    <row r="3799">
      <c r="A3799" s="4" t="s">
        <v>3833</v>
      </c>
      <c r="B3799" s="5" t="str">
        <f>IFERROR(__xludf.DUMMYFUNCTION("IF(A3799="""","""",INDEX(SPLIT(A3799,"" ""),COUNTA(SPLIT(A3799,"" ""))))"),"Mossa")</f>
        <v>Mossa</v>
      </c>
      <c r="C3799" s="6"/>
      <c r="D3799" s="6" t="s">
        <v>3820</v>
      </c>
      <c r="E3799" s="12" t="s">
        <v>3821</v>
      </c>
    </row>
    <row r="3800">
      <c r="A3800" s="4" t="s">
        <v>3834</v>
      </c>
      <c r="B3800" s="5" t="str">
        <f>IFERROR(__xludf.DUMMYFUNCTION("IF(A3800="""","""",INDEX(SPLIT(A3800,"" ""),COUNTA(SPLIT(A3800,"" ""))))"),"d'Isonzo")</f>
        <v>d'Isonzo</v>
      </c>
      <c r="C3800" s="6"/>
      <c r="D3800" s="6" t="s">
        <v>3820</v>
      </c>
      <c r="E3800" s="12" t="s">
        <v>3821</v>
      </c>
    </row>
    <row r="3801">
      <c r="A3801" s="4" t="s">
        <v>3835</v>
      </c>
      <c r="B3801" s="5" t="str">
        <f>IFERROR(__xludf.DUMMYFUNCTION("IF(A3801="""","""",INDEX(SPLIT(A3801,"" ""),COUNTA(SPLIT(A3801,"" ""))))"),"Legionari")</f>
        <v>Legionari</v>
      </c>
      <c r="C3801" s="6"/>
      <c r="D3801" s="6" t="s">
        <v>3820</v>
      </c>
      <c r="E3801" s="12" t="s">
        <v>3821</v>
      </c>
    </row>
    <row r="3802">
      <c r="A3802" s="4" t="s">
        <v>3836</v>
      </c>
      <c r="B3802" s="5" t="str">
        <f>IFERROR(__xludf.DUMMYFUNCTION("IF(A3802="""","""",INDEX(SPLIT(A3802,"" ""),COUNTA(SPLIT(A3802,"" ""))))"),"Sagrado")</f>
        <v>Sagrado</v>
      </c>
      <c r="C3802" s="6"/>
      <c r="D3802" s="6" t="s">
        <v>3820</v>
      </c>
      <c r="E3802" s="12" t="s">
        <v>3821</v>
      </c>
    </row>
    <row r="3803">
      <c r="A3803" s="4" t="s">
        <v>3837</v>
      </c>
      <c r="B3803" s="5" t="str">
        <f>IFERROR(__xludf.DUMMYFUNCTION("IF(A3803="""","""",INDEX(SPLIT(A3803,"" ""),COUNTA(SPLIT(A3803,"" ""))))"),"d'Isonzo")</f>
        <v>d'Isonzo</v>
      </c>
      <c r="C3803" s="6"/>
      <c r="D3803" s="6" t="s">
        <v>3820</v>
      </c>
      <c r="E3803" s="12" t="s">
        <v>3821</v>
      </c>
    </row>
    <row r="3804">
      <c r="A3804" s="4" t="s">
        <v>3838</v>
      </c>
      <c r="B3804" s="5" t="str">
        <f>IFERROR(__xludf.DUMMYFUNCTION("IF(A3804="""","""",INDEX(SPLIT(A3804,"" ""),COUNTA(SPLIT(A3804,"" ""))))"),"Collio")</f>
        <v>Collio</v>
      </c>
      <c r="C3804" s="6"/>
      <c r="D3804" s="6" t="s">
        <v>3820</v>
      </c>
      <c r="E3804" s="12" t="s">
        <v>3821</v>
      </c>
    </row>
    <row r="3805">
      <c r="A3805" s="4" t="s">
        <v>3839</v>
      </c>
      <c r="B3805" s="5" t="str">
        <f>IFERROR(__xludf.DUMMYFUNCTION("IF(A3805="""","""",INDEX(SPLIT(A3805,"" ""),COUNTA(SPLIT(A3805,"" ""))))"),"Isontino")</f>
        <v>Isontino</v>
      </c>
      <c r="C3805" s="6"/>
      <c r="D3805" s="6" t="s">
        <v>3820</v>
      </c>
      <c r="E3805" s="12" t="s">
        <v>3821</v>
      </c>
    </row>
    <row r="3806">
      <c r="A3806" s="4" t="s">
        <v>3840</v>
      </c>
      <c r="B3806" s="5" t="str">
        <f>IFERROR(__xludf.DUMMYFUNCTION("IF(A3806="""","""",INDEX(SPLIT(A3806,"" ""),COUNTA(SPLIT(A3806,"" ""))))"),"d'Isonzo")</f>
        <v>d'Isonzo</v>
      </c>
      <c r="C3806" s="6"/>
      <c r="D3806" s="6" t="s">
        <v>3820</v>
      </c>
      <c r="E3806" s="12" t="s">
        <v>3821</v>
      </c>
    </row>
    <row r="3807">
      <c r="A3807" s="4" t="s">
        <v>3841</v>
      </c>
      <c r="B3807" s="5" t="str">
        <f>IFERROR(__xludf.DUMMYFUNCTION("IF(A3807="""","""",INDEX(SPLIT(A3807,"" ""),COUNTA(SPLIT(A3807,"" ""))))"),"d'Isonzo")</f>
        <v>d'Isonzo</v>
      </c>
      <c r="C3807" s="6"/>
      <c r="D3807" s="6" t="s">
        <v>3820</v>
      </c>
      <c r="E3807" s="12" t="s">
        <v>3821</v>
      </c>
    </row>
    <row r="3808">
      <c r="A3808" s="4" t="s">
        <v>3842</v>
      </c>
      <c r="B3808" s="5" t="str">
        <f>IFERROR(__xludf.DUMMYFUNCTION("IF(A3808="""","""",INDEX(SPLIT(A3808,"" ""),COUNTA(SPLIT(A3808,"" ""))))"),"Staranzano")</f>
        <v>Staranzano</v>
      </c>
      <c r="C3808" s="6"/>
      <c r="D3808" s="6" t="s">
        <v>3820</v>
      </c>
      <c r="E3808" s="12" t="s">
        <v>3821</v>
      </c>
    </row>
    <row r="3809">
      <c r="A3809" s="4" t="s">
        <v>3843</v>
      </c>
      <c r="B3809" s="5" t="str">
        <f>IFERROR(__xludf.DUMMYFUNCTION("IF(A3809="""","""",INDEX(SPLIT(A3809,"" ""),COUNTA(SPLIT(A3809,"" ""))))"),"Turriaco")</f>
        <v>Turriaco</v>
      </c>
      <c r="C3809" s="6"/>
      <c r="D3809" s="6" t="s">
        <v>3820</v>
      </c>
      <c r="E3809" s="12" t="s">
        <v>3821</v>
      </c>
    </row>
    <row r="3810">
      <c r="A3810" s="4" t="s">
        <v>3844</v>
      </c>
      <c r="B3810" s="5" t="str">
        <f>IFERROR(__xludf.DUMMYFUNCTION("IF(A3810="""","""",INDEX(SPLIT(A3810,"" ""),COUNTA(SPLIT(A3810,"" ""))))"),"Villesse")</f>
        <v>Villesse</v>
      </c>
      <c r="C3810" s="6"/>
      <c r="D3810" s="6" t="s">
        <v>3820</v>
      </c>
      <c r="E3810" s="12" t="s">
        <v>3821</v>
      </c>
    </row>
    <row r="3811">
      <c r="A3811" s="4" t="s">
        <v>3845</v>
      </c>
      <c r="B3811" s="5" t="str">
        <f>IFERROR(__xludf.DUMMYFUNCTION("IF(A3811="""","""",INDEX(SPLIT(A3811,"" ""),COUNTA(SPLIT(A3811,"" ""))))"),"Aurisina")</f>
        <v>Aurisina</v>
      </c>
      <c r="C3811" s="6"/>
      <c r="D3811" s="6" t="s">
        <v>3846</v>
      </c>
      <c r="E3811" s="12" t="s">
        <v>3847</v>
      </c>
    </row>
    <row r="3812">
      <c r="A3812" s="4" t="s">
        <v>3848</v>
      </c>
      <c r="B3812" s="5" t="str">
        <f>IFERROR(__xludf.DUMMYFUNCTION("IF(A3812="""","""",INDEX(SPLIT(A3812,"" ""),COUNTA(SPLIT(A3812,"" ""))))"),"Monrupino")</f>
        <v>Monrupino</v>
      </c>
      <c r="C3812" s="6"/>
      <c r="D3812" s="6" t="s">
        <v>3846</v>
      </c>
      <c r="E3812" s="12" t="s">
        <v>3847</v>
      </c>
    </row>
    <row r="3813">
      <c r="A3813" s="4" t="s">
        <v>3849</v>
      </c>
      <c r="B3813" s="5" t="str">
        <f>IFERROR(__xludf.DUMMYFUNCTION("IF(A3813="""","""",INDEX(SPLIT(A3813,"" ""),COUNTA(SPLIT(A3813,"" ""))))"),"Muggia")</f>
        <v>Muggia</v>
      </c>
      <c r="C3813" s="6"/>
      <c r="D3813" s="6" t="s">
        <v>3846</v>
      </c>
      <c r="E3813" s="12" t="s">
        <v>3847</v>
      </c>
    </row>
    <row r="3814">
      <c r="A3814" s="4" t="s">
        <v>3850</v>
      </c>
      <c r="B3814" s="5" t="str">
        <f>IFERROR(__xludf.DUMMYFUNCTION("IF(A3814="""","""",INDEX(SPLIT(A3814,"" ""),COUNTA(SPLIT(A3814,"" ""))))"),"Valle")</f>
        <v>Valle</v>
      </c>
      <c r="C3814" s="6"/>
      <c r="D3814" s="6" t="s">
        <v>3846</v>
      </c>
      <c r="E3814" s="12" t="s">
        <v>3847</v>
      </c>
    </row>
    <row r="3815">
      <c r="A3815" s="4" t="s">
        <v>3851</v>
      </c>
      <c r="B3815" s="5" t="str">
        <f>IFERROR(__xludf.DUMMYFUNCTION("IF(A3815="""","""",INDEX(SPLIT(A3815,"" ""),COUNTA(SPLIT(A3815,"" ""))))"),"Sgonico")</f>
        <v>Sgonico</v>
      </c>
      <c r="C3815" s="6"/>
      <c r="D3815" s="6" t="s">
        <v>3846</v>
      </c>
      <c r="E3815" s="12" t="s">
        <v>3847</v>
      </c>
    </row>
    <row r="3816">
      <c r="A3816" s="4" t="s">
        <v>3846</v>
      </c>
      <c r="B3816" s="5" t="str">
        <f>IFERROR(__xludf.DUMMYFUNCTION("IF(A3816="""","""",INDEX(SPLIT(A3816,"" ""),COUNTA(SPLIT(A3816,"" ""))))"),"Trieste")</f>
        <v>Trieste</v>
      </c>
      <c r="C3816" s="6"/>
      <c r="D3816" s="6" t="s">
        <v>3846</v>
      </c>
      <c r="E3816" s="12" t="s">
        <v>3847</v>
      </c>
    </row>
    <row r="3817">
      <c r="A3817" s="4" t="s">
        <v>3852</v>
      </c>
      <c r="B3817" s="5" t="str">
        <f>IFERROR(__xludf.DUMMYFUNCTION("IF(A3817="""","""",INDEX(SPLIT(A3817,"" ""),COUNTA(SPLIT(A3817,"" ""))))"),"Andreis")</f>
        <v>Andreis</v>
      </c>
      <c r="C3817" s="6"/>
      <c r="D3817" s="6" t="s">
        <v>3853</v>
      </c>
      <c r="E3817" s="12" t="s">
        <v>3854</v>
      </c>
    </row>
    <row r="3818">
      <c r="A3818" s="4" t="s">
        <v>3855</v>
      </c>
      <c r="B3818" s="5" t="str">
        <f>IFERROR(__xludf.DUMMYFUNCTION("IF(A3818="""","""",INDEX(SPLIT(A3818,"" ""),COUNTA(SPLIT(A3818,"" ""))))"),"Arba")</f>
        <v>Arba</v>
      </c>
      <c r="C3818" s="6"/>
      <c r="D3818" s="6" t="s">
        <v>3853</v>
      </c>
      <c r="E3818" s="12" t="s">
        <v>3854</v>
      </c>
    </row>
    <row r="3819">
      <c r="A3819" s="4" t="s">
        <v>3856</v>
      </c>
      <c r="B3819" s="5" t="str">
        <f>IFERROR(__xludf.DUMMYFUNCTION("IF(A3819="""","""",INDEX(SPLIT(A3819,"" ""),COUNTA(SPLIT(A3819,"" ""))))"),"Aviano")</f>
        <v>Aviano</v>
      </c>
      <c r="C3819" s="6"/>
      <c r="D3819" s="6" t="s">
        <v>3853</v>
      </c>
      <c r="E3819" s="12" t="s">
        <v>3854</v>
      </c>
    </row>
    <row r="3820">
      <c r="A3820" s="4" t="s">
        <v>3857</v>
      </c>
      <c r="B3820" s="5" t="str">
        <f>IFERROR(__xludf.DUMMYFUNCTION("IF(A3820="""","""",INDEX(SPLIT(A3820,"" ""),COUNTA(SPLIT(A3820,"" ""))))"),"Decimo")</f>
        <v>Decimo</v>
      </c>
      <c r="C3820" s="6"/>
      <c r="D3820" s="6" t="s">
        <v>3853</v>
      </c>
      <c r="E3820" s="12" t="s">
        <v>3854</v>
      </c>
    </row>
    <row r="3821">
      <c r="A3821" s="4" t="s">
        <v>3858</v>
      </c>
      <c r="B3821" s="5" t="str">
        <f>IFERROR(__xludf.DUMMYFUNCTION("IF(A3821="""","""",INDEX(SPLIT(A3821,"" ""),COUNTA(SPLIT(A3821,"" ""))))"),"Barcis")</f>
        <v>Barcis</v>
      </c>
      <c r="C3821" s="6"/>
      <c r="D3821" s="6" t="s">
        <v>3853</v>
      </c>
      <c r="E3821" s="12" t="s">
        <v>3854</v>
      </c>
    </row>
    <row r="3822">
      <c r="A3822" s="4" t="s">
        <v>3859</v>
      </c>
      <c r="B3822" s="5" t="str">
        <f>IFERROR(__xludf.DUMMYFUNCTION("IF(A3822="""","""",INDEX(SPLIT(A3822,"" ""),COUNTA(SPLIT(A3822,"" ""))))"),"Brugnera")</f>
        <v>Brugnera</v>
      </c>
      <c r="C3822" s="6"/>
      <c r="D3822" s="6" t="s">
        <v>3853</v>
      </c>
      <c r="E3822" s="12" t="s">
        <v>3854</v>
      </c>
    </row>
    <row r="3823">
      <c r="A3823" s="4" t="s">
        <v>3860</v>
      </c>
      <c r="B3823" s="5" t="str">
        <f>IFERROR(__xludf.DUMMYFUNCTION("IF(A3823="""","""",INDEX(SPLIT(A3823,"" ""),COUNTA(SPLIT(A3823,"" ""))))"),"Budoia")</f>
        <v>Budoia</v>
      </c>
      <c r="C3823" s="6"/>
      <c r="D3823" s="6" t="s">
        <v>3853</v>
      </c>
      <c r="E3823" s="12" t="s">
        <v>3854</v>
      </c>
    </row>
    <row r="3824">
      <c r="A3824" s="4" t="s">
        <v>3861</v>
      </c>
      <c r="B3824" s="5" t="str">
        <f>IFERROR(__xludf.DUMMYFUNCTION("IF(A3824="""","""",INDEX(SPLIT(A3824,"" ""),COUNTA(SPLIT(A3824,"" ""))))"),"Caneva")</f>
        <v>Caneva</v>
      </c>
      <c r="C3824" s="6"/>
      <c r="D3824" s="6" t="s">
        <v>3853</v>
      </c>
      <c r="E3824" s="12" t="s">
        <v>3854</v>
      </c>
    </row>
    <row r="3825">
      <c r="A3825" s="4" t="s">
        <v>3862</v>
      </c>
      <c r="B3825" s="5" t="str">
        <f>IFERROR(__xludf.DUMMYFUNCTION("IF(A3825="""","""",INDEX(SPLIT(A3825,"" ""),COUNTA(SPLIT(A3825,"" ""))))"),"Delizia")</f>
        <v>Delizia</v>
      </c>
      <c r="C3825" s="6"/>
      <c r="D3825" s="6" t="s">
        <v>3853</v>
      </c>
      <c r="E3825" s="12" t="s">
        <v>3854</v>
      </c>
    </row>
    <row r="3826">
      <c r="A3826" s="4" t="s">
        <v>3863</v>
      </c>
      <c r="B3826" s="5" t="str">
        <f>IFERROR(__xludf.DUMMYFUNCTION("IF(A3826="""","""",INDEX(SPLIT(A3826,"" ""),COUNTA(SPLIT(A3826,"" ""))))"),"Friuli")</f>
        <v>Friuli</v>
      </c>
      <c r="C3826" s="6"/>
      <c r="D3826" s="6" t="s">
        <v>3853</v>
      </c>
      <c r="E3826" s="12" t="s">
        <v>3854</v>
      </c>
    </row>
    <row r="3827">
      <c r="A3827" s="4" t="s">
        <v>3864</v>
      </c>
      <c r="B3827" s="5" t="str">
        <f>IFERROR(__xludf.DUMMYFUNCTION("IF(A3827="""","""",INDEX(SPLIT(A3827,"" ""),COUNTA(SPLIT(A3827,"" ""))))"),"Nuovo")</f>
        <v>Nuovo</v>
      </c>
      <c r="C3827" s="6"/>
      <c r="D3827" s="6" t="s">
        <v>3853</v>
      </c>
      <c r="E3827" s="12" t="s">
        <v>3854</v>
      </c>
    </row>
    <row r="3828">
      <c r="A3828" s="4" t="s">
        <v>3865</v>
      </c>
      <c r="B3828" s="5" t="str">
        <f>IFERROR(__xludf.DUMMYFUNCTION("IF(A3828="""","""",INDEX(SPLIT(A3828,"" ""),COUNTA(SPLIT(A3828,"" ""))))"),"Chions")</f>
        <v>Chions</v>
      </c>
      <c r="C3828" s="6"/>
      <c r="D3828" s="6" t="s">
        <v>3853</v>
      </c>
      <c r="E3828" s="12" t="s">
        <v>3854</v>
      </c>
    </row>
    <row r="3829">
      <c r="A3829" s="4" t="s">
        <v>3866</v>
      </c>
      <c r="B3829" s="5" t="str">
        <f>IFERROR(__xludf.DUMMYFUNCTION("IF(A3829="""","""",INDEX(SPLIT(A3829,"" ""),COUNTA(SPLIT(A3829,"" ""))))"),"Cimolais")</f>
        <v>Cimolais</v>
      </c>
      <c r="C3829" s="6"/>
      <c r="D3829" s="6" t="s">
        <v>3853</v>
      </c>
      <c r="E3829" s="12" t="s">
        <v>3854</v>
      </c>
    </row>
    <row r="3830">
      <c r="A3830" s="4" t="s">
        <v>3867</v>
      </c>
      <c r="B3830" s="5" t="str">
        <f>IFERROR(__xludf.DUMMYFUNCTION("IF(A3830="""","""",INDEX(SPLIT(A3830,"" ""),COUNTA(SPLIT(A3830,"" ""))))"),"Claut")</f>
        <v>Claut</v>
      </c>
      <c r="C3830" s="6"/>
      <c r="D3830" s="6" t="s">
        <v>3853</v>
      </c>
      <c r="E3830" s="12" t="s">
        <v>3854</v>
      </c>
    </row>
    <row r="3831">
      <c r="A3831" s="4" t="s">
        <v>3868</v>
      </c>
      <c r="B3831" s="5" t="str">
        <f>IFERROR(__xludf.DUMMYFUNCTION("IF(A3831="""","""",INDEX(SPLIT(A3831,"" ""),COUNTA(SPLIT(A3831,"" ""))))"),"Clauzetto")</f>
        <v>Clauzetto</v>
      </c>
      <c r="C3831" s="6"/>
      <c r="D3831" s="6" t="s">
        <v>3853</v>
      </c>
      <c r="E3831" s="12" t="s">
        <v>3854</v>
      </c>
    </row>
    <row r="3832">
      <c r="A3832" s="4" t="s">
        <v>3869</v>
      </c>
      <c r="B3832" s="5" t="str">
        <f>IFERROR(__xludf.DUMMYFUNCTION("IF(A3832="""","""",INDEX(SPLIT(A3832,"" ""),COUNTA(SPLIT(A3832,"" ""))))"),"Cordenons")</f>
        <v>Cordenons</v>
      </c>
      <c r="C3832" s="6"/>
      <c r="D3832" s="6" t="s">
        <v>3853</v>
      </c>
      <c r="E3832" s="12" t="s">
        <v>3854</v>
      </c>
    </row>
    <row r="3833">
      <c r="A3833" s="4" t="s">
        <v>3870</v>
      </c>
      <c r="B3833" s="5" t="str">
        <f>IFERROR(__xludf.DUMMYFUNCTION("IF(A3833="""","""",INDEX(SPLIT(A3833,"" ""),COUNTA(SPLIT(A3833,"" ""))))"),"Cordovado")</f>
        <v>Cordovado</v>
      </c>
      <c r="C3833" s="6"/>
      <c r="D3833" s="6" t="s">
        <v>3853</v>
      </c>
      <c r="E3833" s="12" t="s">
        <v>3854</v>
      </c>
    </row>
    <row r="3834">
      <c r="A3834" s="4" t="s">
        <v>3871</v>
      </c>
      <c r="B3834" s="5" t="str">
        <f>IFERROR(__xludf.DUMMYFUNCTION("IF(A3834="""","""",INDEX(SPLIT(A3834,"" ""),COUNTA(SPLIT(A3834,"" ""))))"),"Casso")</f>
        <v>Casso</v>
      </c>
      <c r="C3834" s="6"/>
      <c r="D3834" s="6" t="s">
        <v>3853</v>
      </c>
      <c r="E3834" s="12" t="s">
        <v>3854</v>
      </c>
    </row>
    <row r="3835">
      <c r="A3835" s="4" t="s">
        <v>3872</v>
      </c>
      <c r="B3835" s="5" t="str">
        <f>IFERROR(__xludf.DUMMYFUNCTION("IF(A3835="""","""",INDEX(SPLIT(A3835,"" ""),COUNTA(SPLIT(A3835,"" ""))))"),"Fanna")</f>
        <v>Fanna</v>
      </c>
      <c r="C3835" s="6"/>
      <c r="D3835" s="6" t="s">
        <v>3853</v>
      </c>
      <c r="E3835" s="12" t="s">
        <v>3854</v>
      </c>
    </row>
    <row r="3836">
      <c r="A3836" s="4" t="s">
        <v>3873</v>
      </c>
      <c r="B3836" s="5" t="str">
        <f>IFERROR(__xludf.DUMMYFUNCTION("IF(A3836="""","""",INDEX(SPLIT(A3836,"" ""),COUNTA(SPLIT(A3836,"" ""))))"),"Veneto")</f>
        <v>Veneto</v>
      </c>
      <c r="C3836" s="6"/>
      <c r="D3836" s="6" t="s">
        <v>3853</v>
      </c>
      <c r="E3836" s="12" t="s">
        <v>3854</v>
      </c>
    </row>
    <row r="3837">
      <c r="A3837" s="4" t="s">
        <v>3874</v>
      </c>
      <c r="B3837" s="5" t="str">
        <f>IFERROR(__xludf.DUMMYFUNCTION("IF(A3837="""","""",INDEX(SPLIT(A3837,"" ""),COUNTA(SPLIT(A3837,"" ""))))"),"Fontanafredda")</f>
        <v>Fontanafredda</v>
      </c>
      <c r="C3837" s="6"/>
      <c r="D3837" s="6" t="s">
        <v>3853</v>
      </c>
      <c r="E3837" s="12" t="s">
        <v>3854</v>
      </c>
    </row>
    <row r="3838">
      <c r="A3838" s="4" t="s">
        <v>3875</v>
      </c>
      <c r="B3838" s="5" t="str">
        <f>IFERROR(__xludf.DUMMYFUNCTION("IF(A3838="""","""",INDEX(SPLIT(A3838,"" ""),COUNTA(SPLIT(A3838,"" ""))))"),"Frisanco")</f>
        <v>Frisanco</v>
      </c>
      <c r="C3838" s="6"/>
      <c r="D3838" s="6" t="s">
        <v>3853</v>
      </c>
      <c r="E3838" s="12" t="s">
        <v>3854</v>
      </c>
    </row>
    <row r="3839">
      <c r="A3839" s="4" t="s">
        <v>3876</v>
      </c>
      <c r="B3839" s="5" t="str">
        <f>IFERROR(__xludf.DUMMYFUNCTION("IF(A3839="""","""",INDEX(SPLIT(A3839,"" ""),COUNTA(SPLIT(A3839,"" ""))))"),"Maniago")</f>
        <v>Maniago</v>
      </c>
      <c r="C3839" s="6"/>
      <c r="D3839" s="6" t="s">
        <v>3853</v>
      </c>
      <c r="E3839" s="12" t="s">
        <v>3854</v>
      </c>
    </row>
    <row r="3840">
      <c r="A3840" s="4" t="s">
        <v>3877</v>
      </c>
      <c r="B3840" s="5" t="str">
        <f>IFERROR(__xludf.DUMMYFUNCTION("IF(A3840="""","""",INDEX(SPLIT(A3840,"" ""),COUNTA(SPLIT(A3840,"" ""))))"),"Meduno")</f>
        <v>Meduno</v>
      </c>
      <c r="C3840" s="6"/>
      <c r="D3840" s="6" t="s">
        <v>3853</v>
      </c>
      <c r="E3840" s="12" t="s">
        <v>3854</v>
      </c>
    </row>
    <row r="3841">
      <c r="A3841" s="4" t="s">
        <v>3878</v>
      </c>
      <c r="B3841" s="5" t="str">
        <f>IFERROR(__xludf.DUMMYFUNCTION("IF(A3841="""","""",INDEX(SPLIT(A3841,"" ""),COUNTA(SPLIT(A3841,"" ""))))"),"Valcellina")</f>
        <v>Valcellina</v>
      </c>
      <c r="C3841" s="6"/>
      <c r="D3841" s="6" t="s">
        <v>3853</v>
      </c>
      <c r="E3841" s="12" t="s">
        <v>3854</v>
      </c>
    </row>
    <row r="3842">
      <c r="A3842" s="4" t="s">
        <v>3879</v>
      </c>
      <c r="B3842" s="5" t="str">
        <f>IFERROR(__xludf.DUMMYFUNCTION("IF(A3842="""","""",INDEX(SPLIT(A3842,"" ""),COUNTA(SPLIT(A3842,"" ""))))"),"Tagliamento")</f>
        <v>Tagliamento</v>
      </c>
      <c r="C3842" s="6"/>
      <c r="D3842" s="6" t="s">
        <v>3853</v>
      </c>
      <c r="E3842" s="12" t="s">
        <v>3854</v>
      </c>
    </row>
    <row r="3843">
      <c r="A3843" s="4" t="s">
        <v>3880</v>
      </c>
      <c r="B3843" s="5" t="str">
        <f>IFERROR(__xludf.DUMMYFUNCTION("IF(A3843="""","""",INDEX(SPLIT(A3843,"" ""),COUNTA(SPLIT(A3843,"" ""))))"),"Pordenone")</f>
        <v>Pordenone</v>
      </c>
      <c r="C3843" s="6"/>
      <c r="D3843" s="6" t="s">
        <v>3853</v>
      </c>
      <c r="E3843" s="12" t="s">
        <v>3854</v>
      </c>
    </row>
    <row r="3844">
      <c r="A3844" s="4" t="s">
        <v>3881</v>
      </c>
      <c r="B3844" s="5" t="str">
        <f>IFERROR(__xludf.DUMMYFUNCTION("IF(A3844="""","""",INDEX(SPLIT(A3844,"" ""),COUNTA(SPLIT(A3844,"" ""))))"),"Tagliamento")</f>
        <v>Tagliamento</v>
      </c>
      <c r="C3844" s="6"/>
      <c r="D3844" s="6" t="s">
        <v>3853</v>
      </c>
      <c r="E3844" s="12" t="s">
        <v>3854</v>
      </c>
    </row>
    <row r="3845">
      <c r="A3845" s="4" t="s">
        <v>3882</v>
      </c>
      <c r="B3845" s="5" t="str">
        <f>IFERROR(__xludf.DUMMYFUNCTION("IF(A3845="""","""",INDEX(SPLIT(A3845,"" ""),COUNTA(SPLIT(A3845,"" ""))))"),"Polcenigo")</f>
        <v>Polcenigo</v>
      </c>
      <c r="C3845" s="6"/>
      <c r="D3845" s="6" t="s">
        <v>3853</v>
      </c>
      <c r="E3845" s="12" t="s">
        <v>3854</v>
      </c>
    </row>
    <row r="3846">
      <c r="A3846" s="4" t="s">
        <v>3883</v>
      </c>
      <c r="B3846" s="5" t="str">
        <f>IFERROR(__xludf.DUMMYFUNCTION("IF(A3846="""","""",INDEX(SPLIT(A3846,"" ""),COUNTA(SPLIT(A3846,"" ""))))"),"Porcia")</f>
        <v>Porcia</v>
      </c>
      <c r="C3846" s="6"/>
      <c r="D3846" s="6" t="s">
        <v>3853</v>
      </c>
      <c r="E3846" s="12" t="s">
        <v>3854</v>
      </c>
    </row>
    <row r="3847">
      <c r="A3847" s="4" t="s">
        <v>3853</v>
      </c>
      <c r="B3847" s="5" t="str">
        <f>IFERROR(__xludf.DUMMYFUNCTION("IF(A3847="""","""",INDEX(SPLIT(A3847,"" ""),COUNTA(SPLIT(A3847,"" ""))))"),"Pordenone")</f>
        <v>Pordenone</v>
      </c>
      <c r="C3847" s="6"/>
      <c r="D3847" s="6" t="s">
        <v>3853</v>
      </c>
      <c r="E3847" s="12" t="s">
        <v>3854</v>
      </c>
    </row>
    <row r="3848">
      <c r="A3848" s="4" t="s">
        <v>3884</v>
      </c>
      <c r="B3848" s="5" t="str">
        <f>IFERROR(__xludf.DUMMYFUNCTION("IF(A3848="""","""",INDEX(SPLIT(A3848,"" ""),COUNTA(SPLIT(A3848,"" ""))))"),"Pordenone")</f>
        <v>Pordenone</v>
      </c>
      <c r="C3848" s="6"/>
      <c r="D3848" s="6" t="s">
        <v>3853</v>
      </c>
      <c r="E3848" s="12" t="s">
        <v>3854</v>
      </c>
    </row>
    <row r="3849">
      <c r="A3849" s="4" t="s">
        <v>3885</v>
      </c>
      <c r="B3849" s="5" t="str">
        <f>IFERROR(__xludf.DUMMYFUNCTION("IF(A3849="""","""",INDEX(SPLIT(A3849,"" ""),COUNTA(SPLIT(A3849,"" ""))))"),"Pravisdomini")</f>
        <v>Pravisdomini</v>
      </c>
      <c r="C3849" s="6"/>
      <c r="D3849" s="6" t="s">
        <v>3853</v>
      </c>
      <c r="E3849" s="12" t="s">
        <v>3854</v>
      </c>
    </row>
    <row r="3850">
      <c r="A3850" s="4" t="s">
        <v>3886</v>
      </c>
      <c r="B3850" s="5" t="str">
        <f>IFERROR(__xludf.DUMMYFUNCTION("IF(A3850="""","""",INDEX(SPLIT(A3850,"" ""),COUNTA(SPLIT(A3850,"" ""))))"),"Piano")</f>
        <v>Piano</v>
      </c>
      <c r="C3850" s="6"/>
      <c r="D3850" s="6" t="s">
        <v>3853</v>
      </c>
      <c r="E3850" s="12" t="s">
        <v>3854</v>
      </c>
    </row>
    <row r="3851">
      <c r="A3851" s="4" t="s">
        <v>3887</v>
      </c>
      <c r="B3851" s="5" t="str">
        <f>IFERROR(__xludf.DUMMYFUNCTION("IF(A3851="""","""",INDEX(SPLIT(A3851,"" ""),COUNTA(SPLIT(A3851,"" ""))))"),"Sacile")</f>
        <v>Sacile</v>
      </c>
      <c r="C3851" s="6"/>
      <c r="D3851" s="6" t="s">
        <v>3853</v>
      </c>
      <c r="E3851" s="12" t="s">
        <v>3854</v>
      </c>
    </row>
    <row r="3852">
      <c r="A3852" s="4" t="s">
        <v>3888</v>
      </c>
      <c r="B3852" s="5" t="str">
        <f>IFERROR(__xludf.DUMMYFUNCTION("IF(A3852="""","""",INDEX(SPLIT(A3852,"" ""),COUNTA(SPLIT(A3852,"" ""))))"),"Richinvelda")</f>
        <v>Richinvelda</v>
      </c>
      <c r="C3852" s="6"/>
      <c r="D3852" s="6" t="s">
        <v>3853</v>
      </c>
      <c r="E3852" s="12" t="s">
        <v>3854</v>
      </c>
    </row>
    <row r="3853">
      <c r="A3853" s="4" t="s">
        <v>3889</v>
      </c>
      <c r="B3853" s="5" t="str">
        <f>IFERROR(__xludf.DUMMYFUNCTION("IF(A3853="""","""",INDEX(SPLIT(A3853,"" ""),COUNTA(SPLIT(A3853,"" ""))))"),"Tagliamento")</f>
        <v>Tagliamento</v>
      </c>
      <c r="C3853" s="6"/>
      <c r="D3853" s="6" t="s">
        <v>3853</v>
      </c>
      <c r="E3853" s="12" t="s">
        <v>3854</v>
      </c>
    </row>
    <row r="3854">
      <c r="A3854" s="4" t="s">
        <v>3890</v>
      </c>
      <c r="B3854" s="5" t="str">
        <f>IFERROR(__xludf.DUMMYFUNCTION("IF(A3854="""","""",INDEX(SPLIT(A3854,"" ""),COUNTA(SPLIT(A3854,"" ""))))"),"Quirino")</f>
        <v>Quirino</v>
      </c>
      <c r="C3854" s="6"/>
      <c r="D3854" s="6" t="s">
        <v>3853</v>
      </c>
      <c r="E3854" s="12" t="s">
        <v>3854</v>
      </c>
    </row>
    <row r="3855">
      <c r="A3855" s="4" t="s">
        <v>3891</v>
      </c>
      <c r="B3855" s="5" t="str">
        <f>IFERROR(__xludf.DUMMYFUNCTION("IF(A3855="""","""",INDEX(SPLIT(A3855,"" ""),COUNTA(SPLIT(A3855,"" ""))))"),"Tagliamento")</f>
        <v>Tagliamento</v>
      </c>
      <c r="C3855" s="6"/>
      <c r="D3855" s="6" t="s">
        <v>3853</v>
      </c>
      <c r="E3855" s="12" t="s">
        <v>3854</v>
      </c>
    </row>
    <row r="3856">
      <c r="A3856" s="4" t="s">
        <v>3892</v>
      </c>
      <c r="B3856" s="5" t="str">
        <f>IFERROR(__xludf.DUMMYFUNCTION("IF(A3856="""","""",INDEX(SPLIT(A3856,"" ""),COUNTA(SPLIT(A3856,"" ""))))"),"Sequals")</f>
        <v>Sequals</v>
      </c>
      <c r="C3856" s="6"/>
      <c r="D3856" s="6" t="s">
        <v>3853</v>
      </c>
      <c r="E3856" s="12" t="s">
        <v>3854</v>
      </c>
    </row>
    <row r="3857">
      <c r="A3857" s="4" t="s">
        <v>3893</v>
      </c>
      <c r="B3857" s="5" t="str">
        <f>IFERROR(__xludf.DUMMYFUNCTION("IF(A3857="""","""",INDEX(SPLIT(A3857,"" ""),COUNTA(SPLIT(A3857,"" ""))))"),"Reghena")</f>
        <v>Reghena</v>
      </c>
      <c r="C3857" s="6"/>
      <c r="D3857" s="6" t="s">
        <v>3853</v>
      </c>
      <c r="E3857" s="12" t="s">
        <v>3854</v>
      </c>
    </row>
    <row r="3858">
      <c r="A3858" s="4" t="s">
        <v>3894</v>
      </c>
      <c r="B3858" s="5" t="str">
        <f>IFERROR(__xludf.DUMMYFUNCTION("IF(A3858="""","""",INDEX(SPLIT(A3858,"" ""),COUNTA(SPLIT(A3858,"" ""))))"),"Spilimbergo")</f>
        <v>Spilimbergo</v>
      </c>
      <c r="C3858" s="6"/>
      <c r="D3858" s="6" t="s">
        <v>3853</v>
      </c>
      <c r="E3858" s="12" t="s">
        <v>3854</v>
      </c>
    </row>
    <row r="3859">
      <c r="A3859" s="4" t="s">
        <v>3895</v>
      </c>
      <c r="B3859" s="5" t="str">
        <f>IFERROR(__xludf.DUMMYFUNCTION("IF(A3859="""","""",INDEX(SPLIT(A3859,"" ""),COUNTA(SPLIT(A3859,"" ""))))"),"Sopra")</f>
        <v>Sopra</v>
      </c>
      <c r="C3859" s="6"/>
      <c r="D3859" s="6" t="s">
        <v>3853</v>
      </c>
      <c r="E3859" s="12" t="s">
        <v>3854</v>
      </c>
    </row>
    <row r="3860">
      <c r="A3860" s="4" t="s">
        <v>3896</v>
      </c>
      <c r="B3860" s="5" t="str">
        <f>IFERROR(__xludf.DUMMYFUNCTION("IF(A3860="""","""",INDEX(SPLIT(A3860,"" ""),COUNTA(SPLIT(A3860,"" ""))))"),"Sotto")</f>
        <v>Sotto</v>
      </c>
      <c r="C3860" s="6"/>
      <c r="D3860" s="6" t="s">
        <v>3853</v>
      </c>
      <c r="E3860" s="12" t="s">
        <v>3854</v>
      </c>
    </row>
    <row r="3861">
      <c r="A3861" s="4" t="s">
        <v>3897</v>
      </c>
      <c r="B3861" s="5" t="str">
        <f>IFERROR(__xludf.DUMMYFUNCTION("IF(A3861="""","""",INDEX(SPLIT(A3861,"" ""),COUNTA(SPLIT(A3861,"" ""))))"),"Travesio")</f>
        <v>Travesio</v>
      </c>
      <c r="C3861" s="6"/>
      <c r="D3861" s="6" t="s">
        <v>3853</v>
      </c>
      <c r="E3861" s="12" t="s">
        <v>3854</v>
      </c>
    </row>
    <row r="3862">
      <c r="A3862" s="4" t="s">
        <v>3898</v>
      </c>
      <c r="B3862" s="5" t="str">
        <f>IFERROR(__xludf.DUMMYFUNCTION("IF(A3862="""","""",INDEX(SPLIT(A3862,"" ""),COUNTA(SPLIT(A3862,"" ""))))"),"d'Asio")</f>
        <v>d'Asio</v>
      </c>
      <c r="C3862" s="6"/>
      <c r="D3862" s="6" t="s">
        <v>3853</v>
      </c>
      <c r="E3862" s="12" t="s">
        <v>3854</v>
      </c>
    </row>
    <row r="3863">
      <c r="A3863" s="4" t="s">
        <v>3899</v>
      </c>
      <c r="B3863" s="5" t="str">
        <f>IFERROR(__xludf.DUMMYFUNCTION("IF(A3863="""","""",INDEX(SPLIT(A3863,"" ""),COUNTA(SPLIT(A3863,"" ""))))"),"Vivaro")</f>
        <v>Vivaro</v>
      </c>
      <c r="C3863" s="6"/>
      <c r="D3863" s="6" t="s">
        <v>3853</v>
      </c>
      <c r="E3863" s="12" t="s">
        <v>3854</v>
      </c>
    </row>
    <row r="3864">
      <c r="A3864" s="4" t="s">
        <v>3900</v>
      </c>
      <c r="B3864" s="5" t="str">
        <f>IFERROR(__xludf.DUMMYFUNCTION("IF(A3864="""","""",INDEX(SPLIT(A3864,"" ""),COUNTA(SPLIT(A3864,"" ""))))"),"Zoppola")</f>
        <v>Zoppola</v>
      </c>
      <c r="C3864" s="6"/>
      <c r="D3864" s="6" t="s">
        <v>3853</v>
      </c>
      <c r="E3864" s="12" t="s">
        <v>3854</v>
      </c>
    </row>
    <row r="3865">
      <c r="A3865" s="4" t="s">
        <v>3901</v>
      </c>
      <c r="B3865" s="5" t="str">
        <f>IFERROR(__xludf.DUMMYFUNCTION("IF(A3865="""","""",INDEX(SPLIT(A3865,"" ""),COUNTA(SPLIT(A3865,"" ""))))"),"Vajont")</f>
        <v>Vajont</v>
      </c>
      <c r="C3865" s="6"/>
      <c r="D3865" s="6" t="s">
        <v>3853</v>
      </c>
      <c r="E3865" s="12" t="s">
        <v>3854</v>
      </c>
    </row>
    <row r="3866">
      <c r="A3866" s="4" t="s">
        <v>3902</v>
      </c>
      <c r="B3866" s="5" t="str">
        <f>IFERROR(__xludf.DUMMYFUNCTION("IF(A3866="""","""",INDEX(SPLIT(A3866,"" ""),COUNTA(SPLIT(A3866,"" ""))))"),"Arzene")</f>
        <v>Arzene</v>
      </c>
      <c r="C3866" s="6"/>
      <c r="D3866" s="6" t="s">
        <v>3853</v>
      </c>
      <c r="E3866" s="12" t="s">
        <v>3854</v>
      </c>
    </row>
    <row r="3867">
      <c r="A3867" s="4" t="s">
        <v>3903</v>
      </c>
      <c r="B3867" s="5" t="str">
        <f>IFERROR(__xludf.DUMMYFUNCTION("IF(A3867="""","""",INDEX(SPLIT(A3867,"" ""),COUNTA(SPLIT(A3867,"" ""))))"),"Airole")</f>
        <v>Airole</v>
      </c>
      <c r="C3867" s="6"/>
      <c r="D3867" s="6" t="s">
        <v>3904</v>
      </c>
      <c r="E3867" s="12" t="s">
        <v>3905</v>
      </c>
    </row>
    <row r="3868">
      <c r="A3868" s="4" t="s">
        <v>3906</v>
      </c>
      <c r="B3868" s="5" t="str">
        <f>IFERROR(__xludf.DUMMYFUNCTION("IF(A3868="""","""",INDEX(SPLIT(A3868,"" ""),COUNTA(SPLIT(A3868,"" ""))))"),"Apricale")</f>
        <v>Apricale</v>
      </c>
      <c r="C3868" s="6"/>
      <c r="D3868" s="6" t="s">
        <v>3904</v>
      </c>
      <c r="E3868" s="12" t="s">
        <v>3905</v>
      </c>
    </row>
    <row r="3869">
      <c r="A3869" s="4" t="s">
        <v>3907</v>
      </c>
      <c r="B3869" s="5" t="str">
        <f>IFERROR(__xludf.DUMMYFUNCTION("IF(A3869="""","""",INDEX(SPLIT(A3869,"" ""),COUNTA(SPLIT(A3869,"" ""))))"),"d'Arroscia")</f>
        <v>d'Arroscia</v>
      </c>
      <c r="C3869" s="6"/>
      <c r="D3869" s="6" t="s">
        <v>3904</v>
      </c>
      <c r="E3869" s="12" t="s">
        <v>3905</v>
      </c>
    </row>
    <row r="3870">
      <c r="A3870" s="4" t="s">
        <v>3908</v>
      </c>
      <c r="B3870" s="5" t="str">
        <f>IFERROR(__xludf.DUMMYFUNCTION("IF(A3870="""","""",INDEX(SPLIT(A3870,"" ""),COUNTA(SPLIT(A3870,"" ""))))"),"Armo")</f>
        <v>Armo</v>
      </c>
      <c r="C3870" s="6"/>
      <c r="D3870" s="6" t="s">
        <v>3904</v>
      </c>
      <c r="E3870" s="12" t="s">
        <v>3905</v>
      </c>
    </row>
    <row r="3871">
      <c r="A3871" s="4" t="s">
        <v>3909</v>
      </c>
      <c r="B3871" s="5" t="str">
        <f>IFERROR(__xludf.DUMMYFUNCTION("IF(A3871="""","""",INDEX(SPLIT(A3871,"" ""),COUNTA(SPLIT(A3871,"" ""))))"),"Aurigo")</f>
        <v>Aurigo</v>
      </c>
      <c r="C3871" s="6"/>
      <c r="D3871" s="6" t="s">
        <v>3904</v>
      </c>
      <c r="E3871" s="12" t="s">
        <v>3905</v>
      </c>
    </row>
    <row r="3872">
      <c r="A3872" s="4" t="s">
        <v>3910</v>
      </c>
      <c r="B3872" s="5" t="str">
        <f>IFERROR(__xludf.DUMMYFUNCTION("IF(A3872="""","""",INDEX(SPLIT(A3872,"" ""),COUNTA(SPLIT(A3872,"" ""))))"),"Badalucco")</f>
        <v>Badalucco</v>
      </c>
      <c r="C3872" s="6"/>
      <c r="D3872" s="6" t="s">
        <v>3904</v>
      </c>
      <c r="E3872" s="12" t="s">
        <v>3905</v>
      </c>
    </row>
    <row r="3873">
      <c r="A3873" s="4" t="s">
        <v>3911</v>
      </c>
      <c r="B3873" s="5" t="str">
        <f>IFERROR(__xludf.DUMMYFUNCTION("IF(A3873="""","""",INDEX(SPLIT(A3873,"" ""),COUNTA(SPLIT(A3873,"" ""))))"),"Bajardo")</f>
        <v>Bajardo</v>
      </c>
      <c r="C3873" s="6"/>
      <c r="D3873" s="6" t="s">
        <v>3904</v>
      </c>
      <c r="E3873" s="12" t="s">
        <v>3905</v>
      </c>
    </row>
    <row r="3874">
      <c r="A3874" s="4" t="s">
        <v>3912</v>
      </c>
      <c r="B3874" s="5" t="str">
        <f>IFERROR(__xludf.DUMMYFUNCTION("IF(A3874="""","""",INDEX(SPLIT(A3874,"" ""),COUNTA(SPLIT(A3874,"" ""))))"),"Bordighera")</f>
        <v>Bordighera</v>
      </c>
      <c r="C3874" s="6"/>
      <c r="D3874" s="6" t="s">
        <v>3904</v>
      </c>
      <c r="E3874" s="12" t="s">
        <v>3905</v>
      </c>
    </row>
    <row r="3875">
      <c r="A3875" s="4" t="s">
        <v>3913</v>
      </c>
      <c r="B3875" s="5" t="str">
        <f>IFERROR(__xludf.DUMMYFUNCTION("IF(A3875="""","""",INDEX(SPLIT(A3875,"" ""),COUNTA(SPLIT(A3875,"" ""))))"),"d'Arroscia")</f>
        <v>d'Arroscia</v>
      </c>
      <c r="C3875" s="6"/>
      <c r="D3875" s="6" t="s">
        <v>3904</v>
      </c>
      <c r="E3875" s="12" t="s">
        <v>3905</v>
      </c>
    </row>
    <row r="3876">
      <c r="A3876" s="4" t="s">
        <v>3914</v>
      </c>
      <c r="B3876" s="5" t="str">
        <f>IFERROR(__xludf.DUMMYFUNCTION("IF(A3876="""","""",INDEX(SPLIT(A3876,"" ""),COUNTA(SPLIT(A3876,"" ""))))"),"Borgomaro")</f>
        <v>Borgomaro</v>
      </c>
      <c r="C3876" s="6"/>
      <c r="D3876" s="6" t="s">
        <v>3904</v>
      </c>
      <c r="E3876" s="12" t="s">
        <v>3905</v>
      </c>
    </row>
    <row r="3877">
      <c r="A3877" s="4" t="s">
        <v>3915</v>
      </c>
      <c r="B3877" s="5" t="str">
        <f>IFERROR(__xludf.DUMMYFUNCTION("IF(A3877="""","""",INDEX(SPLIT(A3877,"" ""),COUNTA(SPLIT(A3877,"" ""))))"),"Camporosso")</f>
        <v>Camporosso</v>
      </c>
      <c r="C3877" s="6"/>
      <c r="D3877" s="6" t="s">
        <v>3904</v>
      </c>
      <c r="E3877" s="12" t="s">
        <v>3905</v>
      </c>
    </row>
    <row r="3878">
      <c r="A3878" s="4" t="s">
        <v>3916</v>
      </c>
      <c r="B3878" s="5" t="str">
        <f>IFERROR(__xludf.DUMMYFUNCTION("IF(A3878="""","""",INDEX(SPLIT(A3878,"" ""),COUNTA(SPLIT(A3878,"" ""))))"),"Caravonica")</f>
        <v>Caravonica</v>
      </c>
      <c r="C3878" s="6"/>
      <c r="D3878" s="6" t="s">
        <v>3904</v>
      </c>
      <c r="E3878" s="12" t="s">
        <v>3905</v>
      </c>
    </row>
    <row r="3879">
      <c r="A3879" s="4" t="s">
        <v>3917</v>
      </c>
      <c r="B3879" s="5" t="str">
        <f>IFERROR(__xludf.DUMMYFUNCTION("IF(A3879="""","""",INDEX(SPLIT(A3879,"" ""),COUNTA(SPLIT(A3879,"" ""))))"),"Castellaro")</f>
        <v>Castellaro</v>
      </c>
      <c r="C3879" s="6"/>
      <c r="D3879" s="6" t="s">
        <v>3904</v>
      </c>
      <c r="E3879" s="12" t="s">
        <v>3905</v>
      </c>
    </row>
    <row r="3880">
      <c r="A3880" s="4" t="s">
        <v>3918</v>
      </c>
      <c r="B3880" s="5" t="str">
        <f>IFERROR(__xludf.DUMMYFUNCTION("IF(A3880="""","""",INDEX(SPLIT(A3880,"" ""),COUNTA(SPLIT(A3880,"" ""))))"),"Vittorio")</f>
        <v>Vittorio</v>
      </c>
      <c r="C3880" s="6"/>
      <c r="D3880" s="6" t="s">
        <v>3904</v>
      </c>
      <c r="E3880" s="12" t="s">
        <v>3905</v>
      </c>
    </row>
    <row r="3881">
      <c r="A3881" s="4" t="s">
        <v>3919</v>
      </c>
      <c r="B3881" s="5" t="str">
        <f>IFERROR(__xludf.DUMMYFUNCTION("IF(A3881="""","""",INDEX(SPLIT(A3881,"" ""),COUNTA(SPLIT(A3881,"" ""))))"),"Ceriana")</f>
        <v>Ceriana</v>
      </c>
      <c r="C3881" s="6"/>
      <c r="D3881" s="6" t="s">
        <v>3904</v>
      </c>
      <c r="E3881" s="12" t="s">
        <v>3905</v>
      </c>
    </row>
    <row r="3882">
      <c r="A3882" s="4" t="s">
        <v>3920</v>
      </c>
      <c r="B3882" s="5" t="str">
        <f>IFERROR(__xludf.DUMMYFUNCTION("IF(A3882="""","""",INDEX(SPLIT(A3882,"" ""),COUNTA(SPLIT(A3882,"" ""))))"),"Cervo")</f>
        <v>Cervo</v>
      </c>
      <c r="C3882" s="6"/>
      <c r="D3882" s="6" t="s">
        <v>3904</v>
      </c>
      <c r="E3882" s="12" t="s">
        <v>3905</v>
      </c>
    </row>
    <row r="3883">
      <c r="A3883" s="4" t="s">
        <v>3921</v>
      </c>
      <c r="B3883" s="5" t="str">
        <f>IFERROR(__xludf.DUMMYFUNCTION("IF(A3883="""","""",INDEX(SPLIT(A3883,"" ""),COUNTA(SPLIT(A3883,"" ""))))"),"Cesio")</f>
        <v>Cesio</v>
      </c>
      <c r="C3883" s="6"/>
      <c r="D3883" s="6" t="s">
        <v>3904</v>
      </c>
      <c r="E3883" s="12" t="s">
        <v>3905</v>
      </c>
    </row>
    <row r="3884">
      <c r="A3884" s="4" t="s">
        <v>3922</v>
      </c>
      <c r="B3884" s="5" t="str">
        <f>IFERROR(__xludf.DUMMYFUNCTION("IF(A3884="""","""",INDEX(SPLIT(A3884,"" ""),COUNTA(SPLIT(A3884,"" ""))))"),"Chiusanico")</f>
        <v>Chiusanico</v>
      </c>
      <c r="C3884" s="6"/>
      <c r="D3884" s="6" t="s">
        <v>3904</v>
      </c>
      <c r="E3884" s="12" t="s">
        <v>3905</v>
      </c>
    </row>
    <row r="3885">
      <c r="A3885" s="4" t="s">
        <v>3923</v>
      </c>
      <c r="B3885" s="5" t="str">
        <f>IFERROR(__xludf.DUMMYFUNCTION("IF(A3885="""","""",INDEX(SPLIT(A3885,"" ""),COUNTA(SPLIT(A3885,"" ""))))"),"Chiusavecchia")</f>
        <v>Chiusavecchia</v>
      </c>
      <c r="C3885" s="6"/>
      <c r="D3885" s="6" t="s">
        <v>3904</v>
      </c>
      <c r="E3885" s="12" t="s">
        <v>3905</v>
      </c>
    </row>
    <row r="3886">
      <c r="A3886" s="4" t="s">
        <v>3924</v>
      </c>
      <c r="B3886" s="5" t="str">
        <f>IFERROR(__xludf.DUMMYFUNCTION("IF(A3886="""","""",INDEX(SPLIT(A3886,"" ""),COUNTA(SPLIT(A3886,"" ""))))"),"Cipressa")</f>
        <v>Cipressa</v>
      </c>
      <c r="C3886" s="6"/>
      <c r="D3886" s="6" t="s">
        <v>3904</v>
      </c>
      <c r="E3886" s="12" t="s">
        <v>3905</v>
      </c>
    </row>
    <row r="3887">
      <c r="A3887" s="4" t="s">
        <v>3925</v>
      </c>
      <c r="B3887" s="5" t="str">
        <f>IFERROR(__xludf.DUMMYFUNCTION("IF(A3887="""","""",INDEX(SPLIT(A3887,"" ""),COUNTA(SPLIT(A3887,"" ""))))"),"Civezza")</f>
        <v>Civezza</v>
      </c>
      <c r="C3887" s="6"/>
      <c r="D3887" s="6" t="s">
        <v>3904</v>
      </c>
      <c r="E3887" s="12" t="s">
        <v>3905</v>
      </c>
    </row>
    <row r="3888">
      <c r="A3888" s="4" t="s">
        <v>3926</v>
      </c>
      <c r="B3888" s="5" t="str">
        <f>IFERROR(__xludf.DUMMYFUNCTION("IF(A3888="""","""",INDEX(SPLIT(A3888,"" ""),COUNTA(SPLIT(A3888,"" ""))))"),"d'Arroscia")</f>
        <v>d'Arroscia</v>
      </c>
      <c r="C3888" s="6"/>
      <c r="D3888" s="6" t="s">
        <v>3904</v>
      </c>
      <c r="E3888" s="12" t="s">
        <v>3905</v>
      </c>
    </row>
    <row r="3889">
      <c r="A3889" s="4" t="s">
        <v>3927</v>
      </c>
      <c r="B3889" s="5" t="str">
        <f>IFERROR(__xludf.DUMMYFUNCTION("IF(A3889="""","""",INDEX(SPLIT(A3889,"" ""),COUNTA(SPLIT(A3889,"" ""))))"),"Costarainera")</f>
        <v>Costarainera</v>
      </c>
      <c r="C3889" s="6"/>
      <c r="D3889" s="6" t="s">
        <v>3904</v>
      </c>
      <c r="E3889" s="12" t="s">
        <v>3905</v>
      </c>
    </row>
    <row r="3890">
      <c r="A3890" s="4" t="s">
        <v>3928</v>
      </c>
      <c r="B3890" s="5" t="str">
        <f>IFERROR(__xludf.DUMMYFUNCTION("IF(A3890="""","""",INDEX(SPLIT(A3890,"" ""),COUNTA(SPLIT(A3890,"" ""))))"),"Arentino")</f>
        <v>Arentino</v>
      </c>
      <c r="C3890" s="6"/>
      <c r="D3890" s="6" t="s">
        <v>3904</v>
      </c>
      <c r="E3890" s="12" t="s">
        <v>3905</v>
      </c>
    </row>
    <row r="3891">
      <c r="A3891" s="4" t="s">
        <v>3929</v>
      </c>
      <c r="B3891" s="5" t="str">
        <f>IFERROR(__xludf.DUMMYFUNCTION("IF(A3891="""","""",INDEX(SPLIT(A3891,"" ""),COUNTA(SPLIT(A3891,"" ""))))"),"Castello")</f>
        <v>Castello</v>
      </c>
      <c r="C3891" s="6"/>
      <c r="D3891" s="6" t="s">
        <v>3904</v>
      </c>
      <c r="E3891" s="12" t="s">
        <v>3905</v>
      </c>
    </row>
    <row r="3892">
      <c r="A3892" s="4" t="s">
        <v>3930</v>
      </c>
      <c r="B3892" s="5" t="str">
        <f>IFERROR(__xludf.DUMMYFUNCTION("IF(A3892="""","""",INDEX(SPLIT(A3892,"" ""),COUNTA(SPLIT(A3892,"" ""))))"),"Marina")</f>
        <v>Marina</v>
      </c>
      <c r="C3892" s="6"/>
      <c r="D3892" s="6" t="s">
        <v>3904</v>
      </c>
      <c r="E3892" s="12" t="s">
        <v>3905</v>
      </c>
    </row>
    <row r="3893">
      <c r="A3893" s="4" t="s">
        <v>3931</v>
      </c>
      <c r="B3893" s="5" t="str">
        <f>IFERROR(__xludf.DUMMYFUNCTION("IF(A3893="""","""",INDEX(SPLIT(A3893,"" ""),COUNTA(SPLIT(A3893,"" ""))))"),"Pietro")</f>
        <v>Pietro</v>
      </c>
      <c r="C3893" s="6"/>
      <c r="D3893" s="6" t="s">
        <v>3904</v>
      </c>
      <c r="E3893" s="12" t="s">
        <v>3905</v>
      </c>
    </row>
    <row r="3894">
      <c r="A3894" s="4" t="s">
        <v>3932</v>
      </c>
      <c r="B3894" s="5" t="str">
        <f>IFERROR(__xludf.DUMMYFUNCTION("IF(A3894="""","""",INDEX(SPLIT(A3894,"" ""),COUNTA(SPLIT(A3894,"" ""))))"),"Dolceacqua")</f>
        <v>Dolceacqua</v>
      </c>
      <c r="C3894" s="6"/>
      <c r="D3894" s="6" t="s">
        <v>3904</v>
      </c>
      <c r="E3894" s="12" t="s">
        <v>3905</v>
      </c>
    </row>
    <row r="3895">
      <c r="A3895" s="4" t="s">
        <v>3933</v>
      </c>
      <c r="B3895" s="5" t="str">
        <f>IFERROR(__xludf.DUMMYFUNCTION("IF(A3895="""","""",INDEX(SPLIT(A3895,"" ""),COUNTA(SPLIT(A3895,"" ""))))"),"Dolcedo")</f>
        <v>Dolcedo</v>
      </c>
      <c r="C3895" s="6"/>
      <c r="D3895" s="6" t="s">
        <v>3904</v>
      </c>
      <c r="E3895" s="12" t="s">
        <v>3905</v>
      </c>
    </row>
    <row r="3896">
      <c r="A3896" s="4" t="s">
        <v>3904</v>
      </c>
      <c r="B3896" s="5" t="str">
        <f>IFERROR(__xludf.DUMMYFUNCTION("IF(A3896="""","""",INDEX(SPLIT(A3896,"" ""),COUNTA(SPLIT(A3896,"" ""))))"),"Imperia")</f>
        <v>Imperia</v>
      </c>
      <c r="C3896" s="6"/>
      <c r="D3896" s="6" t="s">
        <v>3904</v>
      </c>
      <c r="E3896" s="12" t="s">
        <v>3905</v>
      </c>
    </row>
    <row r="3897">
      <c r="A3897" s="4" t="s">
        <v>3934</v>
      </c>
      <c r="B3897" s="5" t="str">
        <f>IFERROR(__xludf.DUMMYFUNCTION("IF(A3897="""","""",INDEX(SPLIT(A3897,"" ""),COUNTA(SPLIT(A3897,"" ""))))"),"Isolabona")</f>
        <v>Isolabona</v>
      </c>
      <c r="C3897" s="6"/>
      <c r="D3897" s="6" t="s">
        <v>3904</v>
      </c>
      <c r="E3897" s="12" t="s">
        <v>3905</v>
      </c>
    </row>
    <row r="3898">
      <c r="A3898" s="4" t="s">
        <v>3935</v>
      </c>
      <c r="B3898" s="5" t="str">
        <f>IFERROR(__xludf.DUMMYFUNCTION("IF(A3898="""","""",INDEX(SPLIT(A3898,"" ""),COUNTA(SPLIT(A3898,"" ""))))"),"Lucinasco")</f>
        <v>Lucinasco</v>
      </c>
      <c r="C3898" s="6"/>
      <c r="D3898" s="6" t="s">
        <v>3904</v>
      </c>
      <c r="E3898" s="12" t="s">
        <v>3905</v>
      </c>
    </row>
    <row r="3899">
      <c r="A3899" s="4" t="s">
        <v>3936</v>
      </c>
      <c r="B3899" s="5" t="str">
        <f>IFERROR(__xludf.DUMMYFUNCTION("IF(A3899="""","""",INDEX(SPLIT(A3899,"" ""),COUNTA(SPLIT(A3899,"" ""))))"),"Mendatica")</f>
        <v>Mendatica</v>
      </c>
      <c r="C3899" s="6"/>
      <c r="D3899" s="6" t="s">
        <v>3904</v>
      </c>
      <c r="E3899" s="12" t="s">
        <v>3905</v>
      </c>
    </row>
    <row r="3900">
      <c r="A3900" s="4" t="s">
        <v>3937</v>
      </c>
      <c r="B3900" s="5" t="str">
        <f>IFERROR(__xludf.DUMMYFUNCTION("IF(A3900="""","""",INDEX(SPLIT(A3900,"" ""),COUNTA(SPLIT(A3900,"" ""))))"),"Triora")</f>
        <v>Triora</v>
      </c>
      <c r="C3900" s="6"/>
      <c r="D3900" s="6" t="s">
        <v>3904</v>
      </c>
      <c r="E3900" s="12" t="s">
        <v>3905</v>
      </c>
    </row>
    <row r="3901">
      <c r="A3901" s="4" t="s">
        <v>3938</v>
      </c>
      <c r="B3901" s="5" t="str">
        <f>IFERROR(__xludf.DUMMYFUNCTION("IF(A3901="""","""",INDEX(SPLIT(A3901,"" ""),COUNTA(SPLIT(A3901,"" ""))))"),"Latte")</f>
        <v>Latte</v>
      </c>
      <c r="C3901" s="6"/>
      <c r="D3901" s="6" t="s">
        <v>3904</v>
      </c>
      <c r="E3901" s="12" t="s">
        <v>3905</v>
      </c>
    </row>
    <row r="3902">
      <c r="A3902" s="4" t="s">
        <v>3939</v>
      </c>
      <c r="B3902" s="5" t="str">
        <f>IFERROR(__xludf.DUMMYFUNCTION("IF(A3902="""","""",INDEX(SPLIT(A3902,"" ""),COUNTA(SPLIT(A3902,"" ""))))"),"Michele")</f>
        <v>Michele</v>
      </c>
      <c r="C3902" s="6"/>
      <c r="D3902" s="6" t="s">
        <v>3904</v>
      </c>
      <c r="E3902" s="12" t="s">
        <v>3905</v>
      </c>
    </row>
    <row r="3903">
      <c r="A3903" s="4" t="s">
        <v>3940</v>
      </c>
      <c r="B3903" s="5" t="str">
        <f>IFERROR(__xludf.DUMMYFUNCTION("IF(A3903="""","""",INDEX(SPLIT(A3903,"" ""),COUNTA(SPLIT(A3903,"" ""))))"),"Ospedaletti")</f>
        <v>Ospedaletti</v>
      </c>
      <c r="C3903" s="6"/>
      <c r="D3903" s="6" t="s">
        <v>3904</v>
      </c>
      <c r="E3903" s="12" t="s">
        <v>3905</v>
      </c>
    </row>
    <row r="3904">
      <c r="A3904" s="4" t="s">
        <v>3941</v>
      </c>
      <c r="B3904" s="5" t="str">
        <f>IFERROR(__xludf.DUMMYFUNCTION("IF(A3904="""","""",INDEX(SPLIT(A3904,"" ""),COUNTA(SPLIT(A3904,"" ""))))"),"Perinaldo")</f>
        <v>Perinaldo</v>
      </c>
      <c r="C3904" s="6"/>
      <c r="D3904" s="6" t="s">
        <v>3904</v>
      </c>
      <c r="E3904" s="12" t="s">
        <v>3905</v>
      </c>
    </row>
    <row r="3905">
      <c r="A3905" s="4" t="s">
        <v>3942</v>
      </c>
      <c r="B3905" s="5" t="str">
        <f>IFERROR(__xludf.DUMMYFUNCTION("IF(A3905="""","""",INDEX(SPLIT(A3905,"" ""),COUNTA(SPLIT(A3905,"" ""))))"),"Pietrabruna")</f>
        <v>Pietrabruna</v>
      </c>
      <c r="C3905" s="6"/>
      <c r="D3905" s="6" t="s">
        <v>3904</v>
      </c>
      <c r="E3905" s="12" t="s">
        <v>3905</v>
      </c>
    </row>
    <row r="3906">
      <c r="A3906" s="4" t="s">
        <v>3943</v>
      </c>
      <c r="B3906" s="5" t="str">
        <f>IFERROR(__xludf.DUMMYFUNCTION("IF(A3906="""","""",INDEX(SPLIT(A3906,"" ""),COUNTA(SPLIT(A3906,"" ""))))"),"Teco")</f>
        <v>Teco</v>
      </c>
      <c r="C3906" s="6"/>
      <c r="D3906" s="6" t="s">
        <v>3904</v>
      </c>
      <c r="E3906" s="12" t="s">
        <v>3905</v>
      </c>
    </row>
    <row r="3907">
      <c r="A3907" s="4" t="s">
        <v>3944</v>
      </c>
      <c r="B3907" s="5" t="str">
        <f>IFERROR(__xludf.DUMMYFUNCTION("IF(A3907="""","""",INDEX(SPLIT(A3907,"" ""),COUNTA(SPLIT(A3907,"" ""))))"),"Pigna")</f>
        <v>Pigna</v>
      </c>
      <c r="C3907" s="6"/>
      <c r="D3907" s="6" t="s">
        <v>3904</v>
      </c>
      <c r="E3907" s="12" t="s">
        <v>3905</v>
      </c>
    </row>
    <row r="3908">
      <c r="A3908" s="4" t="s">
        <v>3945</v>
      </c>
      <c r="B3908" s="5" t="str">
        <f>IFERROR(__xludf.DUMMYFUNCTION("IF(A3908="""","""",INDEX(SPLIT(A3908,"" ""),COUNTA(SPLIT(A3908,"" ""))))"),"Pompeiana")</f>
        <v>Pompeiana</v>
      </c>
      <c r="C3908" s="6"/>
      <c r="D3908" s="6" t="s">
        <v>3904</v>
      </c>
      <c r="E3908" s="12" t="s">
        <v>3905</v>
      </c>
    </row>
    <row r="3909">
      <c r="A3909" s="4" t="s">
        <v>3946</v>
      </c>
      <c r="B3909" s="5" t="str">
        <f>IFERROR(__xludf.DUMMYFUNCTION("IF(A3909="""","""",INDEX(SPLIT(A3909,"" ""),COUNTA(SPLIT(A3909,"" ""))))"),"Pontedassio")</f>
        <v>Pontedassio</v>
      </c>
      <c r="C3909" s="6"/>
      <c r="D3909" s="6" t="s">
        <v>3904</v>
      </c>
      <c r="E3909" s="12" t="s">
        <v>3905</v>
      </c>
    </row>
    <row r="3910">
      <c r="A3910" s="4" t="s">
        <v>3947</v>
      </c>
      <c r="B3910" s="5" t="str">
        <f>IFERROR(__xludf.DUMMYFUNCTION("IF(A3910="""","""",INDEX(SPLIT(A3910,"" ""),COUNTA(SPLIT(A3910,"" ""))))"),"Pornassio")</f>
        <v>Pornassio</v>
      </c>
      <c r="C3910" s="6"/>
      <c r="D3910" s="6" t="s">
        <v>3904</v>
      </c>
      <c r="E3910" s="12" t="s">
        <v>3905</v>
      </c>
    </row>
    <row r="3911">
      <c r="A3911" s="4" t="s">
        <v>3948</v>
      </c>
      <c r="B3911" s="5" t="str">
        <f>IFERROR(__xludf.DUMMYFUNCTION("IF(A3911="""","""",INDEX(SPLIT(A3911,"" ""),COUNTA(SPLIT(A3911,"" ""))))"),"Prelà")</f>
        <v>Prelà</v>
      </c>
      <c r="C3911" s="6"/>
      <c r="D3911" s="6" t="s">
        <v>3904</v>
      </c>
      <c r="E3911" s="12" t="s">
        <v>3905</v>
      </c>
    </row>
    <row r="3912">
      <c r="A3912" s="4" t="s">
        <v>3949</v>
      </c>
      <c r="B3912" s="5" t="str">
        <f>IFERROR(__xludf.DUMMYFUNCTION("IF(A3912="""","""",INDEX(SPLIT(A3912,"" ""),COUNTA(SPLIT(A3912,"" ""))))"),"Ranzo")</f>
        <v>Ranzo</v>
      </c>
      <c r="C3912" s="6"/>
      <c r="D3912" s="6" t="s">
        <v>3904</v>
      </c>
      <c r="E3912" s="12" t="s">
        <v>3905</v>
      </c>
    </row>
    <row r="3913">
      <c r="A3913" s="4" t="s">
        <v>3950</v>
      </c>
      <c r="B3913" s="5" t="str">
        <f>IFERROR(__xludf.DUMMYFUNCTION("IF(A3913="""","""",INDEX(SPLIT(A3913,"" ""),COUNTA(SPLIT(A3913,"" ""))))"),"Rezzo")</f>
        <v>Rezzo</v>
      </c>
      <c r="C3913" s="6"/>
      <c r="D3913" s="6" t="s">
        <v>3904</v>
      </c>
      <c r="E3913" s="12" t="s">
        <v>3905</v>
      </c>
    </row>
    <row r="3914">
      <c r="A3914" s="4" t="s">
        <v>3951</v>
      </c>
      <c r="B3914" s="5" t="str">
        <f>IFERROR(__xludf.DUMMYFUNCTION("IF(A3914="""","""",INDEX(SPLIT(A3914,"" ""),COUNTA(SPLIT(A3914,"" ""))))"),"Ligure")</f>
        <v>Ligure</v>
      </c>
      <c r="C3914" s="6"/>
      <c r="D3914" s="6" t="s">
        <v>3904</v>
      </c>
      <c r="E3914" s="12" t="s">
        <v>3905</v>
      </c>
    </row>
    <row r="3915">
      <c r="A3915" s="4" t="s">
        <v>3952</v>
      </c>
      <c r="B3915" s="5" t="str">
        <f>IFERROR(__xludf.DUMMYFUNCTION("IF(A3915="""","""",INDEX(SPLIT(A3915,"" ""),COUNTA(SPLIT(A3915,"" ""))))"),"Nervina")</f>
        <v>Nervina</v>
      </c>
      <c r="C3915" s="6"/>
      <c r="D3915" s="6" t="s">
        <v>3904</v>
      </c>
      <c r="E3915" s="12" t="s">
        <v>3905</v>
      </c>
    </row>
    <row r="3916">
      <c r="A3916" s="4" t="s">
        <v>3953</v>
      </c>
      <c r="B3916" s="5" t="str">
        <f>IFERROR(__xludf.DUMMYFUNCTION("IF(A3916="""","""",INDEX(SPLIT(A3916,"" ""),COUNTA(SPLIT(A3916,"" ""))))"),"Mare")</f>
        <v>Mare</v>
      </c>
      <c r="C3916" s="6"/>
      <c r="D3916" s="6" t="s">
        <v>3904</v>
      </c>
      <c r="E3916" s="12" t="s">
        <v>3905</v>
      </c>
    </row>
    <row r="3917">
      <c r="A3917" s="4" t="s">
        <v>3954</v>
      </c>
      <c r="B3917" s="5" t="str">
        <f>IFERROR(__xludf.DUMMYFUNCTION("IF(A3917="""","""",INDEX(SPLIT(A3917,"" ""),COUNTA(SPLIT(A3917,"" ""))))"),"Cima")</f>
        <v>Cima</v>
      </c>
      <c r="C3917" s="6"/>
      <c r="D3917" s="6" t="s">
        <v>3904</v>
      </c>
      <c r="E3917" s="12" t="s">
        <v>3905</v>
      </c>
    </row>
    <row r="3918">
      <c r="A3918" s="4" t="s">
        <v>3955</v>
      </c>
      <c r="B3918" s="5" t="str">
        <f>IFERROR(__xludf.DUMMYFUNCTION("IF(A3918="""","""",INDEX(SPLIT(A3918,"" ""),COUNTA(SPLIT(A3918,"" ""))))"),"Mare")</f>
        <v>Mare</v>
      </c>
      <c r="C3918" s="6"/>
      <c r="D3918" s="6" t="s">
        <v>3904</v>
      </c>
      <c r="E3918" s="12" t="s">
        <v>3905</v>
      </c>
    </row>
    <row r="3919">
      <c r="A3919" s="4" t="s">
        <v>3956</v>
      </c>
      <c r="B3919" s="5" t="str">
        <f>IFERROR(__xludf.DUMMYFUNCTION("IF(A3919="""","""",INDEX(SPLIT(A3919,"" ""),COUNTA(SPLIT(A3919,"" ""))))"),"Sanremo")</f>
        <v>Sanremo</v>
      </c>
      <c r="C3919" s="6"/>
      <c r="D3919" s="6" t="s">
        <v>3904</v>
      </c>
      <c r="E3919" s="12" t="s">
        <v>3905</v>
      </c>
    </row>
    <row r="3920">
      <c r="A3920" s="4" t="s">
        <v>3957</v>
      </c>
      <c r="B3920" s="5" t="str">
        <f>IFERROR(__xludf.DUMMYFUNCTION("IF(A3920="""","""",INDEX(SPLIT(A3920,"" ""),COUNTA(SPLIT(A3920,"" ""))))"),"Mare")</f>
        <v>Mare</v>
      </c>
      <c r="C3920" s="6"/>
      <c r="D3920" s="6" t="s">
        <v>3904</v>
      </c>
      <c r="E3920" s="12" t="s">
        <v>3905</v>
      </c>
    </row>
    <row r="3921">
      <c r="A3921" s="4" t="s">
        <v>3958</v>
      </c>
      <c r="B3921" s="5" t="str">
        <f>IFERROR(__xludf.DUMMYFUNCTION("IF(A3921="""","""",INDEX(SPLIT(A3921,"" ""),COUNTA(SPLIT(A3921,"" ""))))"),"Seborga")</f>
        <v>Seborga</v>
      </c>
      <c r="C3921" s="6"/>
      <c r="D3921" s="6" t="s">
        <v>3904</v>
      </c>
      <c r="E3921" s="12" t="s">
        <v>3905</v>
      </c>
    </row>
    <row r="3922">
      <c r="A3922" s="4" t="s">
        <v>3959</v>
      </c>
      <c r="B3922" s="5" t="str">
        <f>IFERROR(__xludf.DUMMYFUNCTION("IF(A3922="""","""",INDEX(SPLIT(A3922,"" ""),COUNTA(SPLIT(A3922,"" ""))))"),"Soldano")</f>
        <v>Soldano</v>
      </c>
      <c r="C3922" s="6"/>
      <c r="D3922" s="6" t="s">
        <v>3904</v>
      </c>
      <c r="E3922" s="12" t="s">
        <v>3905</v>
      </c>
    </row>
    <row r="3923">
      <c r="A3923" s="4" t="s">
        <v>3960</v>
      </c>
      <c r="B3923" s="5" t="str">
        <f>IFERROR(__xludf.DUMMYFUNCTION("IF(A3923="""","""",INDEX(SPLIT(A3923,"" ""),COUNTA(SPLIT(A3923,"" ""))))"),"Taggia")</f>
        <v>Taggia</v>
      </c>
      <c r="C3923" s="6"/>
      <c r="D3923" s="6" t="s">
        <v>3904</v>
      </c>
      <c r="E3923" s="12" t="s">
        <v>3905</v>
      </c>
    </row>
    <row r="3924">
      <c r="A3924" s="4" t="s">
        <v>3961</v>
      </c>
      <c r="B3924" s="5" t="str">
        <f>IFERROR(__xludf.DUMMYFUNCTION("IF(A3924="""","""",INDEX(SPLIT(A3924,"" ""),COUNTA(SPLIT(A3924,"" ""))))"),"Terzorio")</f>
        <v>Terzorio</v>
      </c>
      <c r="C3924" s="6"/>
      <c r="D3924" s="6" t="s">
        <v>3904</v>
      </c>
      <c r="E3924" s="12" t="s">
        <v>3905</v>
      </c>
    </row>
    <row r="3925">
      <c r="A3925" s="4" t="s">
        <v>3962</v>
      </c>
      <c r="B3925" s="5" t="str">
        <f>IFERROR(__xludf.DUMMYFUNCTION("IF(A3925="""","""",INDEX(SPLIT(A3925,"" ""),COUNTA(SPLIT(A3925,"" ""))))"),"Triora")</f>
        <v>Triora</v>
      </c>
      <c r="C3925" s="6"/>
      <c r="D3925" s="6" t="s">
        <v>3904</v>
      </c>
      <c r="E3925" s="12" t="s">
        <v>3905</v>
      </c>
    </row>
    <row r="3926">
      <c r="A3926" s="4" t="s">
        <v>3963</v>
      </c>
      <c r="B3926" s="5" t="str">
        <f>IFERROR(__xludf.DUMMYFUNCTION("IF(A3926="""","""",INDEX(SPLIT(A3926,"" ""),COUNTA(SPLIT(A3926,"" ""))))"),"Vallebona")</f>
        <v>Vallebona</v>
      </c>
      <c r="C3926" s="6"/>
      <c r="D3926" s="6" t="s">
        <v>3904</v>
      </c>
      <c r="E3926" s="12" t="s">
        <v>3905</v>
      </c>
    </row>
    <row r="3927">
      <c r="A3927" s="4" t="s">
        <v>3964</v>
      </c>
      <c r="B3927" s="5" t="str">
        <f>IFERROR(__xludf.DUMMYFUNCTION("IF(A3927="""","""",INDEX(SPLIT(A3927,"" ""),COUNTA(SPLIT(A3927,"" ""))))"),"Vallecrosia")</f>
        <v>Vallecrosia</v>
      </c>
      <c r="C3927" s="6"/>
      <c r="D3927" s="6" t="s">
        <v>3904</v>
      </c>
      <c r="E3927" s="12" t="s">
        <v>3905</v>
      </c>
    </row>
    <row r="3928">
      <c r="A3928" s="4" t="s">
        <v>3965</v>
      </c>
      <c r="B3928" s="5" t="str">
        <f>IFERROR(__xludf.DUMMYFUNCTION("IF(A3928="""","""",INDEX(SPLIT(A3928,"" ""),COUNTA(SPLIT(A3928,"" ""))))"),"Vasia")</f>
        <v>Vasia</v>
      </c>
      <c r="C3928" s="6"/>
      <c r="D3928" s="6" t="s">
        <v>3904</v>
      </c>
      <c r="E3928" s="12" t="s">
        <v>3905</v>
      </c>
    </row>
    <row r="3929">
      <c r="A3929" s="4" t="s">
        <v>3966</v>
      </c>
      <c r="B3929" s="5" t="str">
        <f>IFERROR(__xludf.DUMMYFUNCTION("IF(A3929="""","""",INDEX(SPLIT(A3929,"" ""),COUNTA(SPLIT(A3929,"" ""))))"),"Ventimiglia")</f>
        <v>Ventimiglia</v>
      </c>
      <c r="C3929" s="6"/>
      <c r="D3929" s="6" t="s">
        <v>3904</v>
      </c>
      <c r="E3929" s="12" t="s">
        <v>3905</v>
      </c>
    </row>
    <row r="3930">
      <c r="A3930" s="4" t="s">
        <v>3967</v>
      </c>
      <c r="B3930" s="5" t="str">
        <f>IFERROR(__xludf.DUMMYFUNCTION("IF(A3930="""","""",INDEX(SPLIT(A3930,"" ""),COUNTA(SPLIT(A3930,"" ""))))"),"Vessalico")</f>
        <v>Vessalico</v>
      </c>
      <c r="C3930" s="6"/>
      <c r="D3930" s="6" t="s">
        <v>3904</v>
      </c>
      <c r="E3930" s="12" t="s">
        <v>3905</v>
      </c>
    </row>
    <row r="3931">
      <c r="A3931" s="4" t="s">
        <v>3968</v>
      </c>
      <c r="B3931" s="5" t="str">
        <f>IFERROR(__xludf.DUMMYFUNCTION("IF(A3931="""","""",INDEX(SPLIT(A3931,"" ""),COUNTA(SPLIT(A3931,"" ""))))"),"Faraldi")</f>
        <v>Faraldi</v>
      </c>
      <c r="C3931" s="6"/>
      <c r="D3931" s="6" t="s">
        <v>3904</v>
      </c>
      <c r="E3931" s="12" t="s">
        <v>3905</v>
      </c>
    </row>
    <row r="3932">
      <c r="A3932" s="4" t="s">
        <v>3969</v>
      </c>
      <c r="B3932" s="5" t="str">
        <f>IFERROR(__xludf.DUMMYFUNCTION("IF(A3932="""","""",INDEX(SPLIT(A3932,"" ""),COUNTA(SPLIT(A3932,"" ""))))"),"Carpasio")</f>
        <v>Carpasio</v>
      </c>
      <c r="C3932" s="6"/>
      <c r="D3932" s="6" t="s">
        <v>3904</v>
      </c>
      <c r="E3932" s="12" t="s">
        <v>3905</v>
      </c>
    </row>
    <row r="3933">
      <c r="A3933" s="4" t="s">
        <v>3970</v>
      </c>
      <c r="B3933" s="5" t="str">
        <f>IFERROR(__xludf.DUMMYFUNCTION("IF(A3933="""","""",INDEX(SPLIT(A3933,"" ""),COUNTA(SPLIT(A3933,"" ""))))"),"Alassio")</f>
        <v>Alassio</v>
      </c>
      <c r="C3933" s="6"/>
      <c r="D3933" s="6" t="s">
        <v>3971</v>
      </c>
      <c r="E3933" s="12" t="s">
        <v>3972</v>
      </c>
    </row>
    <row r="3934">
      <c r="A3934" s="4" t="s">
        <v>3973</v>
      </c>
      <c r="B3934" s="5" t="str">
        <f>IFERROR(__xludf.DUMMYFUNCTION("IF(A3934="""","""",INDEX(SPLIT(A3934,"" ""),COUNTA(SPLIT(A3934,"" ""))))"),"Albenga")</f>
        <v>Albenga</v>
      </c>
      <c r="C3934" s="6"/>
      <c r="D3934" s="6" t="s">
        <v>3971</v>
      </c>
      <c r="E3934" s="12" t="s">
        <v>3972</v>
      </c>
    </row>
    <row r="3935">
      <c r="A3935" s="4" t="s">
        <v>3974</v>
      </c>
      <c r="B3935" s="5" t="str">
        <f>IFERROR(__xludf.DUMMYFUNCTION("IF(A3935="""","""",INDEX(SPLIT(A3935,"" ""),COUNTA(SPLIT(A3935,"" ""))))"),"Marina")</f>
        <v>Marina</v>
      </c>
      <c r="C3935" s="6"/>
      <c r="D3935" s="6" t="s">
        <v>3971</v>
      </c>
      <c r="E3935" s="12" t="s">
        <v>3972</v>
      </c>
    </row>
    <row r="3936">
      <c r="A3936" s="4" t="s">
        <v>3975</v>
      </c>
      <c r="B3936" s="5" t="str">
        <f>IFERROR(__xludf.DUMMYFUNCTION("IF(A3936="""","""",INDEX(SPLIT(A3936,"" ""),COUNTA(SPLIT(A3936,"" ""))))"),"Superiore")</f>
        <v>Superiore</v>
      </c>
      <c r="C3936" s="6"/>
      <c r="D3936" s="6" t="s">
        <v>3971</v>
      </c>
      <c r="E3936" s="12" t="s">
        <v>3972</v>
      </c>
    </row>
    <row r="3937">
      <c r="A3937" s="4" t="s">
        <v>3976</v>
      </c>
      <c r="B3937" s="5" t="str">
        <f>IFERROR(__xludf.DUMMYFUNCTION("IF(A3937="""","""",INDEX(SPLIT(A3937,"" ""),COUNTA(SPLIT(A3937,"" ""))))"),"Altare")</f>
        <v>Altare</v>
      </c>
      <c r="C3937" s="6"/>
      <c r="D3937" s="6" t="s">
        <v>3971</v>
      </c>
      <c r="E3937" s="12" t="s">
        <v>3972</v>
      </c>
    </row>
    <row r="3938">
      <c r="A3938" s="4" t="s">
        <v>3977</v>
      </c>
      <c r="B3938" s="5" t="str">
        <f>IFERROR(__xludf.DUMMYFUNCTION("IF(A3938="""","""",INDEX(SPLIT(A3938,"" ""),COUNTA(SPLIT(A3938,"" ""))))"),"Andora")</f>
        <v>Andora</v>
      </c>
      <c r="C3938" s="6"/>
      <c r="D3938" s="6" t="s">
        <v>3971</v>
      </c>
      <c r="E3938" s="12" t="s">
        <v>3972</v>
      </c>
    </row>
    <row r="3939">
      <c r="A3939" s="4" t="s">
        <v>3978</v>
      </c>
      <c r="B3939" s="5" t="str">
        <f>IFERROR(__xludf.DUMMYFUNCTION("IF(A3939="""","""",INDEX(SPLIT(A3939,"" ""),COUNTA(SPLIT(A3939,"" ""))))"),"Arnasco")</f>
        <v>Arnasco</v>
      </c>
      <c r="C3939" s="6"/>
      <c r="D3939" s="6" t="s">
        <v>3971</v>
      </c>
      <c r="E3939" s="12" t="s">
        <v>3972</v>
      </c>
    </row>
    <row r="3940">
      <c r="A3940" s="4" t="s">
        <v>3979</v>
      </c>
      <c r="B3940" s="5" t="str">
        <f>IFERROR(__xludf.DUMMYFUNCTION("IF(A3940="""","""",INDEX(SPLIT(A3940,"" ""),COUNTA(SPLIT(A3940,"" ""))))"),"Balestrino")</f>
        <v>Balestrino</v>
      </c>
      <c r="C3940" s="6"/>
      <c r="D3940" s="6" t="s">
        <v>3971</v>
      </c>
      <c r="E3940" s="12" t="s">
        <v>3972</v>
      </c>
    </row>
    <row r="3941">
      <c r="A3941" s="4" t="s">
        <v>3980</v>
      </c>
      <c r="B3941" s="5" t="str">
        <f>IFERROR(__xludf.DUMMYFUNCTION("IF(A3941="""","""",INDEX(SPLIT(A3941,"" ""),COUNTA(SPLIT(A3941,"" ""))))"),"Bardineto")</f>
        <v>Bardineto</v>
      </c>
      <c r="C3941" s="6"/>
      <c r="D3941" s="6" t="s">
        <v>3971</v>
      </c>
      <c r="E3941" s="12" t="s">
        <v>3972</v>
      </c>
    </row>
    <row r="3942">
      <c r="A3942" s="4" t="s">
        <v>3981</v>
      </c>
      <c r="B3942" s="5" t="str">
        <f>IFERROR(__xludf.DUMMYFUNCTION("IF(A3942="""","""",INDEX(SPLIT(A3942,"" ""),COUNTA(SPLIT(A3942,"" ""))))"),"Bergeggi")</f>
        <v>Bergeggi</v>
      </c>
      <c r="C3942" s="6"/>
      <c r="D3942" s="6" t="s">
        <v>3971</v>
      </c>
      <c r="E3942" s="12" t="s">
        <v>3972</v>
      </c>
    </row>
    <row r="3943">
      <c r="A3943" s="4" t="s">
        <v>3982</v>
      </c>
      <c r="B3943" s="5" t="str">
        <f>IFERROR(__xludf.DUMMYFUNCTION("IF(A3943="""","""",INDEX(SPLIT(A3943,"" ""),COUNTA(SPLIT(A3943,"" ""))))"),"Boissano")</f>
        <v>Boissano</v>
      </c>
      <c r="C3943" s="6"/>
      <c r="D3943" s="6" t="s">
        <v>3971</v>
      </c>
      <c r="E3943" s="12" t="s">
        <v>3972</v>
      </c>
    </row>
    <row r="3944">
      <c r="A3944" s="4" t="s">
        <v>3983</v>
      </c>
      <c r="B3944" s="5" t="str">
        <f>IFERROR(__xludf.DUMMYFUNCTION("IF(A3944="""","""",INDEX(SPLIT(A3944,"" ""),COUNTA(SPLIT(A3944,"" ""))))"),"Spirito")</f>
        <v>Spirito</v>
      </c>
      <c r="C3944" s="6"/>
      <c r="D3944" s="6" t="s">
        <v>3971</v>
      </c>
      <c r="E3944" s="12" t="s">
        <v>3972</v>
      </c>
    </row>
    <row r="3945">
      <c r="A3945" s="4" t="s">
        <v>3984</v>
      </c>
      <c r="B3945" s="5" t="str">
        <f>IFERROR(__xludf.DUMMYFUNCTION("IF(A3945="""","""",INDEX(SPLIT(A3945,"" ""),COUNTA(SPLIT(A3945,"" ""))))"),"Verezzi")</f>
        <v>Verezzi</v>
      </c>
      <c r="C3945" s="6"/>
      <c r="D3945" s="6" t="s">
        <v>3971</v>
      </c>
      <c r="E3945" s="12" t="s">
        <v>3972</v>
      </c>
    </row>
    <row r="3946">
      <c r="A3946" s="4" t="s">
        <v>3985</v>
      </c>
      <c r="B3946" s="5" t="str">
        <f>IFERROR(__xludf.DUMMYFUNCTION("IF(A3946="""","""",INDEX(SPLIT(A3946,"" ""),COUNTA(SPLIT(A3946,"" ""))))"),"Bormida")</f>
        <v>Bormida</v>
      </c>
      <c r="C3946" s="6"/>
      <c r="D3946" s="6" t="s">
        <v>3971</v>
      </c>
      <c r="E3946" s="12" t="s">
        <v>3972</v>
      </c>
    </row>
    <row r="3947">
      <c r="A3947" s="4" t="s">
        <v>3986</v>
      </c>
      <c r="B3947" s="5" t="str">
        <f>IFERROR(__xludf.DUMMYFUNCTION("IF(A3947="""","""",INDEX(SPLIT(A3947,"" ""),COUNTA(SPLIT(A3947,"" ""))))"),"Montenotte")</f>
        <v>Montenotte</v>
      </c>
      <c r="C3947" s="6"/>
      <c r="D3947" s="6" t="s">
        <v>3971</v>
      </c>
      <c r="E3947" s="12" t="s">
        <v>3972</v>
      </c>
    </row>
    <row r="3948">
      <c r="A3948" s="4" t="s">
        <v>3987</v>
      </c>
      <c r="B3948" s="5" t="str">
        <f>IFERROR(__xludf.DUMMYFUNCTION("IF(A3948="""","""",INDEX(SPLIT(A3948,"" ""),COUNTA(SPLIT(A3948,"" ""))))"),"Ligure")</f>
        <v>Ligure</v>
      </c>
      <c r="C3948" s="6"/>
      <c r="D3948" s="6" t="s">
        <v>3971</v>
      </c>
      <c r="E3948" s="12" t="s">
        <v>3972</v>
      </c>
    </row>
    <row r="3949">
      <c r="A3949" s="4" t="s">
        <v>3988</v>
      </c>
      <c r="B3949" s="5" t="str">
        <f>IFERROR(__xludf.DUMMYFUNCTION("IF(A3949="""","""",INDEX(SPLIT(A3949,"" ""),COUNTA(SPLIT(A3949,"" ""))))"),"Calizzano")</f>
        <v>Calizzano</v>
      </c>
      <c r="C3949" s="6"/>
      <c r="D3949" s="6" t="s">
        <v>3971</v>
      </c>
      <c r="E3949" s="12" t="s">
        <v>3972</v>
      </c>
    </row>
    <row r="3950">
      <c r="A3950" s="4" t="s">
        <v>3989</v>
      </c>
      <c r="B3950" s="5" t="str">
        <f>IFERROR(__xludf.DUMMYFUNCTION("IF(A3950="""","""",INDEX(SPLIT(A3950,"" ""),COUNTA(SPLIT(A3950,"" ""))))"),"Carcare")</f>
        <v>Carcare</v>
      </c>
      <c r="C3950" s="6"/>
      <c r="D3950" s="6" t="s">
        <v>3971</v>
      </c>
      <c r="E3950" s="12" t="s">
        <v>3972</v>
      </c>
    </row>
    <row r="3951">
      <c r="A3951" s="4" t="s">
        <v>3990</v>
      </c>
      <c r="B3951" s="5" t="str">
        <f>IFERROR(__xludf.DUMMYFUNCTION("IF(A3951="""","""",INDEX(SPLIT(A3951,"" ""),COUNTA(SPLIT(A3951,"" ""))))"),"Lerrone")</f>
        <v>Lerrone</v>
      </c>
      <c r="C3951" s="6"/>
      <c r="D3951" s="6" t="s">
        <v>3971</v>
      </c>
      <c r="E3951" s="12" t="s">
        <v>3972</v>
      </c>
    </row>
    <row r="3952">
      <c r="A3952" s="4" t="s">
        <v>3991</v>
      </c>
      <c r="B3952" s="5" t="str">
        <f>IFERROR(__xludf.DUMMYFUNCTION("IF(A3952="""","""",INDEX(SPLIT(A3952,"" ""),COUNTA(SPLIT(A3952,"" ""))))"),"Castelbianco")</f>
        <v>Castelbianco</v>
      </c>
      <c r="C3952" s="6"/>
      <c r="D3952" s="6" t="s">
        <v>3971</v>
      </c>
      <c r="E3952" s="12" t="s">
        <v>3972</v>
      </c>
    </row>
    <row r="3953">
      <c r="A3953" s="4" t="s">
        <v>3992</v>
      </c>
      <c r="B3953" s="5" t="str">
        <f>IFERROR(__xludf.DUMMYFUNCTION("IF(A3953="""","""",INDEX(SPLIT(A3953,"" ""),COUNTA(SPLIT(A3953,"" ""))))"),"Barbena")</f>
        <v>Barbena</v>
      </c>
      <c r="C3953" s="6"/>
      <c r="D3953" s="6" t="s">
        <v>3971</v>
      </c>
      <c r="E3953" s="12" t="s">
        <v>3972</v>
      </c>
    </row>
    <row r="3954">
      <c r="A3954" s="4" t="s">
        <v>3993</v>
      </c>
      <c r="B3954" s="5" t="str">
        <f>IFERROR(__xludf.DUMMYFUNCTION("IF(A3954="""","""",INDEX(SPLIT(A3954,"" ""),COUNTA(SPLIT(A3954,"" ""))))"),"Ligure")</f>
        <v>Ligure</v>
      </c>
      <c r="C3954" s="6"/>
      <c r="D3954" s="6" t="s">
        <v>3971</v>
      </c>
      <c r="E3954" s="12" t="s">
        <v>3972</v>
      </c>
    </row>
    <row r="3955">
      <c r="A3955" s="4" t="s">
        <v>3994</v>
      </c>
      <c r="B3955" s="5" t="str">
        <f>IFERROR(__xludf.DUMMYFUNCTION("IF(A3955="""","""",INDEX(SPLIT(A3955,"" ""),COUNTA(SPLIT(A3955,"" ""))))"),"Cengio")</f>
        <v>Cengio</v>
      </c>
      <c r="C3955" s="6"/>
      <c r="D3955" s="6" t="s">
        <v>3971</v>
      </c>
      <c r="E3955" s="12" t="s">
        <v>3972</v>
      </c>
    </row>
    <row r="3956">
      <c r="A3956" s="4" t="s">
        <v>3995</v>
      </c>
      <c r="B3956" s="5" t="str">
        <f>IFERROR(__xludf.DUMMYFUNCTION("IF(A3956="""","""",INDEX(SPLIT(A3956,"" ""),COUNTA(SPLIT(A3956,"" ""))))"),"Ceriale")</f>
        <v>Ceriale</v>
      </c>
      <c r="C3956" s="6"/>
      <c r="D3956" s="6" t="s">
        <v>3971</v>
      </c>
      <c r="E3956" s="12" t="s">
        <v>3972</v>
      </c>
    </row>
    <row r="3957">
      <c r="A3957" s="4" t="s">
        <v>3996</v>
      </c>
      <c r="B3957" s="5" t="str">
        <f>IFERROR(__xludf.DUMMYFUNCTION("IF(A3957="""","""",INDEX(SPLIT(A3957,"" ""),COUNTA(SPLIT(A3957,"" ""))))"),"Neva")</f>
        <v>Neva</v>
      </c>
      <c r="C3957" s="6"/>
      <c r="D3957" s="6" t="s">
        <v>3971</v>
      </c>
      <c r="E3957" s="12" t="s">
        <v>3972</v>
      </c>
    </row>
    <row r="3958">
      <c r="A3958" s="4" t="s">
        <v>3997</v>
      </c>
      <c r="B3958" s="5" t="str">
        <f>IFERROR(__xludf.DUMMYFUNCTION("IF(A3958="""","""",INDEX(SPLIT(A3958,"" ""),COUNTA(SPLIT(A3958,"" ""))))"),"Cosseria")</f>
        <v>Cosseria</v>
      </c>
      <c r="C3958" s="6"/>
      <c r="D3958" s="6" t="s">
        <v>3971</v>
      </c>
      <c r="E3958" s="12" t="s">
        <v>3972</v>
      </c>
    </row>
    <row r="3959">
      <c r="A3959" s="4" t="s">
        <v>3998</v>
      </c>
      <c r="B3959" s="5" t="str">
        <f>IFERROR(__xludf.DUMMYFUNCTION("IF(A3959="""","""",INDEX(SPLIT(A3959,"" ""),COUNTA(SPLIT(A3959,"" ""))))"),"Dego")</f>
        <v>Dego</v>
      </c>
      <c r="C3959" s="6"/>
      <c r="D3959" s="6" t="s">
        <v>3971</v>
      </c>
      <c r="E3959" s="12" t="s">
        <v>3972</v>
      </c>
    </row>
    <row r="3960">
      <c r="A3960" s="4" t="s">
        <v>3999</v>
      </c>
      <c r="B3960" s="5" t="str">
        <f>IFERROR(__xludf.DUMMYFUNCTION("IF(A3960="""","""",INDEX(SPLIT(A3960,"" ""),COUNTA(SPLIT(A3960,"" ""))))"),"Erli")</f>
        <v>Erli</v>
      </c>
      <c r="C3960" s="6"/>
      <c r="D3960" s="6" t="s">
        <v>3971</v>
      </c>
      <c r="E3960" s="12" t="s">
        <v>3972</v>
      </c>
    </row>
    <row r="3961">
      <c r="A3961" s="4" t="s">
        <v>4000</v>
      </c>
      <c r="B3961" s="5" t="str">
        <f>IFERROR(__xludf.DUMMYFUNCTION("IF(A3961="""","""",INDEX(SPLIT(A3961,"" ""),COUNTA(SPLIT(A3961,"" ""))))"),"Ligure")</f>
        <v>Ligure</v>
      </c>
      <c r="C3961" s="6"/>
      <c r="D3961" s="6" t="s">
        <v>3971</v>
      </c>
      <c r="E3961" s="12" t="s">
        <v>3972</v>
      </c>
    </row>
    <row r="3962">
      <c r="A3962" s="4" t="s">
        <v>4001</v>
      </c>
      <c r="B3962" s="5" t="str">
        <f>IFERROR(__xludf.DUMMYFUNCTION("IF(A3962="""","""",INDEX(SPLIT(A3962,"" ""),COUNTA(SPLIT(A3962,"" ""))))"),"Garlenda")</f>
        <v>Garlenda</v>
      </c>
      <c r="C3962" s="6"/>
      <c r="D3962" s="6" t="s">
        <v>3971</v>
      </c>
      <c r="E3962" s="12" t="s">
        <v>3972</v>
      </c>
    </row>
    <row r="3963">
      <c r="A3963" s="4" t="s">
        <v>4002</v>
      </c>
      <c r="B3963" s="5" t="str">
        <f>IFERROR(__xludf.DUMMYFUNCTION("IF(A3963="""","""",INDEX(SPLIT(A3963,"" ""),COUNTA(SPLIT(A3963,"" ""))))"),"Giustenice")</f>
        <v>Giustenice</v>
      </c>
      <c r="C3963" s="6"/>
      <c r="D3963" s="6" t="s">
        <v>3971</v>
      </c>
      <c r="E3963" s="12" t="s">
        <v>3972</v>
      </c>
    </row>
    <row r="3964">
      <c r="A3964" s="4" t="s">
        <v>4003</v>
      </c>
      <c r="B3964" s="5" t="str">
        <f>IFERROR(__xludf.DUMMYFUNCTION("IF(A3964="""","""",INDEX(SPLIT(A3964,"" ""),COUNTA(SPLIT(A3964,"" ""))))"),"Giusvalla")</f>
        <v>Giusvalla</v>
      </c>
      <c r="C3964" s="6"/>
      <c r="D3964" s="6" t="s">
        <v>3971</v>
      </c>
      <c r="E3964" s="12" t="s">
        <v>3972</v>
      </c>
    </row>
    <row r="3965">
      <c r="A3965" s="4" t="s">
        <v>4004</v>
      </c>
      <c r="B3965" s="5" t="str">
        <f>IFERROR(__xludf.DUMMYFUNCTION("IF(A3965="""","""",INDEX(SPLIT(A3965,"" ""),COUNTA(SPLIT(A3965,"" ""))))"),"Laigueglia")</f>
        <v>Laigueglia</v>
      </c>
      <c r="C3965" s="6"/>
      <c r="D3965" s="6" t="s">
        <v>3971</v>
      </c>
      <c r="E3965" s="12" t="s">
        <v>3972</v>
      </c>
    </row>
    <row r="3966">
      <c r="A3966" s="4" t="s">
        <v>4005</v>
      </c>
      <c r="B3966" s="5" t="str">
        <f>IFERROR(__xludf.DUMMYFUNCTION("IF(A3966="""","""",INDEX(SPLIT(A3966,"" ""),COUNTA(SPLIT(A3966,"" ""))))"),"Loano")</f>
        <v>Loano</v>
      </c>
      <c r="C3966" s="6"/>
      <c r="D3966" s="6" t="s">
        <v>3971</v>
      </c>
      <c r="E3966" s="12" t="s">
        <v>3972</v>
      </c>
    </row>
    <row r="3967">
      <c r="A3967" s="4" t="s">
        <v>4006</v>
      </c>
      <c r="B3967" s="5" t="str">
        <f>IFERROR(__xludf.DUMMYFUNCTION("IF(A3967="""","""",INDEX(SPLIT(A3967,"" ""),COUNTA(SPLIT(A3967,"" ""))))"),"Magliolo")</f>
        <v>Magliolo</v>
      </c>
      <c r="C3967" s="6"/>
      <c r="D3967" s="6" t="s">
        <v>3971</v>
      </c>
      <c r="E3967" s="12" t="s">
        <v>3972</v>
      </c>
    </row>
    <row r="3968">
      <c r="A3968" s="4" t="s">
        <v>4007</v>
      </c>
      <c r="B3968" s="5" t="str">
        <f>IFERROR(__xludf.DUMMYFUNCTION("IF(A3968="""","""",INDEX(SPLIT(A3968,"" ""),COUNTA(SPLIT(A3968,"" ""))))"),"Mallare")</f>
        <v>Mallare</v>
      </c>
      <c r="C3968" s="6"/>
      <c r="D3968" s="6" t="s">
        <v>3971</v>
      </c>
      <c r="E3968" s="12" t="s">
        <v>3972</v>
      </c>
    </row>
    <row r="3969">
      <c r="A3969" s="4" t="s">
        <v>4008</v>
      </c>
      <c r="B3969" s="5" t="str">
        <f>IFERROR(__xludf.DUMMYFUNCTION("IF(A3969="""","""",INDEX(SPLIT(A3969,"" ""),COUNTA(SPLIT(A3969,"" ""))))"),"Massimino")</f>
        <v>Massimino</v>
      </c>
      <c r="C3969" s="6"/>
      <c r="D3969" s="6" t="s">
        <v>3971</v>
      </c>
      <c r="E3969" s="12" t="s">
        <v>3972</v>
      </c>
    </row>
    <row r="3970">
      <c r="A3970" s="4" t="s">
        <v>4009</v>
      </c>
      <c r="B3970" s="5" t="str">
        <f>IFERROR(__xludf.DUMMYFUNCTION("IF(A3970="""","""",INDEX(SPLIT(A3970,"" ""),COUNTA(SPLIT(A3970,"" ""))))"),"Millesimo")</f>
        <v>Millesimo</v>
      </c>
      <c r="C3970" s="6"/>
      <c r="D3970" s="6" t="s">
        <v>3971</v>
      </c>
      <c r="E3970" s="12" t="s">
        <v>3972</v>
      </c>
    </row>
    <row r="3971">
      <c r="A3971" s="4" t="s">
        <v>4010</v>
      </c>
      <c r="B3971" s="5" t="str">
        <f>IFERROR(__xludf.DUMMYFUNCTION("IF(A3971="""","""",INDEX(SPLIT(A3971,"" ""),COUNTA(SPLIT(A3971,"" ""))))"),"Mioglia")</f>
        <v>Mioglia</v>
      </c>
      <c r="C3971" s="6"/>
      <c r="D3971" s="6" t="s">
        <v>3971</v>
      </c>
      <c r="E3971" s="12" t="s">
        <v>3972</v>
      </c>
    </row>
    <row r="3972">
      <c r="A3972" s="4" t="s">
        <v>4011</v>
      </c>
      <c r="B3972" s="5" t="str">
        <f>IFERROR(__xludf.DUMMYFUNCTION("IF(A3972="""","""",INDEX(SPLIT(A3972,"" ""),COUNTA(SPLIT(A3972,"" ""))))"),"Murialdo")</f>
        <v>Murialdo</v>
      </c>
      <c r="C3972" s="6"/>
      <c r="D3972" s="6" t="s">
        <v>3971</v>
      </c>
      <c r="E3972" s="12" t="s">
        <v>3972</v>
      </c>
    </row>
    <row r="3973">
      <c r="A3973" s="4" t="s">
        <v>4012</v>
      </c>
      <c r="B3973" s="5" t="str">
        <f>IFERROR(__xludf.DUMMYFUNCTION("IF(A3973="""","""",INDEX(SPLIT(A3973,"" ""),COUNTA(SPLIT(A3973,"" ""))))"),"Nasino")</f>
        <v>Nasino</v>
      </c>
      <c r="C3973" s="6"/>
      <c r="D3973" s="6" t="s">
        <v>3971</v>
      </c>
      <c r="E3973" s="12" t="s">
        <v>3972</v>
      </c>
    </row>
    <row r="3974">
      <c r="A3974" s="4" t="s">
        <v>4013</v>
      </c>
      <c r="B3974" s="5" t="str">
        <f>IFERROR(__xludf.DUMMYFUNCTION("IF(A3974="""","""",INDEX(SPLIT(A3974,"" ""),COUNTA(SPLIT(A3974,"" ""))))"),"Noli")</f>
        <v>Noli</v>
      </c>
      <c r="C3974" s="6"/>
      <c r="D3974" s="6" t="s">
        <v>3971</v>
      </c>
      <c r="E3974" s="12" t="s">
        <v>3972</v>
      </c>
    </row>
    <row r="3975">
      <c r="A3975" s="4" t="s">
        <v>4014</v>
      </c>
      <c r="B3975" s="5" t="str">
        <f>IFERROR(__xludf.DUMMYFUNCTION("IF(A3975="""","""",INDEX(SPLIT(A3975,"" ""),COUNTA(SPLIT(A3975,"" ""))))"),"Onzo")</f>
        <v>Onzo</v>
      </c>
      <c r="C3975" s="6"/>
      <c r="D3975" s="6" t="s">
        <v>3971</v>
      </c>
      <c r="E3975" s="12" t="s">
        <v>3972</v>
      </c>
    </row>
    <row r="3976">
      <c r="A3976" s="4" t="s">
        <v>4015</v>
      </c>
      <c r="B3976" s="5" t="str">
        <f>IFERROR(__xludf.DUMMYFUNCTION("IF(A3976="""","""",INDEX(SPLIT(A3976,"" ""),COUNTA(SPLIT(A3976,"" ""))))"),"Feglino")</f>
        <v>Feglino</v>
      </c>
      <c r="C3976" s="6"/>
      <c r="D3976" s="6" t="s">
        <v>3971</v>
      </c>
      <c r="E3976" s="12" t="s">
        <v>3972</v>
      </c>
    </row>
    <row r="3977">
      <c r="A3977" s="4" t="s">
        <v>4016</v>
      </c>
      <c r="B3977" s="5" t="str">
        <f>IFERROR(__xludf.DUMMYFUNCTION("IF(A3977="""","""",INDEX(SPLIT(A3977,"" ""),COUNTA(SPLIT(A3977,"" ""))))"),"Ortovero")</f>
        <v>Ortovero</v>
      </c>
      <c r="C3977" s="6"/>
      <c r="D3977" s="6" t="s">
        <v>3971</v>
      </c>
      <c r="E3977" s="12" t="s">
        <v>3972</v>
      </c>
    </row>
    <row r="3978">
      <c r="A3978" s="4" t="s">
        <v>4017</v>
      </c>
      <c r="B3978" s="5" t="str">
        <f>IFERROR(__xludf.DUMMYFUNCTION("IF(A3978="""","""",INDEX(SPLIT(A3978,"" ""),COUNTA(SPLIT(A3978,"" ""))))"),"Osiglia")</f>
        <v>Osiglia</v>
      </c>
      <c r="C3978" s="6"/>
      <c r="D3978" s="6" t="s">
        <v>3971</v>
      </c>
      <c r="E3978" s="12" t="s">
        <v>3972</v>
      </c>
    </row>
    <row r="3979">
      <c r="A3979" s="4" t="s">
        <v>4018</v>
      </c>
      <c r="B3979" s="5" t="str">
        <f>IFERROR(__xludf.DUMMYFUNCTION("IF(A3979="""","""",INDEX(SPLIT(A3979,"" ""),COUNTA(SPLIT(A3979,"" ""))))"),"Pallare")</f>
        <v>Pallare</v>
      </c>
      <c r="C3979" s="6"/>
      <c r="D3979" s="6" t="s">
        <v>3971</v>
      </c>
      <c r="E3979" s="12" t="s">
        <v>3972</v>
      </c>
    </row>
    <row r="3980">
      <c r="A3980" s="4" t="s">
        <v>4019</v>
      </c>
      <c r="B3980" s="5" t="str">
        <f>IFERROR(__xludf.DUMMYFUNCTION("IF(A3980="""","""",INDEX(SPLIT(A3980,"" ""),COUNTA(SPLIT(A3980,"" ""))))"),"Crixia")</f>
        <v>Crixia</v>
      </c>
      <c r="C3980" s="6"/>
      <c r="D3980" s="6" t="s">
        <v>3971</v>
      </c>
      <c r="E3980" s="12" t="s">
        <v>3972</v>
      </c>
    </row>
    <row r="3981">
      <c r="A3981" s="4" t="s">
        <v>4020</v>
      </c>
      <c r="B3981" s="5" t="str">
        <f>IFERROR(__xludf.DUMMYFUNCTION("IF(A3981="""","""",INDEX(SPLIT(A3981,"" ""),COUNTA(SPLIT(A3981,"" ""))))"),"Ligure")</f>
        <v>Ligure</v>
      </c>
      <c r="C3981" s="6"/>
      <c r="D3981" s="6" t="s">
        <v>3971</v>
      </c>
      <c r="E3981" s="12" t="s">
        <v>3972</v>
      </c>
    </row>
    <row r="3982">
      <c r="A3982" s="4" t="s">
        <v>4021</v>
      </c>
      <c r="B3982" s="5" t="str">
        <f>IFERROR(__xludf.DUMMYFUNCTION("IF(A3982="""","""",INDEX(SPLIT(A3982,"" ""),COUNTA(SPLIT(A3982,"" ""))))"),"Plodio")</f>
        <v>Plodio</v>
      </c>
      <c r="C3982" s="6"/>
      <c r="D3982" s="6" t="s">
        <v>3971</v>
      </c>
      <c r="E3982" s="12" t="s">
        <v>3972</v>
      </c>
    </row>
    <row r="3983">
      <c r="A3983" s="4" t="s">
        <v>4022</v>
      </c>
      <c r="B3983" s="5" t="str">
        <f>IFERROR(__xludf.DUMMYFUNCTION("IF(A3983="""","""",INDEX(SPLIT(A3983,"" ""),COUNTA(SPLIT(A3983,"" ""))))"),"Pontinvrea")</f>
        <v>Pontinvrea</v>
      </c>
      <c r="C3983" s="6"/>
      <c r="D3983" s="6" t="s">
        <v>3971</v>
      </c>
      <c r="E3983" s="12" t="s">
        <v>3972</v>
      </c>
    </row>
    <row r="3984">
      <c r="A3984" s="4" t="s">
        <v>4023</v>
      </c>
      <c r="B3984" s="5" t="str">
        <f>IFERROR(__xludf.DUMMYFUNCTION("IF(A3984="""","""",INDEX(SPLIT(A3984,"" ""),COUNTA(SPLIT(A3984,"" ""))))"),"Quiliano")</f>
        <v>Quiliano</v>
      </c>
      <c r="C3984" s="6"/>
      <c r="D3984" s="6" t="s">
        <v>3971</v>
      </c>
      <c r="E3984" s="12" t="s">
        <v>3972</v>
      </c>
    </row>
    <row r="3985">
      <c r="A3985" s="4" t="s">
        <v>4024</v>
      </c>
      <c r="B3985" s="5" t="str">
        <f>IFERROR(__xludf.DUMMYFUNCTION("IF(A3985="""","""",INDEX(SPLIT(A3985,"" ""),COUNTA(SPLIT(A3985,"" ""))))"),"Rialto")</f>
        <v>Rialto</v>
      </c>
      <c r="C3985" s="6"/>
      <c r="D3985" s="6" t="s">
        <v>3971</v>
      </c>
      <c r="E3985" s="12" t="s">
        <v>3972</v>
      </c>
    </row>
    <row r="3986">
      <c r="A3986" s="4" t="s">
        <v>4025</v>
      </c>
      <c r="B3986" s="5" t="str">
        <f>IFERROR(__xludf.DUMMYFUNCTION("IF(A3986="""","""",INDEX(SPLIT(A3986,"" ""),COUNTA(SPLIT(A3986,"" ""))))"),"Roccavignale")</f>
        <v>Roccavignale</v>
      </c>
      <c r="C3986" s="6"/>
      <c r="D3986" s="6" t="s">
        <v>3971</v>
      </c>
      <c r="E3986" s="12" t="s">
        <v>3972</v>
      </c>
    </row>
    <row r="3987">
      <c r="A3987" s="4" t="s">
        <v>4026</v>
      </c>
      <c r="B3987" s="5" t="str">
        <f>IFERROR(__xludf.DUMMYFUNCTION("IF(A3987="""","""",INDEX(SPLIT(A3987,"" ""),COUNTA(SPLIT(A3987,"" ""))))"),"Sassello")</f>
        <v>Sassello</v>
      </c>
      <c r="C3987" s="6"/>
      <c r="D3987" s="6" t="s">
        <v>3971</v>
      </c>
      <c r="E3987" s="12" t="s">
        <v>3972</v>
      </c>
    </row>
    <row r="3988">
      <c r="A3988" s="4" t="s">
        <v>3971</v>
      </c>
      <c r="B3988" s="5" t="str">
        <f>IFERROR(__xludf.DUMMYFUNCTION("IF(A3988="""","""",INDEX(SPLIT(A3988,"" ""),COUNTA(SPLIT(A3988,"" ""))))"),"Savona")</f>
        <v>Savona</v>
      </c>
      <c r="C3988" s="6"/>
      <c r="D3988" s="6" t="s">
        <v>3971</v>
      </c>
      <c r="E3988" s="12" t="s">
        <v>3972</v>
      </c>
    </row>
    <row r="3989">
      <c r="A3989" s="4" t="s">
        <v>4027</v>
      </c>
      <c r="B3989" s="5" t="str">
        <f>IFERROR(__xludf.DUMMYFUNCTION("IF(A3989="""","""",INDEX(SPLIT(A3989,"" ""),COUNTA(SPLIT(A3989,"" ""))))"),"Spotorno")</f>
        <v>Spotorno</v>
      </c>
      <c r="C3989" s="6"/>
      <c r="D3989" s="6" t="s">
        <v>3971</v>
      </c>
      <c r="E3989" s="12" t="s">
        <v>3972</v>
      </c>
    </row>
    <row r="3990">
      <c r="A3990" s="4" t="s">
        <v>4028</v>
      </c>
      <c r="B3990" s="5" t="str">
        <f>IFERROR(__xludf.DUMMYFUNCTION("IF(A3990="""","""",INDEX(SPLIT(A3990,"" ""),COUNTA(SPLIT(A3990,"" ""))))"),"Stella")</f>
        <v>Stella</v>
      </c>
      <c r="C3990" s="6"/>
      <c r="D3990" s="6" t="s">
        <v>3971</v>
      </c>
      <c r="E3990" s="12" t="s">
        <v>3972</v>
      </c>
    </row>
    <row r="3991">
      <c r="A3991" s="4" t="s">
        <v>4029</v>
      </c>
      <c r="B3991" s="5" t="str">
        <f>IFERROR(__xludf.DUMMYFUNCTION("IF(A3991="""","""",INDEX(SPLIT(A3991,"" ""),COUNTA(SPLIT(A3991,"" ""))))"),"Stellanello")</f>
        <v>Stellanello</v>
      </c>
      <c r="C3991" s="6"/>
      <c r="D3991" s="6" t="s">
        <v>3971</v>
      </c>
      <c r="E3991" s="12" t="s">
        <v>3972</v>
      </c>
    </row>
    <row r="3992">
      <c r="A3992" s="4" t="s">
        <v>4030</v>
      </c>
      <c r="B3992" s="5" t="str">
        <f>IFERROR(__xludf.DUMMYFUNCTION("IF(A3992="""","""",INDEX(SPLIT(A3992,"" ""),COUNTA(SPLIT(A3992,"" ""))))"),"Testico")</f>
        <v>Testico</v>
      </c>
      <c r="C3992" s="6"/>
      <c r="D3992" s="6" t="s">
        <v>3971</v>
      </c>
      <c r="E3992" s="12" t="s">
        <v>3972</v>
      </c>
    </row>
    <row r="3993">
      <c r="A3993" s="4" t="s">
        <v>4031</v>
      </c>
      <c r="B3993" s="5" t="str">
        <f>IFERROR(__xludf.DUMMYFUNCTION("IF(A3993="""","""",INDEX(SPLIT(A3993,"" ""),COUNTA(SPLIT(A3993,"" ""))))"),"Toirano")</f>
        <v>Toirano</v>
      </c>
      <c r="C3993" s="6"/>
      <c r="D3993" s="6" t="s">
        <v>3971</v>
      </c>
      <c r="E3993" s="12" t="s">
        <v>3972</v>
      </c>
    </row>
    <row r="3994">
      <c r="A3994" s="4" t="s">
        <v>4032</v>
      </c>
      <c r="B3994" s="5" t="str">
        <f>IFERROR(__xludf.DUMMYFUNCTION("IF(A3994="""","""",INDEX(SPLIT(A3994,"" ""),COUNTA(SPLIT(A3994,"" ""))))"),"Giacomo")</f>
        <v>Giacomo</v>
      </c>
      <c r="C3994" s="6"/>
      <c r="D3994" s="6" t="s">
        <v>3971</v>
      </c>
      <c r="E3994" s="12" t="s">
        <v>3972</v>
      </c>
    </row>
    <row r="3995">
      <c r="A3995" s="4" t="s">
        <v>4033</v>
      </c>
      <c r="B3995" s="5" t="str">
        <f>IFERROR(__xludf.DUMMYFUNCTION("IF(A3995="""","""",INDEX(SPLIT(A3995,"" ""),COUNTA(SPLIT(A3995,"" ""))))"),"Urbe")</f>
        <v>Urbe</v>
      </c>
      <c r="C3995" s="6"/>
      <c r="D3995" s="6" t="s">
        <v>3971</v>
      </c>
      <c r="E3995" s="12" t="s">
        <v>3972</v>
      </c>
    </row>
    <row r="3996">
      <c r="A3996" s="4" t="s">
        <v>4034</v>
      </c>
      <c r="B3996" s="5" t="str">
        <f>IFERROR(__xludf.DUMMYFUNCTION("IF(A3996="""","""",INDEX(SPLIT(A3996,"" ""),COUNTA(SPLIT(A3996,"" ""))))"),"Ligure")</f>
        <v>Ligure</v>
      </c>
      <c r="C3996" s="6"/>
      <c r="D3996" s="6" t="s">
        <v>3971</v>
      </c>
      <c r="E3996" s="12" t="s">
        <v>3972</v>
      </c>
    </row>
    <row r="3997">
      <c r="A3997" s="4" t="s">
        <v>4035</v>
      </c>
      <c r="B3997" s="5" t="str">
        <f>IFERROR(__xludf.DUMMYFUNCTION("IF(A3997="""","""",INDEX(SPLIT(A3997,"" ""),COUNTA(SPLIT(A3997,"" ""))))"),"Varazze")</f>
        <v>Varazze</v>
      </c>
      <c r="C3997" s="6"/>
      <c r="D3997" s="6" t="s">
        <v>3971</v>
      </c>
      <c r="E3997" s="12" t="s">
        <v>3972</v>
      </c>
    </row>
    <row r="3998">
      <c r="A3998" s="4" t="s">
        <v>4036</v>
      </c>
      <c r="B3998" s="5" t="str">
        <f>IFERROR(__xludf.DUMMYFUNCTION("IF(A3998="""","""",INDEX(SPLIT(A3998,"" ""),COUNTA(SPLIT(A3998,"" ""))))"),"Vendone")</f>
        <v>Vendone</v>
      </c>
      <c r="C3998" s="6"/>
      <c r="D3998" s="6" t="s">
        <v>3971</v>
      </c>
      <c r="E3998" s="12" t="s">
        <v>3972</v>
      </c>
    </row>
    <row r="3999">
      <c r="A3999" s="4" t="s">
        <v>4037</v>
      </c>
      <c r="B3999" s="5" t="str">
        <f>IFERROR(__xludf.DUMMYFUNCTION("IF(A3999="""","""",INDEX(SPLIT(A3999,"" ""),COUNTA(SPLIT(A3999,"" ""))))"),"Portio")</f>
        <v>Portio</v>
      </c>
      <c r="C3999" s="6"/>
      <c r="D3999" s="6" t="s">
        <v>3971</v>
      </c>
      <c r="E3999" s="12" t="s">
        <v>3972</v>
      </c>
    </row>
    <row r="4000">
      <c r="A4000" s="4" t="s">
        <v>4038</v>
      </c>
      <c r="B4000" s="5" t="str">
        <f>IFERROR(__xludf.DUMMYFUNCTION("IF(A4000="""","""",INDEX(SPLIT(A4000,"" ""),COUNTA(SPLIT(A4000,"" ""))))"),"d'Albenga")</f>
        <v>d'Albenga</v>
      </c>
      <c r="C4000" s="6"/>
      <c r="D4000" s="6" t="s">
        <v>3971</v>
      </c>
      <c r="E4000" s="12" t="s">
        <v>3972</v>
      </c>
    </row>
    <row r="4001">
      <c r="A4001" s="4" t="s">
        <v>4039</v>
      </c>
      <c r="B4001" s="5" t="str">
        <f>IFERROR(__xludf.DUMMYFUNCTION("IF(A4001="""","""",INDEX(SPLIT(A4001,"" ""),COUNTA(SPLIT(A4001,"" ""))))"),"Zuccarello")</f>
        <v>Zuccarello</v>
      </c>
      <c r="C4001" s="6"/>
      <c r="D4001" s="6" t="s">
        <v>3971</v>
      </c>
      <c r="E4001" s="12" t="s">
        <v>3972</v>
      </c>
    </row>
    <row r="4002">
      <c r="A4002" s="4" t="s">
        <v>4040</v>
      </c>
      <c r="B4002" s="5" t="str">
        <f>IFERROR(__xludf.DUMMYFUNCTION("IF(A4002="""","""",INDEX(SPLIT(A4002,"" ""),COUNTA(SPLIT(A4002,"" ""))))"),"Arenzano")</f>
        <v>Arenzano</v>
      </c>
      <c r="C4002" s="6" t="s">
        <v>4041</v>
      </c>
      <c r="D4002" s="6"/>
      <c r="E4002" s="12" t="s">
        <v>4042</v>
      </c>
    </row>
    <row r="4003">
      <c r="A4003" s="4" t="s">
        <v>4043</v>
      </c>
      <c r="B4003" s="5" t="str">
        <f>IFERROR(__xludf.DUMMYFUNCTION("IF(A4003="""","""",INDEX(SPLIT(A4003,"" ""),COUNTA(SPLIT(A4003,"" ""))))"),"Avegno")</f>
        <v>Avegno</v>
      </c>
      <c r="C4003" s="6" t="s">
        <v>4041</v>
      </c>
      <c r="D4003" s="6"/>
      <c r="E4003" s="12" t="s">
        <v>4042</v>
      </c>
    </row>
    <row r="4004">
      <c r="A4004" s="4" t="s">
        <v>4044</v>
      </c>
      <c r="B4004" s="5" t="str">
        <f>IFERROR(__xludf.DUMMYFUNCTION("IF(A4004="""","""",INDEX(SPLIT(A4004,"" ""),COUNTA(SPLIT(A4004,"" ""))))"),"Bargagli")</f>
        <v>Bargagli</v>
      </c>
      <c r="C4004" s="6" t="s">
        <v>4041</v>
      </c>
      <c r="D4004" s="6"/>
      <c r="E4004" s="12" t="s">
        <v>4042</v>
      </c>
    </row>
    <row r="4005">
      <c r="A4005" s="4" t="s">
        <v>4045</v>
      </c>
      <c r="B4005" s="5" t="str">
        <f>IFERROR(__xludf.DUMMYFUNCTION("IF(A4005="""","""",INDEX(SPLIT(A4005,"" ""),COUNTA(SPLIT(A4005,"" ""))))"),"Bogliasco")</f>
        <v>Bogliasco</v>
      </c>
      <c r="C4005" s="6" t="s">
        <v>4041</v>
      </c>
      <c r="D4005" s="6"/>
      <c r="E4005" s="12" t="s">
        <v>4042</v>
      </c>
    </row>
    <row r="4006">
      <c r="A4006" s="4" t="s">
        <v>4046</v>
      </c>
      <c r="B4006" s="5" t="str">
        <f>IFERROR(__xludf.DUMMYFUNCTION("IF(A4006="""","""",INDEX(SPLIT(A4006,"" ""),COUNTA(SPLIT(A4006,"" ""))))"),"Borzonasca")</f>
        <v>Borzonasca</v>
      </c>
      <c r="C4006" s="6" t="s">
        <v>4041</v>
      </c>
      <c r="D4006" s="6"/>
      <c r="E4006" s="12" t="s">
        <v>4042</v>
      </c>
    </row>
    <row r="4007">
      <c r="A4007" s="4" t="s">
        <v>4047</v>
      </c>
      <c r="B4007" s="5" t="str">
        <f>IFERROR(__xludf.DUMMYFUNCTION("IF(A4007="""","""",INDEX(SPLIT(A4007,"" ""),COUNTA(SPLIT(A4007,"" ""))))"),"Busalla")</f>
        <v>Busalla</v>
      </c>
      <c r="C4007" s="6" t="s">
        <v>4041</v>
      </c>
      <c r="D4007" s="6"/>
      <c r="E4007" s="12" t="s">
        <v>4042</v>
      </c>
    </row>
    <row r="4008">
      <c r="A4008" s="4" t="s">
        <v>4048</v>
      </c>
      <c r="B4008" s="5" t="str">
        <f>IFERROR(__xludf.DUMMYFUNCTION("IF(A4008="""","""",INDEX(SPLIT(A4008,"" ""),COUNTA(SPLIT(A4008,"" ""))))"),"Camogli")</f>
        <v>Camogli</v>
      </c>
      <c r="C4008" s="6" t="s">
        <v>4041</v>
      </c>
      <c r="D4008" s="6"/>
      <c r="E4008" s="12" t="s">
        <v>4042</v>
      </c>
    </row>
    <row r="4009">
      <c r="A4009" s="4" t="s">
        <v>4049</v>
      </c>
      <c r="B4009" s="5" t="str">
        <f>IFERROR(__xludf.DUMMYFUNCTION("IF(A4009="""","""",INDEX(SPLIT(A4009,"" ""),COUNTA(SPLIT(A4009,"" ""))))"),"Ligure")</f>
        <v>Ligure</v>
      </c>
      <c r="C4009" s="6" t="s">
        <v>4041</v>
      </c>
      <c r="D4009" s="6"/>
      <c r="E4009" s="12" t="s">
        <v>4042</v>
      </c>
    </row>
    <row r="4010">
      <c r="A4010" s="4" t="s">
        <v>4050</v>
      </c>
      <c r="B4010" s="5" t="str">
        <f>IFERROR(__xludf.DUMMYFUNCTION("IF(A4010="""","""",INDEX(SPLIT(A4010,"" ""),COUNTA(SPLIT(A4010,"" ""))))"),"Campomorone")</f>
        <v>Campomorone</v>
      </c>
      <c r="C4010" s="6" t="s">
        <v>4041</v>
      </c>
      <c r="D4010" s="6"/>
      <c r="E4010" s="12" t="s">
        <v>4042</v>
      </c>
    </row>
    <row r="4011">
      <c r="A4011" s="4" t="s">
        <v>4051</v>
      </c>
      <c r="B4011" s="5" t="str">
        <f>IFERROR(__xludf.DUMMYFUNCTION("IF(A4011="""","""",INDEX(SPLIT(A4011,"" ""),COUNTA(SPLIT(A4011,"" ""))))"),"Carasco")</f>
        <v>Carasco</v>
      </c>
      <c r="C4011" s="6" t="s">
        <v>4041</v>
      </c>
      <c r="D4011" s="6"/>
      <c r="E4011" s="12" t="s">
        <v>4042</v>
      </c>
    </row>
    <row r="4012">
      <c r="A4012" s="4" t="s">
        <v>4052</v>
      </c>
      <c r="B4012" s="5" t="str">
        <f>IFERROR(__xludf.DUMMYFUNCTION("IF(A4012="""","""",INDEX(SPLIT(A4012,"" ""),COUNTA(SPLIT(A4012,"" ""))))"),"Ligure")</f>
        <v>Ligure</v>
      </c>
      <c r="C4012" s="6" t="s">
        <v>4041</v>
      </c>
      <c r="D4012" s="6"/>
      <c r="E4012" s="12" t="s">
        <v>4042</v>
      </c>
    </row>
    <row r="4013">
      <c r="A4013" s="4" t="s">
        <v>4053</v>
      </c>
      <c r="B4013" s="5" t="str">
        <f>IFERROR(__xludf.DUMMYFUNCTION("IF(A4013="""","""",INDEX(SPLIT(A4013,"" ""),COUNTA(SPLIT(A4013,"" ""))))"),"Casella")</f>
        <v>Casella</v>
      </c>
      <c r="C4013" s="6" t="s">
        <v>4041</v>
      </c>
      <c r="D4013" s="6"/>
      <c r="E4013" s="12" t="s">
        <v>4042</v>
      </c>
    </row>
    <row r="4014">
      <c r="A4014" s="4" t="s">
        <v>4054</v>
      </c>
      <c r="B4014" s="5" t="str">
        <f>IFERROR(__xludf.DUMMYFUNCTION("IF(A4014="""","""",INDEX(SPLIT(A4014,"" ""),COUNTA(SPLIT(A4014,"" ""))))"),"Chiavarese")</f>
        <v>Chiavarese</v>
      </c>
      <c r="C4014" s="6" t="s">
        <v>4041</v>
      </c>
      <c r="D4014" s="6"/>
      <c r="E4014" s="12" t="s">
        <v>4042</v>
      </c>
    </row>
    <row r="4015">
      <c r="A4015" s="4" t="s">
        <v>4055</v>
      </c>
      <c r="B4015" s="5" t="str">
        <f>IFERROR(__xludf.DUMMYFUNCTION("IF(A4015="""","""",INDEX(SPLIT(A4015,"" ""),COUNTA(SPLIT(A4015,"" ""))))"),"Ceranesi")</f>
        <v>Ceranesi</v>
      </c>
      <c r="C4015" s="6" t="s">
        <v>4041</v>
      </c>
      <c r="D4015" s="6"/>
      <c r="E4015" s="12" t="s">
        <v>4042</v>
      </c>
    </row>
    <row r="4016">
      <c r="A4016" s="4" t="s">
        <v>4056</v>
      </c>
      <c r="B4016" s="5" t="str">
        <f>IFERROR(__xludf.DUMMYFUNCTION("IF(A4016="""","""",INDEX(SPLIT(A4016,"" ""),COUNTA(SPLIT(A4016,"" ""))))"),"Chiavari")</f>
        <v>Chiavari</v>
      </c>
      <c r="C4016" s="6" t="s">
        <v>4041</v>
      </c>
      <c r="D4016" s="6"/>
      <c r="E4016" s="12" t="s">
        <v>4042</v>
      </c>
    </row>
    <row r="4017">
      <c r="A4017" s="4" t="s">
        <v>4057</v>
      </c>
      <c r="B4017" s="5" t="str">
        <f>IFERROR(__xludf.DUMMYFUNCTION("IF(A4017="""","""",INDEX(SPLIT(A4017,"" ""),COUNTA(SPLIT(A4017,"" ""))))"),"Cicagna")</f>
        <v>Cicagna</v>
      </c>
      <c r="C4017" s="6" t="s">
        <v>4041</v>
      </c>
      <c r="D4017" s="6"/>
      <c r="E4017" s="12" t="s">
        <v>4042</v>
      </c>
    </row>
    <row r="4018">
      <c r="A4018" s="4" t="s">
        <v>4058</v>
      </c>
      <c r="B4018" s="5" t="str">
        <f>IFERROR(__xludf.DUMMYFUNCTION("IF(A4018="""","""",INDEX(SPLIT(A4018,"" ""),COUNTA(SPLIT(A4018,"" ""))))"),"Cogoleto")</f>
        <v>Cogoleto</v>
      </c>
      <c r="C4018" s="6" t="s">
        <v>4041</v>
      </c>
      <c r="D4018" s="6"/>
      <c r="E4018" s="12" t="s">
        <v>4042</v>
      </c>
    </row>
    <row r="4019">
      <c r="A4019" s="4" t="s">
        <v>4059</v>
      </c>
      <c r="B4019" s="5" t="str">
        <f>IFERROR(__xludf.DUMMYFUNCTION("IF(A4019="""","""",INDEX(SPLIT(A4019,"" ""),COUNTA(SPLIT(A4019,"" ""))))"),"Cogorno")</f>
        <v>Cogorno</v>
      </c>
      <c r="C4019" s="6" t="s">
        <v>4041</v>
      </c>
      <c r="D4019" s="6"/>
      <c r="E4019" s="12" t="s">
        <v>4042</v>
      </c>
    </row>
    <row r="4020">
      <c r="A4020" s="4" t="s">
        <v>4060</v>
      </c>
      <c r="B4020" s="5" t="str">
        <f>IFERROR(__xludf.DUMMYFUNCTION("IF(A4020="""","""",INDEX(SPLIT(A4020,"" ""),COUNTA(SPLIT(A4020,"" ""))))"),"Ligure")</f>
        <v>Ligure</v>
      </c>
      <c r="C4020" s="6" t="s">
        <v>4041</v>
      </c>
      <c r="D4020" s="6"/>
      <c r="E4020" s="12" t="s">
        <v>4042</v>
      </c>
    </row>
    <row r="4021">
      <c r="A4021" s="4" t="s">
        <v>4061</v>
      </c>
      <c r="B4021" s="5" t="str">
        <f>IFERROR(__xludf.DUMMYFUNCTION("IF(A4021="""","""",INDEX(SPLIT(A4021,"" ""),COUNTA(SPLIT(A4021,"" ""))))"),"Crocefieschi")</f>
        <v>Crocefieschi</v>
      </c>
      <c r="C4021" s="6" t="s">
        <v>4041</v>
      </c>
      <c r="D4021" s="6"/>
      <c r="E4021" s="12" t="s">
        <v>4042</v>
      </c>
    </row>
    <row r="4022">
      <c r="A4022" s="4" t="s">
        <v>4062</v>
      </c>
      <c r="B4022" s="5" t="str">
        <f>IFERROR(__xludf.DUMMYFUNCTION("IF(A4022="""","""",INDEX(SPLIT(A4022,"" ""),COUNTA(SPLIT(A4022,"" ""))))"),"Davagna")</f>
        <v>Davagna</v>
      </c>
      <c r="C4022" s="6" t="s">
        <v>4041</v>
      </c>
      <c r="D4022" s="6"/>
      <c r="E4022" s="12" t="s">
        <v>4042</v>
      </c>
    </row>
    <row r="4023">
      <c r="A4023" s="4" t="s">
        <v>4063</v>
      </c>
      <c r="B4023" s="5" t="str">
        <f>IFERROR(__xludf.DUMMYFUNCTION("IF(A4023="""","""",INDEX(SPLIT(A4023,"" ""),COUNTA(SPLIT(A4023,"" ""))))"),"Fascia")</f>
        <v>Fascia</v>
      </c>
      <c r="C4023" s="6" t="s">
        <v>4041</v>
      </c>
      <c r="D4023" s="6"/>
      <c r="E4023" s="12" t="s">
        <v>4042</v>
      </c>
    </row>
    <row r="4024">
      <c r="A4024" s="4" t="s">
        <v>4064</v>
      </c>
      <c r="B4024" s="5" t="str">
        <f>IFERROR(__xludf.DUMMYFUNCTION("IF(A4024="""","""",INDEX(SPLIT(A4024,"" ""),COUNTA(SPLIT(A4024,"" ""))))"),"Malvaro")</f>
        <v>Malvaro</v>
      </c>
      <c r="C4024" s="6" t="s">
        <v>4041</v>
      </c>
      <c r="D4024" s="6"/>
      <c r="E4024" s="12" t="s">
        <v>4042</v>
      </c>
    </row>
    <row r="4025">
      <c r="A4025" s="4" t="s">
        <v>4065</v>
      </c>
      <c r="B4025" s="5" t="str">
        <f>IFERROR(__xludf.DUMMYFUNCTION("IF(A4025="""","""",INDEX(SPLIT(A4025,"" ""),COUNTA(SPLIT(A4025,"" ""))))"),"Fontanigorda")</f>
        <v>Fontanigorda</v>
      </c>
      <c r="C4025" s="6" t="s">
        <v>4041</v>
      </c>
      <c r="D4025" s="6"/>
      <c r="E4025" s="12" t="s">
        <v>4042</v>
      </c>
    </row>
    <row r="4026">
      <c r="A4026" s="4" t="s">
        <v>4041</v>
      </c>
      <c r="B4026" s="5" t="str">
        <f>IFERROR(__xludf.DUMMYFUNCTION("IF(A4026="""","""",INDEX(SPLIT(A4026,"" ""),COUNTA(SPLIT(A4026,"" ""))))"),"Genova")</f>
        <v>Genova</v>
      </c>
      <c r="C4026" s="6" t="s">
        <v>4041</v>
      </c>
      <c r="D4026" s="6"/>
      <c r="E4026" s="12" t="s">
        <v>4042</v>
      </c>
    </row>
    <row r="4027">
      <c r="A4027" s="4" t="s">
        <v>4066</v>
      </c>
      <c r="B4027" s="5" t="str">
        <f>IFERROR(__xludf.DUMMYFUNCTION("IF(A4027="""","""",INDEX(SPLIT(A4027,"" ""),COUNTA(SPLIT(A4027,"" ""))))"),"Gorreto")</f>
        <v>Gorreto</v>
      </c>
      <c r="C4027" s="6" t="s">
        <v>4041</v>
      </c>
      <c r="D4027" s="6"/>
      <c r="E4027" s="12" t="s">
        <v>4042</v>
      </c>
    </row>
    <row r="4028">
      <c r="A4028" s="4" t="s">
        <v>4067</v>
      </c>
      <c r="B4028" s="5" t="str">
        <f>IFERROR(__xludf.DUMMYFUNCTION("IF(A4028="""","""",INDEX(SPLIT(A4028,"" ""),COUNTA(SPLIT(A4028,"" ""))))"),"Cantone")</f>
        <v>Cantone</v>
      </c>
      <c r="C4028" s="6" t="s">
        <v>4041</v>
      </c>
      <c r="D4028" s="6"/>
      <c r="E4028" s="12" t="s">
        <v>4042</v>
      </c>
    </row>
    <row r="4029">
      <c r="A4029" s="4" t="s">
        <v>4068</v>
      </c>
      <c r="B4029" s="5" t="str">
        <f>IFERROR(__xludf.DUMMYFUNCTION("IF(A4029="""","""",INDEX(SPLIT(A4029,"" ""),COUNTA(SPLIT(A4029,"" ""))))"),"Lavagna")</f>
        <v>Lavagna</v>
      </c>
      <c r="C4029" s="6" t="s">
        <v>4041</v>
      </c>
      <c r="D4029" s="6"/>
      <c r="E4029" s="12" t="s">
        <v>4042</v>
      </c>
    </row>
    <row r="4030">
      <c r="A4030" s="4" t="s">
        <v>4069</v>
      </c>
      <c r="B4030" s="5" t="str">
        <f>IFERROR(__xludf.DUMMYFUNCTION("IF(A4030="""","""",INDEX(SPLIT(A4030,"" ""),COUNTA(SPLIT(A4030,"" ""))))"),"Leivi")</f>
        <v>Leivi</v>
      </c>
      <c r="C4030" s="6" t="s">
        <v>4041</v>
      </c>
      <c r="D4030" s="6"/>
      <c r="E4030" s="12" t="s">
        <v>4042</v>
      </c>
    </row>
    <row r="4031">
      <c r="A4031" s="4" t="s">
        <v>4070</v>
      </c>
      <c r="B4031" s="5" t="str">
        <f>IFERROR(__xludf.DUMMYFUNCTION("IF(A4031="""","""",INDEX(SPLIT(A4031,"" ""),COUNTA(SPLIT(A4031,"" ""))))"),"Lorsica")</f>
        <v>Lorsica</v>
      </c>
      <c r="C4031" s="6" t="s">
        <v>4041</v>
      </c>
      <c r="D4031" s="6"/>
      <c r="E4031" s="12" t="s">
        <v>4042</v>
      </c>
    </row>
    <row r="4032">
      <c r="A4032" s="4" t="s">
        <v>4071</v>
      </c>
      <c r="B4032" s="5" t="str">
        <f>IFERROR(__xludf.DUMMYFUNCTION("IF(A4032="""","""",INDEX(SPLIT(A4032,"" ""),COUNTA(SPLIT(A4032,"" ""))))"),"Lumarzo")</f>
        <v>Lumarzo</v>
      </c>
      <c r="C4032" s="6" t="s">
        <v>4041</v>
      </c>
      <c r="D4032" s="6"/>
      <c r="E4032" s="12" t="s">
        <v>4042</v>
      </c>
    </row>
    <row r="4033">
      <c r="A4033" s="4" t="s">
        <v>4072</v>
      </c>
      <c r="B4033" s="5" t="str">
        <f>IFERROR(__xludf.DUMMYFUNCTION("IF(A4033="""","""",INDEX(SPLIT(A4033,"" ""),COUNTA(SPLIT(A4033,"" ""))))"),"Masone")</f>
        <v>Masone</v>
      </c>
      <c r="C4033" s="6" t="s">
        <v>4041</v>
      </c>
      <c r="D4033" s="6"/>
      <c r="E4033" s="12" t="s">
        <v>4042</v>
      </c>
    </row>
    <row r="4034">
      <c r="A4034" s="4" t="s">
        <v>4073</v>
      </c>
      <c r="B4034" s="5" t="str">
        <f>IFERROR(__xludf.DUMMYFUNCTION("IF(A4034="""","""",INDEX(SPLIT(A4034,"" ""),COUNTA(SPLIT(A4034,"" ""))))"),"Mele")</f>
        <v>Mele</v>
      </c>
      <c r="C4034" s="6" t="s">
        <v>4041</v>
      </c>
      <c r="D4034" s="6"/>
      <c r="E4034" s="12" t="s">
        <v>4042</v>
      </c>
    </row>
    <row r="4035">
      <c r="A4035" s="4" t="s">
        <v>4074</v>
      </c>
      <c r="B4035" s="5" t="str">
        <f>IFERROR(__xludf.DUMMYFUNCTION("IF(A4035="""","""",INDEX(SPLIT(A4035,"" ""),COUNTA(SPLIT(A4035,"" ""))))"),"Mezzanego")</f>
        <v>Mezzanego</v>
      </c>
      <c r="C4035" s="6" t="s">
        <v>4041</v>
      </c>
      <c r="D4035" s="6"/>
      <c r="E4035" s="12" t="s">
        <v>4042</v>
      </c>
    </row>
    <row r="4036">
      <c r="A4036" s="4" t="s">
        <v>4075</v>
      </c>
      <c r="B4036" s="5" t="str">
        <f>IFERROR(__xludf.DUMMYFUNCTION("IF(A4036="""","""",INDEX(SPLIT(A4036,"" ""),COUNTA(SPLIT(A4036,"" ""))))"),"Mignanego")</f>
        <v>Mignanego</v>
      </c>
      <c r="C4036" s="6" t="s">
        <v>4041</v>
      </c>
      <c r="D4036" s="6"/>
      <c r="E4036" s="12" t="s">
        <v>4042</v>
      </c>
    </row>
    <row r="4037">
      <c r="A4037" s="4" t="s">
        <v>4076</v>
      </c>
      <c r="B4037" s="5" t="str">
        <f>IFERROR(__xludf.DUMMYFUNCTION("IF(A4037="""","""",INDEX(SPLIT(A4037,"" ""),COUNTA(SPLIT(A4037,"" ""))))"),"Moconesi")</f>
        <v>Moconesi</v>
      </c>
      <c r="C4037" s="6" t="s">
        <v>4041</v>
      </c>
      <c r="D4037" s="6"/>
      <c r="E4037" s="12" t="s">
        <v>4042</v>
      </c>
    </row>
    <row r="4038">
      <c r="A4038" s="4" t="s">
        <v>4077</v>
      </c>
      <c r="B4038" s="5" t="str">
        <f>IFERROR(__xludf.DUMMYFUNCTION("IF(A4038="""","""",INDEX(SPLIT(A4038,"" ""),COUNTA(SPLIT(A4038,"" ""))))"),"Moneglia")</f>
        <v>Moneglia</v>
      </c>
      <c r="C4038" s="6" t="s">
        <v>4041</v>
      </c>
      <c r="D4038" s="6"/>
      <c r="E4038" s="12" t="s">
        <v>4042</v>
      </c>
    </row>
    <row r="4039">
      <c r="A4039" s="4" t="s">
        <v>4078</v>
      </c>
      <c r="B4039" s="5" t="str">
        <f>IFERROR(__xludf.DUMMYFUNCTION("IF(A4039="""","""",INDEX(SPLIT(A4039,"" ""),COUNTA(SPLIT(A4039,"" ""))))"),"Montebruno")</f>
        <v>Montebruno</v>
      </c>
      <c r="C4039" s="6" t="s">
        <v>4041</v>
      </c>
      <c r="D4039" s="6"/>
      <c r="E4039" s="12" t="s">
        <v>4042</v>
      </c>
    </row>
    <row r="4040">
      <c r="A4040" s="4" t="s">
        <v>4079</v>
      </c>
      <c r="B4040" s="5" t="str">
        <f>IFERROR(__xludf.DUMMYFUNCTION("IF(A4040="""","""",INDEX(SPLIT(A4040,"" ""),COUNTA(SPLIT(A4040,"" ""))))"),"Montoggio")</f>
        <v>Montoggio</v>
      </c>
      <c r="C4040" s="6" t="s">
        <v>4041</v>
      </c>
      <c r="D4040" s="6"/>
      <c r="E4040" s="12" t="s">
        <v>4042</v>
      </c>
    </row>
    <row r="4041">
      <c r="A4041" s="4" t="s">
        <v>4080</v>
      </c>
      <c r="B4041" s="5" t="str">
        <f>IFERROR(__xludf.DUMMYFUNCTION("IF(A4041="""","""",INDEX(SPLIT(A4041,"" ""),COUNTA(SPLIT(A4041,"" ""))))"),"Ne")</f>
        <v>Ne</v>
      </c>
      <c r="C4041" s="6" t="s">
        <v>4041</v>
      </c>
      <c r="D4041" s="6"/>
      <c r="E4041" s="12" t="s">
        <v>4042</v>
      </c>
    </row>
    <row r="4042">
      <c r="A4042" s="4" t="s">
        <v>4081</v>
      </c>
      <c r="B4042" s="5" t="str">
        <f>IFERROR(__xludf.DUMMYFUNCTION("IF(A4042="""","""",INDEX(SPLIT(A4042,"" ""),COUNTA(SPLIT(A4042,"" ""))))"),"Neirone")</f>
        <v>Neirone</v>
      </c>
      <c r="C4042" s="6" t="s">
        <v>4041</v>
      </c>
      <c r="D4042" s="6"/>
      <c r="E4042" s="12" t="s">
        <v>4042</v>
      </c>
    </row>
    <row r="4043">
      <c r="A4043" s="4" t="s">
        <v>4082</v>
      </c>
      <c r="B4043" s="5" t="str">
        <f>IFERROR(__xludf.DUMMYFUNCTION("IF(A4043="""","""",INDEX(SPLIT(A4043,"" ""),COUNTA(SPLIT(A4043,"" ""))))"),"Orero")</f>
        <v>Orero</v>
      </c>
      <c r="C4043" s="6" t="s">
        <v>4041</v>
      </c>
      <c r="D4043" s="6"/>
      <c r="E4043" s="12" t="s">
        <v>4042</v>
      </c>
    </row>
    <row r="4044">
      <c r="A4044" s="4" t="s">
        <v>4083</v>
      </c>
      <c r="B4044" s="5" t="str">
        <f>IFERROR(__xludf.DUMMYFUNCTION("IF(A4044="""","""",INDEX(SPLIT(A4044,"" ""),COUNTA(SPLIT(A4044,"" ""))))"),"Ligure")</f>
        <v>Ligure</v>
      </c>
      <c r="C4044" s="6" t="s">
        <v>4041</v>
      </c>
      <c r="D4044" s="6"/>
      <c r="E4044" s="12" t="s">
        <v>4042</v>
      </c>
    </row>
    <row r="4045">
      <c r="A4045" s="4" t="s">
        <v>4084</v>
      </c>
      <c r="B4045" s="5" t="str">
        <f>IFERROR(__xludf.DUMMYFUNCTION("IF(A4045="""","""",INDEX(SPLIT(A4045,"" ""),COUNTA(SPLIT(A4045,"" ""))))"),"Portofino")</f>
        <v>Portofino</v>
      </c>
      <c r="C4045" s="6" t="s">
        <v>4041</v>
      </c>
      <c r="D4045" s="6"/>
      <c r="E4045" s="12" t="s">
        <v>4042</v>
      </c>
    </row>
    <row r="4046">
      <c r="A4046" s="4" t="s">
        <v>4085</v>
      </c>
      <c r="B4046" s="5" t="str">
        <f>IFERROR(__xludf.DUMMYFUNCTION("IF(A4046="""","""",INDEX(SPLIT(A4046,"" ""),COUNTA(SPLIT(A4046,"" ""))))"),"Propata")</f>
        <v>Propata</v>
      </c>
      <c r="C4046" s="6" t="s">
        <v>4041</v>
      </c>
      <c r="D4046" s="6"/>
      <c r="E4046" s="12" t="s">
        <v>4042</v>
      </c>
    </row>
    <row r="4047">
      <c r="A4047" s="4" t="s">
        <v>4086</v>
      </c>
      <c r="B4047" s="5" t="str">
        <f>IFERROR(__xludf.DUMMYFUNCTION("IF(A4047="""","""",INDEX(SPLIT(A4047,"" ""),COUNTA(SPLIT(A4047,"" ""))))"),"Rapallo")</f>
        <v>Rapallo</v>
      </c>
      <c r="C4047" s="6" t="s">
        <v>4041</v>
      </c>
      <c r="D4047" s="6"/>
      <c r="E4047" s="12" t="s">
        <v>4042</v>
      </c>
    </row>
    <row r="4048">
      <c r="A4048" s="4" t="s">
        <v>4087</v>
      </c>
      <c r="B4048" s="5" t="str">
        <f>IFERROR(__xludf.DUMMYFUNCTION("IF(A4048="""","""",INDEX(SPLIT(A4048,"" ""),COUNTA(SPLIT(A4048,"" ""))))"),"Recco")</f>
        <v>Recco</v>
      </c>
      <c r="C4048" s="6" t="s">
        <v>4041</v>
      </c>
      <c r="D4048" s="6"/>
      <c r="E4048" s="12" t="s">
        <v>4042</v>
      </c>
    </row>
    <row r="4049">
      <c r="A4049" s="4" t="s">
        <v>4088</v>
      </c>
      <c r="B4049" s="5" t="str">
        <f>IFERROR(__xludf.DUMMYFUNCTION("IF(A4049="""","""",INDEX(SPLIT(A4049,"" ""),COUNTA(SPLIT(A4049,"" ""))))"),"Rezzoaglio")</f>
        <v>Rezzoaglio</v>
      </c>
      <c r="C4049" s="6" t="s">
        <v>4041</v>
      </c>
      <c r="D4049" s="6"/>
      <c r="E4049" s="12" t="s">
        <v>4042</v>
      </c>
    </row>
    <row r="4050">
      <c r="A4050" s="4" t="s">
        <v>4089</v>
      </c>
      <c r="B4050" s="5" t="str">
        <f>IFERROR(__xludf.DUMMYFUNCTION("IF(A4050="""","""",INDEX(SPLIT(A4050,"" ""),COUNTA(SPLIT(A4050,"" ""))))"),"Scrivia")</f>
        <v>Scrivia</v>
      </c>
      <c r="C4050" s="6" t="s">
        <v>4041</v>
      </c>
      <c r="D4050" s="6"/>
      <c r="E4050" s="12" t="s">
        <v>4042</v>
      </c>
    </row>
    <row r="4051">
      <c r="A4051" s="4" t="s">
        <v>4090</v>
      </c>
      <c r="B4051" s="5" t="str">
        <f>IFERROR(__xludf.DUMMYFUNCTION("IF(A4051="""","""",INDEX(SPLIT(A4051,"" ""),COUNTA(SPLIT(A4051,"" ""))))"),"Rondanina")</f>
        <v>Rondanina</v>
      </c>
      <c r="C4051" s="6" t="s">
        <v>4041</v>
      </c>
      <c r="D4051" s="6"/>
      <c r="E4051" s="12" t="s">
        <v>4042</v>
      </c>
    </row>
    <row r="4052">
      <c r="A4052" s="4" t="s">
        <v>4091</v>
      </c>
      <c r="B4052" s="5" t="str">
        <f>IFERROR(__xludf.DUMMYFUNCTION("IF(A4052="""","""",INDEX(SPLIT(A4052,"" ""),COUNTA(SPLIT(A4052,"" ""))))"),"Rossiglione")</f>
        <v>Rossiglione</v>
      </c>
      <c r="C4052" s="6" t="s">
        <v>4041</v>
      </c>
      <c r="D4052" s="6"/>
      <c r="E4052" s="12" t="s">
        <v>4042</v>
      </c>
    </row>
    <row r="4053">
      <c r="A4053" s="4" t="s">
        <v>4092</v>
      </c>
      <c r="B4053" s="5" t="str">
        <f>IFERROR(__xludf.DUMMYFUNCTION("IF(A4053="""","""",INDEX(SPLIT(A4053,"" ""),COUNTA(SPLIT(A4053,"" ""))))"),"Rovegno")</f>
        <v>Rovegno</v>
      </c>
      <c r="C4053" s="6" t="s">
        <v>4041</v>
      </c>
      <c r="D4053" s="6"/>
      <c r="E4053" s="12" t="s">
        <v>4042</v>
      </c>
    </row>
    <row r="4054">
      <c r="A4054" s="4" t="s">
        <v>4093</v>
      </c>
      <c r="B4054" s="5" t="str">
        <f>IFERROR(__xludf.DUMMYFUNCTION("IF(A4054="""","""",INDEX(SPLIT(A4054,"" ""),COUNTA(SPLIT(A4054,"" ""))))"),"Certenoli")</f>
        <v>Certenoli</v>
      </c>
      <c r="C4054" s="6" t="s">
        <v>4041</v>
      </c>
      <c r="D4054" s="6"/>
      <c r="E4054" s="12" t="s">
        <v>4042</v>
      </c>
    </row>
    <row r="4055">
      <c r="A4055" s="4" t="s">
        <v>4094</v>
      </c>
      <c r="B4055" s="5" t="str">
        <f>IFERROR(__xludf.DUMMYFUNCTION("IF(A4055="""","""",INDEX(SPLIT(A4055,"" ""),COUNTA(SPLIT(A4055,"" ""))))"),"Ligure")</f>
        <v>Ligure</v>
      </c>
      <c r="C4055" s="6" t="s">
        <v>4041</v>
      </c>
      <c r="D4055" s="6"/>
      <c r="E4055" s="12" t="s">
        <v>4042</v>
      </c>
    </row>
    <row r="4056">
      <c r="A4056" s="4" t="s">
        <v>4095</v>
      </c>
      <c r="B4056" s="5" t="str">
        <f>IFERROR(__xludf.DUMMYFUNCTION("IF(A4056="""","""",INDEX(SPLIT(A4056,"" ""),COUNTA(SPLIT(A4056,"" ""))))"),"Sant'Olcese")</f>
        <v>Sant'Olcese</v>
      </c>
      <c r="C4056" s="6" t="s">
        <v>4041</v>
      </c>
      <c r="D4056" s="6"/>
      <c r="E4056" s="12" t="s">
        <v>4042</v>
      </c>
    </row>
    <row r="4057">
      <c r="A4057" s="4" t="s">
        <v>4096</v>
      </c>
      <c r="B4057" s="5" t="str">
        <f>IFERROR(__xludf.DUMMYFUNCTION("IF(A4057="""","""",INDEX(SPLIT(A4057,"" ""),COUNTA(SPLIT(A4057,"" ""))))"),"d'Aveto")</f>
        <v>d'Aveto</v>
      </c>
      <c r="C4057" s="6" t="s">
        <v>4041</v>
      </c>
      <c r="D4057" s="6"/>
      <c r="E4057" s="12" t="s">
        <v>4042</v>
      </c>
    </row>
    <row r="4058">
      <c r="A4058" s="4" t="s">
        <v>4097</v>
      </c>
      <c r="B4058" s="5" t="str">
        <f>IFERROR(__xludf.DUMMYFUNCTION("IF(A4058="""","""",INDEX(SPLIT(A4058,"" ""),COUNTA(SPLIT(A4058,"" ""))))"),"Savignone")</f>
        <v>Savignone</v>
      </c>
      <c r="C4058" s="6" t="s">
        <v>4041</v>
      </c>
      <c r="D4058" s="6"/>
      <c r="E4058" s="12" t="s">
        <v>4042</v>
      </c>
    </row>
    <row r="4059">
      <c r="A4059" s="4" t="s">
        <v>4098</v>
      </c>
      <c r="B4059" s="5" t="str">
        <f>IFERROR(__xludf.DUMMYFUNCTION("IF(A4059="""","""",INDEX(SPLIT(A4059,"" ""),COUNTA(SPLIT(A4059,"" ""))))"),"Riccò")</f>
        <v>Riccò</v>
      </c>
      <c r="C4059" s="6" t="s">
        <v>4041</v>
      </c>
      <c r="D4059" s="6"/>
      <c r="E4059" s="12" t="s">
        <v>4042</v>
      </c>
    </row>
    <row r="4060">
      <c r="A4060" s="4" t="s">
        <v>4099</v>
      </c>
      <c r="B4060" s="5" t="str">
        <f>IFERROR(__xludf.DUMMYFUNCTION("IF(A4060="""","""",INDEX(SPLIT(A4060,"" ""),COUNTA(SPLIT(A4060,"" ""))))"),"Levante")</f>
        <v>Levante</v>
      </c>
      <c r="C4060" s="6" t="s">
        <v>4041</v>
      </c>
      <c r="D4060" s="6"/>
      <c r="E4060" s="12" t="s">
        <v>4042</v>
      </c>
    </row>
    <row r="4061">
      <c r="A4061" s="4" t="s">
        <v>4100</v>
      </c>
      <c r="B4061" s="5" t="str">
        <f>IFERROR(__xludf.DUMMYFUNCTION("IF(A4061="""","""",INDEX(SPLIT(A4061,"" ""),COUNTA(SPLIT(A4061,"" ""))))"),"Sori")</f>
        <v>Sori</v>
      </c>
      <c r="C4061" s="6" t="s">
        <v>4041</v>
      </c>
      <c r="D4061" s="6"/>
      <c r="E4061" s="12" t="s">
        <v>4042</v>
      </c>
    </row>
    <row r="4062">
      <c r="A4062" s="4" t="s">
        <v>4101</v>
      </c>
      <c r="B4062" s="5" t="str">
        <f>IFERROR(__xludf.DUMMYFUNCTION("IF(A4062="""","""",INDEX(SPLIT(A4062,"" ""),COUNTA(SPLIT(A4062,"" ""))))"),"Tiglieto")</f>
        <v>Tiglieto</v>
      </c>
      <c r="C4062" s="6" t="s">
        <v>4041</v>
      </c>
      <c r="D4062" s="6"/>
      <c r="E4062" s="12" t="s">
        <v>4042</v>
      </c>
    </row>
    <row r="4063">
      <c r="A4063" s="4" t="s">
        <v>4102</v>
      </c>
      <c r="B4063" s="5" t="str">
        <f>IFERROR(__xludf.DUMMYFUNCTION("IF(A4063="""","""",INDEX(SPLIT(A4063,"" ""),COUNTA(SPLIT(A4063,"" ""))))"),"Torriglia")</f>
        <v>Torriglia</v>
      </c>
      <c r="C4063" s="6" t="s">
        <v>4041</v>
      </c>
      <c r="D4063" s="6"/>
      <c r="E4063" s="12" t="s">
        <v>4042</v>
      </c>
    </row>
    <row r="4064">
      <c r="A4064" s="4" t="s">
        <v>4103</v>
      </c>
      <c r="B4064" s="5" t="str">
        <f>IFERROR(__xludf.DUMMYFUNCTION("IF(A4064="""","""",INDEX(SPLIT(A4064,"" ""),COUNTA(SPLIT(A4064,"" ""))))"),"Tribogna")</f>
        <v>Tribogna</v>
      </c>
      <c r="C4064" s="6" t="s">
        <v>4041</v>
      </c>
      <c r="D4064" s="6"/>
      <c r="E4064" s="12" t="s">
        <v>4042</v>
      </c>
    </row>
    <row r="4065">
      <c r="A4065" s="4" t="s">
        <v>4104</v>
      </c>
      <c r="B4065" s="5" t="str">
        <f>IFERROR(__xludf.DUMMYFUNCTION("IF(A4065="""","""",INDEX(SPLIT(A4065,"" ""),COUNTA(SPLIT(A4065,"" ""))))"),"Uscio")</f>
        <v>Uscio</v>
      </c>
      <c r="C4065" s="6" t="s">
        <v>4041</v>
      </c>
      <c r="D4065" s="6"/>
      <c r="E4065" s="12" t="s">
        <v>4042</v>
      </c>
    </row>
    <row r="4066">
      <c r="A4066" s="4" t="s">
        <v>4105</v>
      </c>
      <c r="B4066" s="5" t="str">
        <f>IFERROR(__xludf.DUMMYFUNCTION("IF(A4066="""","""",INDEX(SPLIT(A4066,"" ""),COUNTA(SPLIT(A4066,"" ""))))"),"Valbrevenna")</f>
        <v>Valbrevenna</v>
      </c>
      <c r="C4066" s="6" t="s">
        <v>4041</v>
      </c>
      <c r="D4066" s="6"/>
      <c r="E4066" s="12" t="s">
        <v>4042</v>
      </c>
    </row>
    <row r="4067">
      <c r="A4067" s="4" t="s">
        <v>4106</v>
      </c>
      <c r="B4067" s="5" t="str">
        <f>IFERROR(__xludf.DUMMYFUNCTION("IF(A4067="""","""",INDEX(SPLIT(A4067,"" ""),COUNTA(SPLIT(A4067,"" ""))))"),"Vobbia")</f>
        <v>Vobbia</v>
      </c>
      <c r="C4067" s="6" t="s">
        <v>4041</v>
      </c>
      <c r="D4067" s="6"/>
      <c r="E4067" s="12" t="s">
        <v>4042</v>
      </c>
    </row>
    <row r="4068">
      <c r="A4068" s="4" t="s">
        <v>4107</v>
      </c>
      <c r="B4068" s="5" t="str">
        <f>IFERROR(__xludf.DUMMYFUNCTION("IF(A4068="""","""",INDEX(SPLIT(A4068,"" ""),COUNTA(SPLIT(A4068,"" ""))))"),"Zoagli")</f>
        <v>Zoagli</v>
      </c>
      <c r="C4068" s="6" t="s">
        <v>4041</v>
      </c>
      <c r="D4068" s="6"/>
      <c r="E4068" s="12" t="s">
        <v>4042</v>
      </c>
    </row>
    <row r="4069">
      <c r="A4069" s="4" t="s">
        <v>4108</v>
      </c>
      <c r="B4069" s="5" t="str">
        <f>IFERROR(__xludf.DUMMYFUNCTION("IF(A4069="""","""",INDEX(SPLIT(A4069,"" ""),COUNTA(SPLIT(A4069,"" ""))))"),"Ameglia")</f>
        <v>Ameglia</v>
      </c>
      <c r="C4069" s="6"/>
      <c r="D4069" s="6" t="s">
        <v>4109</v>
      </c>
      <c r="E4069" s="12" t="s">
        <v>4110</v>
      </c>
    </row>
    <row r="4070">
      <c r="A4070" s="4" t="s">
        <v>4111</v>
      </c>
      <c r="B4070" s="5" t="str">
        <f>IFERROR(__xludf.DUMMYFUNCTION("IF(A4070="""","""",INDEX(SPLIT(A4070,"" ""),COUNTA(SPLIT(A4070,"" ""))))"),"Arcola")</f>
        <v>Arcola</v>
      </c>
      <c r="C4070" s="6"/>
      <c r="D4070" s="6" t="s">
        <v>4109</v>
      </c>
      <c r="E4070" s="12" t="s">
        <v>4110</v>
      </c>
    </row>
    <row r="4071">
      <c r="A4071" s="4" t="s">
        <v>4112</v>
      </c>
      <c r="B4071" s="5" t="str">
        <f>IFERROR(__xludf.DUMMYFUNCTION("IF(A4071="""","""",INDEX(SPLIT(A4071,"" ""),COUNTA(SPLIT(A4071,"" ""))))"),"Beverino")</f>
        <v>Beverino</v>
      </c>
      <c r="C4071" s="6"/>
      <c r="D4071" s="6" t="s">
        <v>4109</v>
      </c>
      <c r="E4071" s="12" t="s">
        <v>4110</v>
      </c>
    </row>
    <row r="4072">
      <c r="A4072" s="4" t="s">
        <v>4113</v>
      </c>
      <c r="B4072" s="5" t="str">
        <f>IFERROR(__xludf.DUMMYFUNCTION("IF(A4072="""","""",INDEX(SPLIT(A4072,"" ""),COUNTA(SPLIT(A4072,"" ""))))"),"Bolano")</f>
        <v>Bolano</v>
      </c>
      <c r="C4072" s="6"/>
      <c r="D4072" s="6" t="s">
        <v>4109</v>
      </c>
      <c r="E4072" s="12" t="s">
        <v>4110</v>
      </c>
    </row>
    <row r="4073">
      <c r="A4073" s="4" t="s">
        <v>4114</v>
      </c>
      <c r="B4073" s="5" t="str">
        <f>IFERROR(__xludf.DUMMYFUNCTION("IF(A4073="""","""",INDEX(SPLIT(A4073,"" ""),COUNTA(SPLIT(A4073,"" ""))))"),"Bonassola")</f>
        <v>Bonassola</v>
      </c>
      <c r="C4073" s="6"/>
      <c r="D4073" s="6" t="s">
        <v>4109</v>
      </c>
      <c r="E4073" s="12" t="s">
        <v>4110</v>
      </c>
    </row>
    <row r="4074">
      <c r="A4074" s="4" t="s">
        <v>4115</v>
      </c>
      <c r="B4074" s="5" t="str">
        <f>IFERROR(__xludf.DUMMYFUNCTION("IF(A4074="""","""",INDEX(SPLIT(A4074,"" ""),COUNTA(SPLIT(A4074,"" ""))))"),"Vara")</f>
        <v>Vara</v>
      </c>
      <c r="C4074" s="6"/>
      <c r="D4074" s="6" t="s">
        <v>4109</v>
      </c>
      <c r="E4074" s="12" t="s">
        <v>4110</v>
      </c>
    </row>
    <row r="4075">
      <c r="A4075" s="4" t="s">
        <v>4116</v>
      </c>
      <c r="B4075" s="5" t="str">
        <f>IFERROR(__xludf.DUMMYFUNCTION("IF(A4075="""","""",INDEX(SPLIT(A4075,"" ""),COUNTA(SPLIT(A4075,"" ""))))"),"Brugnato")</f>
        <v>Brugnato</v>
      </c>
      <c r="C4075" s="6"/>
      <c r="D4075" s="6" t="s">
        <v>4109</v>
      </c>
      <c r="E4075" s="12" t="s">
        <v>4110</v>
      </c>
    </row>
    <row r="4076">
      <c r="A4076" s="4" t="s">
        <v>4117</v>
      </c>
      <c r="B4076" s="5" t="str">
        <f>IFERROR(__xludf.DUMMYFUNCTION("IF(A4076="""","""",INDEX(SPLIT(A4076,"" ""),COUNTA(SPLIT(A4076,"" ""))))"),"Cornoviglio")</f>
        <v>Cornoviglio</v>
      </c>
      <c r="C4076" s="6"/>
      <c r="D4076" s="6" t="s">
        <v>4109</v>
      </c>
      <c r="E4076" s="12" t="s">
        <v>4110</v>
      </c>
    </row>
    <row r="4077">
      <c r="A4077" s="4" t="s">
        <v>4118</v>
      </c>
      <c r="B4077" s="5" t="str">
        <f>IFERROR(__xludf.DUMMYFUNCTION("IF(A4077="""","""",INDEX(SPLIT(A4077,"" ""),COUNTA(SPLIT(A4077,"" ""))))"),"Carro")</f>
        <v>Carro</v>
      </c>
      <c r="C4077" s="6"/>
      <c r="D4077" s="6" t="s">
        <v>4109</v>
      </c>
      <c r="E4077" s="12" t="s">
        <v>4110</v>
      </c>
    </row>
    <row r="4078">
      <c r="A4078" s="4" t="s">
        <v>4119</v>
      </c>
      <c r="B4078" s="5" t="str">
        <f>IFERROR(__xludf.DUMMYFUNCTION("IF(A4078="""","""",INDEX(SPLIT(A4078,"" ""),COUNTA(SPLIT(A4078,"" ""))))"),"Carrodano")</f>
        <v>Carrodano</v>
      </c>
      <c r="C4078" s="6"/>
      <c r="D4078" s="6" t="s">
        <v>4109</v>
      </c>
      <c r="E4078" s="12" t="s">
        <v>4110</v>
      </c>
    </row>
    <row r="4079">
      <c r="A4079" s="4" t="s">
        <v>4120</v>
      </c>
      <c r="B4079" s="5" t="str">
        <f>IFERROR(__xludf.DUMMYFUNCTION("IF(A4079="""","""",INDEX(SPLIT(A4079,"" ""),COUNTA(SPLIT(A4079,"" ""))))"),"Magra")</f>
        <v>Magra</v>
      </c>
      <c r="C4079" s="6"/>
      <c r="D4079" s="6" t="s">
        <v>4109</v>
      </c>
      <c r="E4079" s="12" t="s">
        <v>4110</v>
      </c>
    </row>
    <row r="4080">
      <c r="A4080" s="4" t="s">
        <v>4121</v>
      </c>
      <c r="B4080" s="5" t="str">
        <f>IFERROR(__xludf.DUMMYFUNCTION("IF(A4080="""","""",INDEX(SPLIT(A4080,"" ""),COUNTA(SPLIT(A4080,"" ""))))"),"Marina")</f>
        <v>Marina</v>
      </c>
      <c r="C4080" s="6"/>
      <c r="D4080" s="6" t="s">
        <v>4109</v>
      </c>
      <c r="E4080" s="12" t="s">
        <v>4110</v>
      </c>
    </row>
    <row r="4081">
      <c r="A4081" s="4" t="s">
        <v>4122</v>
      </c>
      <c r="B4081" s="5" t="str">
        <f>IFERROR(__xludf.DUMMYFUNCTION("IF(A4081="""","""",INDEX(SPLIT(A4081,"" ""),COUNTA(SPLIT(A4081,"" ""))))"),"Follo")</f>
        <v>Follo</v>
      </c>
      <c r="C4081" s="6"/>
      <c r="D4081" s="6" t="s">
        <v>4109</v>
      </c>
      <c r="E4081" s="12" t="s">
        <v>4110</v>
      </c>
    </row>
    <row r="4082">
      <c r="A4082" s="4" t="s">
        <v>4123</v>
      </c>
      <c r="B4082" s="5" t="str">
        <f>IFERROR(__xludf.DUMMYFUNCTION("IF(A4082="""","""",INDEX(SPLIT(A4082,"" ""),COUNTA(SPLIT(A4082,"" ""))))"),"Framura")</f>
        <v>Framura</v>
      </c>
      <c r="C4082" s="6"/>
      <c r="D4082" s="6" t="s">
        <v>4109</v>
      </c>
      <c r="E4082" s="12" t="s">
        <v>4110</v>
      </c>
    </row>
    <row r="4083">
      <c r="A4083" s="4" t="s">
        <v>4124</v>
      </c>
      <c r="B4083" s="5" t="str">
        <f>IFERROR(__xludf.DUMMYFUNCTION("IF(A4083="""","""",INDEX(SPLIT(A4083,"" ""),COUNTA(SPLIT(A4083,"" ""))))"),"Spezia")</f>
        <v>Spezia</v>
      </c>
      <c r="C4083" s="6"/>
      <c r="D4083" s="6" t="s">
        <v>4109</v>
      </c>
      <c r="E4083" s="12" t="s">
        <v>4110</v>
      </c>
    </row>
    <row r="4084">
      <c r="A4084" s="4" t="s">
        <v>4125</v>
      </c>
      <c r="B4084" s="5" t="str">
        <f>IFERROR(__xludf.DUMMYFUNCTION("IF(A4084="""","""",INDEX(SPLIT(A4084,"" ""),COUNTA(SPLIT(A4084,"" ""))))"),"Lerici")</f>
        <v>Lerici</v>
      </c>
      <c r="C4084" s="6"/>
      <c r="D4084" s="6" t="s">
        <v>4109</v>
      </c>
      <c r="E4084" s="12" t="s">
        <v>4110</v>
      </c>
    </row>
    <row r="4085">
      <c r="A4085" s="4" t="s">
        <v>4126</v>
      </c>
      <c r="B4085" s="5" t="str">
        <f>IFERROR(__xludf.DUMMYFUNCTION("IF(A4085="""","""",INDEX(SPLIT(A4085,"" ""),COUNTA(SPLIT(A4085,"" ""))))"),"Levanto")</f>
        <v>Levanto</v>
      </c>
      <c r="C4085" s="6"/>
      <c r="D4085" s="6" t="s">
        <v>4109</v>
      </c>
      <c r="E4085" s="12" t="s">
        <v>4110</v>
      </c>
    </row>
    <row r="4086">
      <c r="A4086" s="4" t="s">
        <v>4127</v>
      </c>
      <c r="B4086" s="5" t="str">
        <f>IFERROR(__xludf.DUMMYFUNCTION("IF(A4086="""","""",INDEX(SPLIT(A4086,"" ""),COUNTA(SPLIT(A4086,"" ""))))"),"Maissana")</f>
        <v>Maissana</v>
      </c>
      <c r="C4086" s="6"/>
      <c r="D4086" s="6" t="s">
        <v>4109</v>
      </c>
      <c r="E4086" s="12" t="s">
        <v>4110</v>
      </c>
    </row>
    <row r="4087">
      <c r="A4087" s="4" t="s">
        <v>4128</v>
      </c>
      <c r="B4087" s="5" t="str">
        <f>IFERROR(__xludf.DUMMYFUNCTION("IF(A4087="""","""",INDEX(SPLIT(A4087,"" ""),COUNTA(SPLIT(A4087,"" ""))))"),"Mare")</f>
        <v>Mare</v>
      </c>
      <c r="C4087" s="6"/>
      <c r="D4087" s="6" t="s">
        <v>4109</v>
      </c>
      <c r="E4087" s="12" t="s">
        <v>4110</v>
      </c>
    </row>
    <row r="4088">
      <c r="A4088" s="4" t="s">
        <v>4129</v>
      </c>
      <c r="B4088" s="5" t="str">
        <f>IFERROR(__xludf.DUMMYFUNCTION("IF(A4088="""","""",INDEX(SPLIT(A4088,"" ""),COUNTA(SPLIT(A4088,"" ""))))"),"Luni")</f>
        <v>Luni</v>
      </c>
      <c r="C4088" s="6"/>
      <c r="D4088" s="6" t="s">
        <v>4109</v>
      </c>
      <c r="E4088" s="12" t="s">
        <v>4110</v>
      </c>
    </row>
    <row r="4089">
      <c r="A4089" s="4" t="s">
        <v>4130</v>
      </c>
      <c r="B4089" s="5" t="str">
        <f>IFERROR(__xludf.DUMMYFUNCTION("IF(A4089="""","""",INDEX(SPLIT(A4089,"" ""),COUNTA(SPLIT(A4089,"" ""))))"),"Pignone")</f>
        <v>Pignone</v>
      </c>
      <c r="C4089" s="6"/>
      <c r="D4089" s="6" t="s">
        <v>4109</v>
      </c>
      <c r="E4089" s="12" t="s">
        <v>4110</v>
      </c>
    </row>
    <row r="4090">
      <c r="A4090" s="4" t="s">
        <v>4131</v>
      </c>
      <c r="B4090" s="5" t="str">
        <f>IFERROR(__xludf.DUMMYFUNCTION("IF(A4090="""","""",INDEX(SPLIT(A4090,"" ""),COUNTA(SPLIT(A4090,"" ""))))"),"Portovenere")</f>
        <v>Portovenere</v>
      </c>
      <c r="C4090" s="6"/>
      <c r="D4090" s="6" t="s">
        <v>4109</v>
      </c>
      <c r="E4090" s="12" t="s">
        <v>4110</v>
      </c>
    </row>
    <row r="4091">
      <c r="A4091" s="4" t="s">
        <v>4132</v>
      </c>
      <c r="B4091" s="5" t="str">
        <f>IFERROR(__xludf.DUMMYFUNCTION("IF(A4091="""","""",INDEX(SPLIT(A4091,"" ""),COUNTA(SPLIT(A4091,"" ""))))"),"Spezia")</f>
        <v>Spezia</v>
      </c>
      <c r="C4091" s="6"/>
      <c r="D4091" s="6" t="s">
        <v>4109</v>
      </c>
      <c r="E4091" s="12" t="s">
        <v>4110</v>
      </c>
    </row>
    <row r="4092">
      <c r="A4092" s="4" t="s">
        <v>4133</v>
      </c>
      <c r="B4092" s="5" t="str">
        <f>IFERROR(__xludf.DUMMYFUNCTION("IF(A4092="""","""",INDEX(SPLIT(A4092,"" ""),COUNTA(SPLIT(A4092,"" ""))))"),"Riomaggiore")</f>
        <v>Riomaggiore</v>
      </c>
      <c r="C4092" s="6"/>
      <c r="D4092" s="6" t="s">
        <v>4109</v>
      </c>
      <c r="E4092" s="12" t="s">
        <v>4110</v>
      </c>
    </row>
    <row r="4093">
      <c r="A4093" s="4" t="s">
        <v>4134</v>
      </c>
      <c r="B4093" s="5" t="str">
        <f>IFERROR(__xludf.DUMMYFUNCTION("IF(A4093="""","""",INDEX(SPLIT(A4093,"" ""),COUNTA(SPLIT(A4093,"" ""))))"),"Vara")</f>
        <v>Vara</v>
      </c>
      <c r="C4093" s="6"/>
      <c r="D4093" s="6" t="s">
        <v>4109</v>
      </c>
      <c r="E4093" s="12" t="s">
        <v>4110</v>
      </c>
    </row>
    <row r="4094">
      <c r="A4094" s="4" t="s">
        <v>4135</v>
      </c>
      <c r="B4094" s="5" t="str">
        <f>IFERROR(__xludf.DUMMYFUNCTION("IF(A4094="""","""",INDEX(SPLIT(A4094,"" ""),COUNTA(SPLIT(A4094,"" ""))))"),"Magra")</f>
        <v>Magra</v>
      </c>
      <c r="C4094" s="6"/>
      <c r="D4094" s="6" t="s">
        <v>4109</v>
      </c>
      <c r="E4094" s="12" t="s">
        <v>4110</v>
      </c>
    </row>
    <row r="4095">
      <c r="A4095" s="4" t="s">
        <v>4136</v>
      </c>
      <c r="B4095" s="5" t="str">
        <f>IFERROR(__xludf.DUMMYFUNCTION("IF(A4095="""","""",INDEX(SPLIT(A4095,"" ""),COUNTA(SPLIT(A4095,"" ""))))"),"Sarzana")</f>
        <v>Sarzana</v>
      </c>
      <c r="C4095" s="6"/>
      <c r="D4095" s="6" t="s">
        <v>4109</v>
      </c>
      <c r="E4095" s="12" t="s">
        <v>4110</v>
      </c>
    </row>
    <row r="4096">
      <c r="A4096" s="4" t="s">
        <v>4137</v>
      </c>
      <c r="B4096" s="5" t="str">
        <f>IFERROR(__xludf.DUMMYFUNCTION("IF(A4096="""","""",INDEX(SPLIT(A4096,"" ""),COUNTA(SPLIT(A4096,"" ""))))"),"Godano")</f>
        <v>Godano</v>
      </c>
      <c r="C4096" s="6"/>
      <c r="D4096" s="6" t="s">
        <v>4109</v>
      </c>
      <c r="E4096" s="12" t="s">
        <v>4110</v>
      </c>
    </row>
    <row r="4097">
      <c r="A4097" s="4" t="s">
        <v>4138</v>
      </c>
      <c r="B4097" s="5" t="str">
        <f>IFERROR(__xludf.DUMMYFUNCTION("IF(A4097="""","""",INDEX(SPLIT(A4097,"" ""),COUNTA(SPLIT(A4097,"" ""))))"),"Ligure")</f>
        <v>Ligure</v>
      </c>
      <c r="C4097" s="6"/>
      <c r="D4097" s="6" t="s">
        <v>4109</v>
      </c>
      <c r="E4097" s="12" t="s">
        <v>4110</v>
      </c>
    </row>
    <row r="4098">
      <c r="A4098" s="4" t="s">
        <v>4139</v>
      </c>
      <c r="B4098" s="5" t="str">
        <f>IFERROR(__xludf.DUMMYFUNCTION("IF(A4098="""","""",INDEX(SPLIT(A4098,"" ""),COUNTA(SPLIT(A4098,"" ""))))"),"Vernazza")</f>
        <v>Vernazza</v>
      </c>
      <c r="C4098" s="6"/>
      <c r="D4098" s="6" t="s">
        <v>4109</v>
      </c>
      <c r="E4098" s="12" t="s">
        <v>4110</v>
      </c>
    </row>
    <row r="4099">
      <c r="A4099" s="4" t="s">
        <v>4140</v>
      </c>
      <c r="B4099" s="5" t="str">
        <f>IFERROR(__xludf.DUMMYFUNCTION("IF(A4099="""","""",INDEX(SPLIT(A4099,"" ""),COUNTA(SPLIT(A4099,"" ""))))"),"Ligure")</f>
        <v>Ligure</v>
      </c>
      <c r="C4099" s="6"/>
      <c r="D4099" s="6" t="s">
        <v>4109</v>
      </c>
      <c r="E4099" s="12" t="s">
        <v>4110</v>
      </c>
    </row>
    <row r="4100">
      <c r="A4100" s="4" t="s">
        <v>4141</v>
      </c>
      <c r="B4100" s="5" t="str">
        <f>IFERROR(__xludf.DUMMYFUNCTION("IF(A4100="""","""",INDEX(SPLIT(A4100,"" ""),COUNTA(SPLIT(A4100,"" ""))))"),"Zignago")</f>
        <v>Zignago</v>
      </c>
      <c r="C4100" s="6"/>
      <c r="D4100" s="6" t="s">
        <v>4109</v>
      </c>
      <c r="E4100" s="12" t="s">
        <v>4110</v>
      </c>
    </row>
    <row r="4101">
      <c r="A4101" s="4" t="s">
        <v>4142</v>
      </c>
      <c r="B4101" s="5" t="str">
        <f>IFERROR(__xludf.DUMMYFUNCTION("IF(A4101="""","""",INDEX(SPLIT(A4101,"" ""),COUNTA(SPLIT(A4101,"" ""))))"),"Agazzano")</f>
        <v>Agazzano</v>
      </c>
      <c r="C4101" s="6"/>
      <c r="D4101" s="6" t="s">
        <v>4143</v>
      </c>
      <c r="E4101" s="12" t="s">
        <v>4144</v>
      </c>
    </row>
    <row r="4102">
      <c r="A4102" s="4" t="s">
        <v>4145</v>
      </c>
      <c r="B4102" s="5" t="str">
        <f>IFERROR(__xludf.DUMMYFUNCTION("IF(A4102="""","""",INDEX(SPLIT(A4102,"" ""),COUNTA(SPLIT(A4102,"" ""))))"),"Alseno")</f>
        <v>Alseno</v>
      </c>
      <c r="C4102" s="6"/>
      <c r="D4102" s="6" t="s">
        <v>4143</v>
      </c>
      <c r="E4102" s="12" t="s">
        <v>4144</v>
      </c>
    </row>
    <row r="4103">
      <c r="A4103" s="4" t="s">
        <v>4146</v>
      </c>
      <c r="B4103" s="5" t="str">
        <f>IFERROR(__xludf.DUMMYFUNCTION("IF(A4103="""","""",INDEX(SPLIT(A4103,"" ""),COUNTA(SPLIT(A4103,"" ""))))"),"Besenzone")</f>
        <v>Besenzone</v>
      </c>
      <c r="C4103" s="6"/>
      <c r="D4103" s="6" t="s">
        <v>4143</v>
      </c>
      <c r="E4103" s="12" t="s">
        <v>4144</v>
      </c>
    </row>
    <row r="4104">
      <c r="A4104" s="4" t="s">
        <v>4147</v>
      </c>
      <c r="B4104" s="5" t="str">
        <f>IFERROR(__xludf.DUMMYFUNCTION("IF(A4104="""","""",INDEX(SPLIT(A4104,"" ""),COUNTA(SPLIT(A4104,"" ""))))"),"Bettola")</f>
        <v>Bettola</v>
      </c>
      <c r="C4104" s="6"/>
      <c r="D4104" s="6" t="s">
        <v>4143</v>
      </c>
      <c r="E4104" s="12" t="s">
        <v>4144</v>
      </c>
    </row>
    <row r="4105">
      <c r="A4105" s="4" t="s">
        <v>4148</v>
      </c>
      <c r="B4105" s="5" t="str">
        <f>IFERROR(__xludf.DUMMYFUNCTION("IF(A4105="""","""",INDEX(SPLIT(A4105,"" ""),COUNTA(SPLIT(A4105,"" ""))))"),"Bobbio")</f>
        <v>Bobbio</v>
      </c>
      <c r="C4105" s="6"/>
      <c r="D4105" s="6" t="s">
        <v>4143</v>
      </c>
      <c r="E4105" s="12" t="s">
        <v>4144</v>
      </c>
    </row>
    <row r="4106">
      <c r="A4106" s="4" t="s">
        <v>4149</v>
      </c>
      <c r="B4106" s="5" t="str">
        <f>IFERROR(__xludf.DUMMYFUNCTION("IF(A4106="""","""",INDEX(SPLIT(A4106,"" ""),COUNTA(SPLIT(A4106,"" ""))))"),"Tidone")</f>
        <v>Tidone</v>
      </c>
      <c r="C4106" s="6"/>
      <c r="D4106" s="6" t="s">
        <v>4143</v>
      </c>
      <c r="E4106" s="12" t="s">
        <v>4144</v>
      </c>
    </row>
    <row r="4107">
      <c r="A4107" s="4" t="s">
        <v>4150</v>
      </c>
      <c r="B4107" s="5" t="str">
        <f>IFERROR(__xludf.DUMMYFUNCTION("IF(A4107="""","""",INDEX(SPLIT(A4107,"" ""),COUNTA(SPLIT(A4107,"" ""))))"),"Cadeo")</f>
        <v>Cadeo</v>
      </c>
      <c r="C4107" s="6"/>
      <c r="D4107" s="6" t="s">
        <v>4143</v>
      </c>
      <c r="E4107" s="12" t="s">
        <v>4144</v>
      </c>
    </row>
    <row r="4108">
      <c r="A4108" s="4" t="s">
        <v>4151</v>
      </c>
      <c r="B4108" s="5" t="str">
        <f>IFERROR(__xludf.DUMMYFUNCTION("IF(A4108="""","""",INDEX(SPLIT(A4108,"" ""),COUNTA(SPLIT(A4108,"" ""))))"),"Calendasco")</f>
        <v>Calendasco</v>
      </c>
      <c r="C4108" s="6"/>
      <c r="D4108" s="6" t="s">
        <v>4143</v>
      </c>
      <c r="E4108" s="12" t="s">
        <v>4144</v>
      </c>
    </row>
    <row r="4109">
      <c r="A4109" s="4" t="s">
        <v>4152</v>
      </c>
      <c r="B4109" s="5" t="str">
        <f>IFERROR(__xludf.DUMMYFUNCTION("IF(A4109="""","""",INDEX(SPLIT(A4109,"" ""),COUNTA(SPLIT(A4109,"" ""))))"),"Caorso")</f>
        <v>Caorso</v>
      </c>
      <c r="C4109" s="6"/>
      <c r="D4109" s="6" t="s">
        <v>4143</v>
      </c>
      <c r="E4109" s="12" t="s">
        <v>4144</v>
      </c>
    </row>
    <row r="4110">
      <c r="A4110" s="4" t="s">
        <v>4153</v>
      </c>
      <c r="B4110" s="5" t="str">
        <f>IFERROR(__xludf.DUMMYFUNCTION("IF(A4110="""","""",INDEX(SPLIT(A4110,"" ""),COUNTA(SPLIT(A4110,"" ""))))"),"Piacentino")</f>
        <v>Piacentino</v>
      </c>
      <c r="C4110" s="6"/>
      <c r="D4110" s="6" t="s">
        <v>4143</v>
      </c>
      <c r="E4110" s="12" t="s">
        <v>4144</v>
      </c>
    </row>
    <row r="4111">
      <c r="A4111" s="4" t="s">
        <v>4154</v>
      </c>
      <c r="B4111" s="5" t="str">
        <f>IFERROR(__xludf.DUMMYFUNCTION("IF(A4111="""","""",INDEX(SPLIT(A4111,"" ""),COUNTA(SPLIT(A4111,"" ""))))"),"Castell'Arquato")</f>
        <v>Castell'Arquato</v>
      </c>
      <c r="C4111" s="6"/>
      <c r="D4111" s="6" t="s">
        <v>4143</v>
      </c>
      <c r="E4111" s="12" t="s">
        <v>4144</v>
      </c>
    </row>
    <row r="4112">
      <c r="A4112" s="4" t="s">
        <v>4155</v>
      </c>
      <c r="B4112" s="5" t="str">
        <f>IFERROR(__xludf.DUMMYFUNCTION("IF(A4112="""","""",INDEX(SPLIT(A4112,"" ""),COUNTA(SPLIT(A4112,"" ""))))"),"Giovanni")</f>
        <v>Giovanni</v>
      </c>
      <c r="C4112" s="6"/>
      <c r="D4112" s="6" t="s">
        <v>4143</v>
      </c>
      <c r="E4112" s="12" t="s">
        <v>4144</v>
      </c>
    </row>
    <row r="4113">
      <c r="A4113" s="4" t="s">
        <v>4156</v>
      </c>
      <c r="B4113" s="5" t="str">
        <f>IFERROR(__xludf.DUMMYFUNCTION("IF(A4113="""","""",INDEX(SPLIT(A4113,"" ""),COUNTA(SPLIT(A4113,"" ""))))"),"Piacentino")</f>
        <v>Piacentino</v>
      </c>
      <c r="C4113" s="6"/>
      <c r="D4113" s="6" t="s">
        <v>4143</v>
      </c>
      <c r="E4113" s="12" t="s">
        <v>4144</v>
      </c>
    </row>
    <row r="4114">
      <c r="A4114" s="4" t="s">
        <v>4157</v>
      </c>
      <c r="B4114" s="5" t="str">
        <f>IFERROR(__xludf.DUMMYFUNCTION("IF(A4114="""","""",INDEX(SPLIT(A4114,"" ""),COUNTA(SPLIT(A4114,"" ""))))"),"Cerignale")</f>
        <v>Cerignale</v>
      </c>
      <c r="C4114" s="6"/>
      <c r="D4114" s="6" t="s">
        <v>4143</v>
      </c>
      <c r="E4114" s="12" t="s">
        <v>4144</v>
      </c>
    </row>
    <row r="4115">
      <c r="A4115" s="4" t="s">
        <v>4158</v>
      </c>
      <c r="B4115" s="5" t="str">
        <f>IFERROR(__xludf.DUMMYFUNCTION("IF(A4115="""","""",INDEX(SPLIT(A4115,"" ""),COUNTA(SPLIT(A4115,"" ""))))"),"Coli")</f>
        <v>Coli</v>
      </c>
      <c r="C4115" s="6"/>
      <c r="D4115" s="6" t="s">
        <v>4143</v>
      </c>
      <c r="E4115" s="12" t="s">
        <v>4144</v>
      </c>
    </row>
    <row r="4116">
      <c r="A4116" s="4" t="s">
        <v>4159</v>
      </c>
      <c r="B4116" s="5" t="str">
        <f>IFERROR(__xludf.DUMMYFUNCTION("IF(A4116="""","""",INDEX(SPLIT(A4116,"" ""),COUNTA(SPLIT(A4116,"" ""))))"),"Brugnatella")</f>
        <v>Brugnatella</v>
      </c>
      <c r="C4116" s="6"/>
      <c r="D4116" s="6" t="s">
        <v>4143</v>
      </c>
      <c r="E4116" s="12" t="s">
        <v>4144</v>
      </c>
    </row>
    <row r="4117">
      <c r="A4117" s="4" t="s">
        <v>4160</v>
      </c>
      <c r="B4117" s="5" t="str">
        <f>IFERROR(__xludf.DUMMYFUNCTION("IF(A4117="""","""",INDEX(SPLIT(A4117,"" ""),COUNTA(SPLIT(A4117,"" ""))))"),"Cortemaggiore")</f>
        <v>Cortemaggiore</v>
      </c>
      <c r="C4117" s="6"/>
      <c r="D4117" s="6" t="s">
        <v>4143</v>
      </c>
      <c r="E4117" s="12" t="s">
        <v>4144</v>
      </c>
    </row>
    <row r="4118">
      <c r="A4118" s="4" t="s">
        <v>4161</v>
      </c>
      <c r="B4118" s="5" t="str">
        <f>IFERROR(__xludf.DUMMYFUNCTION("IF(A4118="""","""",INDEX(SPLIT(A4118,"" ""),COUNTA(SPLIT(A4118,"" ""))))"),"Farini")</f>
        <v>Farini</v>
      </c>
      <c r="C4118" s="6"/>
      <c r="D4118" s="6" t="s">
        <v>4143</v>
      </c>
      <c r="E4118" s="12" t="s">
        <v>4144</v>
      </c>
    </row>
    <row r="4119">
      <c r="A4119" s="4" t="s">
        <v>4162</v>
      </c>
      <c r="B4119" s="5" t="str">
        <f>IFERROR(__xludf.DUMMYFUNCTION("IF(A4119="""","""",INDEX(SPLIT(A4119,"" ""),COUNTA(SPLIT(A4119,"" ""))))"),"Ferriere")</f>
        <v>Ferriere</v>
      </c>
      <c r="C4119" s="6"/>
      <c r="D4119" s="6" t="s">
        <v>4143</v>
      </c>
      <c r="E4119" s="12" t="s">
        <v>4144</v>
      </c>
    </row>
    <row r="4120">
      <c r="A4120" s="4" t="s">
        <v>4163</v>
      </c>
      <c r="B4120" s="5" t="str">
        <f>IFERROR(__xludf.DUMMYFUNCTION("IF(A4120="""","""",INDEX(SPLIT(A4120,"" ""),COUNTA(SPLIT(A4120,"" ""))))"),"d'Arda")</f>
        <v>d'Arda</v>
      </c>
      <c r="C4120" s="6"/>
      <c r="D4120" s="6" t="s">
        <v>4143</v>
      </c>
      <c r="E4120" s="12" t="s">
        <v>4144</v>
      </c>
    </row>
    <row r="4121">
      <c r="A4121" s="4" t="s">
        <v>4164</v>
      </c>
      <c r="B4121" s="5" t="str">
        <f>IFERROR(__xludf.DUMMYFUNCTION("IF(A4121="""","""",INDEX(SPLIT(A4121,"" ""),COUNTA(SPLIT(A4121,"" ""))))"),"Gazzola")</f>
        <v>Gazzola</v>
      </c>
      <c r="C4121" s="6"/>
      <c r="D4121" s="6" t="s">
        <v>4143</v>
      </c>
      <c r="E4121" s="12" t="s">
        <v>4144</v>
      </c>
    </row>
    <row r="4122">
      <c r="A4122" s="4" t="s">
        <v>4165</v>
      </c>
      <c r="B4122" s="5" t="str">
        <f>IFERROR(__xludf.DUMMYFUNCTION("IF(A4122="""","""",INDEX(SPLIT(A4122,"" ""),COUNTA(SPLIT(A4122,"" ""))))"),"Gossolengo")</f>
        <v>Gossolengo</v>
      </c>
      <c r="C4122" s="6"/>
      <c r="D4122" s="6" t="s">
        <v>4143</v>
      </c>
      <c r="E4122" s="12" t="s">
        <v>4144</v>
      </c>
    </row>
    <row r="4123">
      <c r="A4123" s="4" t="s">
        <v>4166</v>
      </c>
      <c r="B4123" s="5" t="str">
        <f>IFERROR(__xludf.DUMMYFUNCTION("IF(A4123="""","""",INDEX(SPLIT(A4123,"" ""),COUNTA(SPLIT(A4123,"" ""))))"),"Trebbiense")</f>
        <v>Trebbiense</v>
      </c>
      <c r="C4123" s="6"/>
      <c r="D4123" s="6" t="s">
        <v>4143</v>
      </c>
      <c r="E4123" s="12" t="s">
        <v>4144</v>
      </c>
    </row>
    <row r="4124">
      <c r="A4124" s="4" t="s">
        <v>4167</v>
      </c>
      <c r="B4124" s="5" t="str">
        <f>IFERROR(__xludf.DUMMYFUNCTION("IF(A4124="""","""",INDEX(SPLIT(A4124,"" ""),COUNTA(SPLIT(A4124,"" ""))))"),"Gropparello")</f>
        <v>Gropparello</v>
      </c>
      <c r="C4124" s="6"/>
      <c r="D4124" s="6" t="s">
        <v>4143</v>
      </c>
      <c r="E4124" s="12" t="s">
        <v>4144</v>
      </c>
    </row>
    <row r="4125">
      <c r="A4125" s="4" t="s">
        <v>4168</v>
      </c>
      <c r="B4125" s="5" t="str">
        <f>IFERROR(__xludf.DUMMYFUNCTION("IF(A4125="""","""",INDEX(SPLIT(A4125,"" ""),COUNTA(SPLIT(A4125,"" ""))))"),"d'Arda")</f>
        <v>d'Arda</v>
      </c>
      <c r="C4125" s="6"/>
      <c r="D4125" s="6" t="s">
        <v>4143</v>
      </c>
      <c r="E4125" s="12" t="s">
        <v>4144</v>
      </c>
    </row>
    <row r="4126">
      <c r="A4126" s="4" t="s">
        <v>4169</v>
      </c>
      <c r="B4126" s="5" t="str">
        <f>IFERROR(__xludf.DUMMYFUNCTION("IF(A4126="""","""",INDEX(SPLIT(A4126,"" ""),COUNTA(SPLIT(A4126,"" ""))))"),"d'Ongina")</f>
        <v>d'Ongina</v>
      </c>
      <c r="C4126" s="6"/>
      <c r="D4126" s="6" t="s">
        <v>4143</v>
      </c>
      <c r="E4126" s="12" t="s">
        <v>4144</v>
      </c>
    </row>
    <row r="4127">
      <c r="A4127" s="4" t="s">
        <v>4170</v>
      </c>
      <c r="B4127" s="5" t="str">
        <f>IFERROR(__xludf.DUMMYFUNCTION("IF(A4127="""","""",INDEX(SPLIT(A4127,"" ""),COUNTA(SPLIT(A4127,"" ""))))"),"Morfasso")</f>
        <v>Morfasso</v>
      </c>
      <c r="C4127" s="6"/>
      <c r="D4127" s="6" t="s">
        <v>4143</v>
      </c>
      <c r="E4127" s="12" t="s">
        <v>4144</v>
      </c>
    </row>
    <row r="4128">
      <c r="A4128" s="4" t="s">
        <v>4171</v>
      </c>
      <c r="B4128" s="5" t="str">
        <f>IFERROR(__xludf.DUMMYFUNCTION("IF(A4128="""","""",INDEX(SPLIT(A4128,"" ""),COUNTA(SPLIT(A4128,"" ""))))"),"Ottone")</f>
        <v>Ottone</v>
      </c>
      <c r="C4128" s="6"/>
      <c r="D4128" s="6" t="s">
        <v>4143</v>
      </c>
      <c r="E4128" s="12" t="s">
        <v>4144</v>
      </c>
    </row>
    <row r="4129">
      <c r="A4129" s="4" t="s">
        <v>4143</v>
      </c>
      <c r="B4129" s="5" t="str">
        <f>IFERROR(__xludf.DUMMYFUNCTION("IF(A4129="""","""",INDEX(SPLIT(A4129,"" ""),COUNTA(SPLIT(A4129,"" ""))))"),"Piacenza")</f>
        <v>Piacenza</v>
      </c>
      <c r="C4129" s="6"/>
      <c r="D4129" s="6" t="s">
        <v>4143</v>
      </c>
      <c r="E4129" s="12" t="s">
        <v>4144</v>
      </c>
    </row>
    <row r="4130">
      <c r="A4130" s="4" t="s">
        <v>4172</v>
      </c>
      <c r="B4130" s="5" t="str">
        <f>IFERROR(__xludf.DUMMYFUNCTION("IF(A4130="""","""",INDEX(SPLIT(A4130,"" ""),COUNTA(SPLIT(A4130,"" ""))))"),"Tidone")</f>
        <v>Tidone</v>
      </c>
      <c r="C4130" s="6"/>
      <c r="D4130" s="6" t="s">
        <v>4143</v>
      </c>
      <c r="E4130" s="12" t="s">
        <v>4144</v>
      </c>
    </row>
    <row r="4131">
      <c r="A4131" s="4" t="s">
        <v>4173</v>
      </c>
      <c r="B4131" s="5" t="str">
        <f>IFERROR(__xludf.DUMMYFUNCTION("IF(A4131="""","""",INDEX(SPLIT(A4131,"" ""),COUNTA(SPLIT(A4131,"" ""))))"),"Piozzano")</f>
        <v>Piozzano</v>
      </c>
      <c r="C4131" s="6"/>
      <c r="D4131" s="6" t="s">
        <v>4143</v>
      </c>
      <c r="E4131" s="12" t="s">
        <v>4144</v>
      </c>
    </row>
    <row r="4132">
      <c r="A4132" s="4" t="s">
        <v>4174</v>
      </c>
      <c r="B4132" s="5" t="str">
        <f>IFERROR(__xludf.DUMMYFUNCTION("IF(A4132="""","""",INDEX(SPLIT(A4132,"" ""),COUNTA(SPLIT(A4132,"" ""))))"),"Podenzano")</f>
        <v>Podenzano</v>
      </c>
      <c r="C4132" s="6"/>
      <c r="D4132" s="6" t="s">
        <v>4143</v>
      </c>
      <c r="E4132" s="12" t="s">
        <v>4144</v>
      </c>
    </row>
    <row r="4133">
      <c r="A4133" s="4" t="s">
        <v>4175</v>
      </c>
      <c r="B4133" s="5" t="str">
        <f>IFERROR(__xludf.DUMMYFUNCTION("IF(A4133="""","""",INDEX(SPLIT(A4133,"" ""),COUNTA(SPLIT(A4133,"" ""))))"),"dell'Olio")</f>
        <v>dell'Olio</v>
      </c>
      <c r="C4133" s="6"/>
      <c r="D4133" s="6" t="s">
        <v>4143</v>
      </c>
      <c r="E4133" s="12" t="s">
        <v>4144</v>
      </c>
    </row>
    <row r="4134">
      <c r="A4134" s="4" t="s">
        <v>4176</v>
      </c>
      <c r="B4134" s="5" t="str">
        <f>IFERROR(__xludf.DUMMYFUNCTION("IF(A4134="""","""",INDEX(SPLIT(A4134,"" ""),COUNTA(SPLIT(A4134,"" ""))))"),"Pontenure")</f>
        <v>Pontenure</v>
      </c>
      <c r="C4134" s="6"/>
      <c r="D4134" s="6" t="s">
        <v>4143</v>
      </c>
      <c r="E4134" s="12" t="s">
        <v>4144</v>
      </c>
    </row>
    <row r="4135">
      <c r="A4135" s="4" t="s">
        <v>4177</v>
      </c>
      <c r="B4135" s="5" t="str">
        <f>IFERROR(__xludf.DUMMYFUNCTION("IF(A4135="""","""",INDEX(SPLIT(A4135,"" ""),COUNTA(SPLIT(A4135,"" ""))))"),"Rivergaro")</f>
        <v>Rivergaro</v>
      </c>
      <c r="C4135" s="6"/>
      <c r="D4135" s="6" t="s">
        <v>4143</v>
      </c>
      <c r="E4135" s="12" t="s">
        <v>4144</v>
      </c>
    </row>
    <row r="4136">
      <c r="A4136" s="4" t="s">
        <v>4178</v>
      </c>
      <c r="B4136" s="5" t="str">
        <f>IFERROR(__xludf.DUMMYFUNCTION("IF(A4136="""","""",INDEX(SPLIT(A4136,"" ""),COUNTA(SPLIT(A4136,"" ""))))"),"Rottofreno")</f>
        <v>Rottofreno</v>
      </c>
      <c r="C4136" s="6"/>
      <c r="D4136" s="6" t="s">
        <v>4143</v>
      </c>
      <c r="E4136" s="12" t="s">
        <v>4144</v>
      </c>
    </row>
    <row r="4137">
      <c r="A4137" s="4" t="s">
        <v>4179</v>
      </c>
      <c r="B4137" s="5" t="str">
        <f>IFERROR(__xludf.DUMMYFUNCTION("IF(A4137="""","""",INDEX(SPLIT(A4137,"" ""),COUNTA(SPLIT(A4137,"" ""))))"),"Piacentino")</f>
        <v>Piacentino</v>
      </c>
      <c r="C4137" s="6"/>
      <c r="D4137" s="6" t="s">
        <v>4143</v>
      </c>
      <c r="E4137" s="12" t="s">
        <v>4144</v>
      </c>
    </row>
    <row r="4138">
      <c r="A4138" s="4" t="s">
        <v>4180</v>
      </c>
      <c r="B4138" s="5" t="str">
        <f>IFERROR(__xludf.DUMMYFUNCTION("IF(A4138="""","""",INDEX(SPLIT(A4138,"" ""),COUNTA(SPLIT(A4138,"" ""))))"),"Cerro")</f>
        <v>Cerro</v>
      </c>
      <c r="C4138" s="6"/>
      <c r="D4138" s="6" t="s">
        <v>4143</v>
      </c>
      <c r="E4138" s="12" t="s">
        <v>4144</v>
      </c>
    </row>
    <row r="4139">
      <c r="A4139" s="4" t="s">
        <v>4181</v>
      </c>
      <c r="B4139" s="5" t="str">
        <f>IFERROR(__xludf.DUMMYFUNCTION("IF(A4139="""","""",INDEX(SPLIT(A4139,"" ""),COUNTA(SPLIT(A4139,"" ""))))"),"Sarmato")</f>
        <v>Sarmato</v>
      </c>
      <c r="C4139" s="6"/>
      <c r="D4139" s="6" t="s">
        <v>4143</v>
      </c>
      <c r="E4139" s="12" t="s">
        <v>4144</v>
      </c>
    </row>
    <row r="4140">
      <c r="A4140" s="4" t="s">
        <v>4182</v>
      </c>
      <c r="B4140" s="5" t="str">
        <f>IFERROR(__xludf.DUMMYFUNCTION("IF(A4140="""","""",INDEX(SPLIT(A4140,"" ""),COUNTA(SPLIT(A4140,"" ""))))"),"Travo")</f>
        <v>Travo</v>
      </c>
      <c r="C4140" s="6"/>
      <c r="D4140" s="6" t="s">
        <v>4143</v>
      </c>
      <c r="E4140" s="12" t="s">
        <v>4144</v>
      </c>
    </row>
    <row r="4141">
      <c r="A4141" s="4" t="s">
        <v>4183</v>
      </c>
      <c r="B4141" s="5" t="str">
        <f>IFERROR(__xludf.DUMMYFUNCTION("IF(A4141="""","""",INDEX(SPLIT(A4141,"" ""),COUNTA(SPLIT(A4141,"" ""))))"),"Vernasca")</f>
        <v>Vernasca</v>
      </c>
      <c r="C4141" s="6"/>
      <c r="D4141" s="6" t="s">
        <v>4143</v>
      </c>
      <c r="E4141" s="12" t="s">
        <v>4144</v>
      </c>
    </row>
    <row r="4142">
      <c r="A4142" s="4" t="s">
        <v>4184</v>
      </c>
      <c r="B4142" s="5" t="str">
        <f>IFERROR(__xludf.DUMMYFUNCTION("IF(A4142="""","""",INDEX(SPLIT(A4142,"" ""),COUNTA(SPLIT(A4142,"" ""))))"),"Vigolzone")</f>
        <v>Vigolzone</v>
      </c>
      <c r="C4142" s="6"/>
      <c r="D4142" s="6" t="s">
        <v>4143</v>
      </c>
      <c r="E4142" s="12" t="s">
        <v>4144</v>
      </c>
    </row>
    <row r="4143">
      <c r="A4143" s="4" t="s">
        <v>4185</v>
      </c>
      <c r="B4143" s="5" t="str">
        <f>IFERROR(__xludf.DUMMYFUNCTION("IF(A4143="""","""",INDEX(SPLIT(A4143,"" ""),COUNTA(SPLIT(A4143,"" ""))))"),"sull'Arda")</f>
        <v>sull'Arda</v>
      </c>
      <c r="C4143" s="6"/>
      <c r="D4143" s="6" t="s">
        <v>4143</v>
      </c>
      <c r="E4143" s="12" t="s">
        <v>4144</v>
      </c>
    </row>
    <row r="4144">
      <c r="A4144" s="4" t="s">
        <v>4186</v>
      </c>
      <c r="B4144" s="5" t="str">
        <f>IFERROR(__xludf.DUMMYFUNCTION("IF(A4144="""","""",INDEX(SPLIT(A4144,"" ""),COUNTA(SPLIT(A4144,"" ""))))"),"Zerba")</f>
        <v>Zerba</v>
      </c>
      <c r="C4144" s="6"/>
      <c r="D4144" s="6" t="s">
        <v>4143</v>
      </c>
      <c r="E4144" s="12" t="s">
        <v>4144</v>
      </c>
    </row>
    <row r="4145">
      <c r="A4145" s="4" t="s">
        <v>4187</v>
      </c>
      <c r="B4145" s="5" t="str">
        <f>IFERROR(__xludf.DUMMYFUNCTION("IF(A4145="""","""",INDEX(SPLIT(A4145,"" ""),COUNTA(SPLIT(A4145,"" ""))))"),"Piacentino")</f>
        <v>Piacentino</v>
      </c>
      <c r="C4145" s="6"/>
      <c r="D4145" s="6" t="s">
        <v>4143</v>
      </c>
      <c r="E4145" s="12" t="s">
        <v>4144</v>
      </c>
    </row>
    <row r="4146">
      <c r="A4146" s="4" t="s">
        <v>4188</v>
      </c>
      <c r="B4146" s="5" t="str">
        <f>IFERROR(__xludf.DUMMYFUNCTION("IF(A4146="""","""",INDEX(SPLIT(A4146,"" ""),COUNTA(SPLIT(A4146,"" ""))))"),"Tidone")</f>
        <v>Tidone</v>
      </c>
      <c r="C4146" s="6"/>
      <c r="D4146" s="6" t="s">
        <v>4143</v>
      </c>
      <c r="E4146" s="12" t="s">
        <v>4144</v>
      </c>
    </row>
    <row r="4147">
      <c r="A4147" s="4" t="s">
        <v>4189</v>
      </c>
      <c r="B4147" s="5" t="str">
        <f>IFERROR(__xludf.DUMMYFUNCTION("IF(A4147="""","""",INDEX(SPLIT(A4147,"" ""),COUNTA(SPLIT(A4147,"" ""))))"),"Albareto")</f>
        <v>Albareto</v>
      </c>
      <c r="C4147" s="6"/>
      <c r="D4147" s="6" t="s">
        <v>4190</v>
      </c>
      <c r="E4147" s="12" t="s">
        <v>4191</v>
      </c>
    </row>
    <row r="4148">
      <c r="A4148" s="4" t="s">
        <v>4192</v>
      </c>
      <c r="B4148" s="5" t="str">
        <f>IFERROR(__xludf.DUMMYFUNCTION("IF(A4148="""","""",INDEX(SPLIT(A4148,"" ""),COUNTA(SPLIT(A4148,"" ""))))"),"Bardi")</f>
        <v>Bardi</v>
      </c>
      <c r="C4148" s="6"/>
      <c r="D4148" s="6" t="s">
        <v>4190</v>
      </c>
      <c r="E4148" s="12" t="s">
        <v>4191</v>
      </c>
    </row>
    <row r="4149">
      <c r="A4149" s="4" t="s">
        <v>4193</v>
      </c>
      <c r="B4149" s="5" t="str">
        <f>IFERROR(__xludf.DUMMYFUNCTION("IF(A4149="""","""",INDEX(SPLIT(A4149,"" ""),COUNTA(SPLIT(A4149,"" ""))))"),"Bedonia")</f>
        <v>Bedonia</v>
      </c>
      <c r="C4149" s="6"/>
      <c r="D4149" s="6" t="s">
        <v>4190</v>
      </c>
      <c r="E4149" s="12" t="s">
        <v>4191</v>
      </c>
    </row>
    <row r="4150">
      <c r="A4150" s="4" t="s">
        <v>4194</v>
      </c>
      <c r="B4150" s="5" t="str">
        <f>IFERROR(__xludf.DUMMYFUNCTION("IF(A4150="""","""",INDEX(SPLIT(A4150,"" ""),COUNTA(SPLIT(A4150,"" ""))))"),"Berceto")</f>
        <v>Berceto</v>
      </c>
      <c r="C4150" s="6"/>
      <c r="D4150" s="6" t="s">
        <v>4190</v>
      </c>
      <c r="E4150" s="12" t="s">
        <v>4191</v>
      </c>
    </row>
    <row r="4151">
      <c r="A4151" s="4" t="s">
        <v>4195</v>
      </c>
      <c r="B4151" s="5" t="str">
        <f>IFERROR(__xludf.DUMMYFUNCTION("IF(A4151="""","""",INDEX(SPLIT(A4151,"" ""),COUNTA(SPLIT(A4151,"" ""))))"),"Bore")</f>
        <v>Bore</v>
      </c>
      <c r="C4151" s="6"/>
      <c r="D4151" s="6" t="s">
        <v>4190</v>
      </c>
      <c r="E4151" s="12" t="s">
        <v>4191</v>
      </c>
    </row>
    <row r="4152">
      <c r="A4152" s="4" t="s">
        <v>4196</v>
      </c>
      <c r="B4152" s="5" t="str">
        <f>IFERROR(__xludf.DUMMYFUNCTION("IF(A4152="""","""",INDEX(SPLIT(A4152,"" ""),COUNTA(SPLIT(A4152,"" ""))))"),"Taro")</f>
        <v>Taro</v>
      </c>
      <c r="C4152" s="6"/>
      <c r="D4152" s="6" t="s">
        <v>4190</v>
      </c>
      <c r="E4152" s="12" t="s">
        <v>4191</v>
      </c>
    </row>
    <row r="4153">
      <c r="A4153" s="4" t="s">
        <v>4197</v>
      </c>
      <c r="B4153" s="5" t="str">
        <f>IFERROR(__xludf.DUMMYFUNCTION("IF(A4153="""","""",INDEX(SPLIT(A4153,"" ""),COUNTA(SPLIT(A4153,"" ""))))"),"Busseto")</f>
        <v>Busseto</v>
      </c>
      <c r="C4153" s="6"/>
      <c r="D4153" s="6" t="s">
        <v>4190</v>
      </c>
      <c r="E4153" s="12" t="s">
        <v>4191</v>
      </c>
    </row>
    <row r="4154">
      <c r="A4154" s="4" t="s">
        <v>4198</v>
      </c>
      <c r="B4154" s="5" t="str">
        <f>IFERROR(__xludf.DUMMYFUNCTION("IF(A4154="""","""",INDEX(SPLIT(A4154,"" ""),COUNTA(SPLIT(A4154,"" ""))))"),"Calestano")</f>
        <v>Calestano</v>
      </c>
      <c r="C4154" s="6"/>
      <c r="D4154" s="6" t="s">
        <v>4190</v>
      </c>
      <c r="E4154" s="12" t="s">
        <v>4191</v>
      </c>
    </row>
    <row r="4155">
      <c r="A4155" s="4" t="s">
        <v>4199</v>
      </c>
      <c r="B4155" s="5" t="str">
        <f>IFERROR(__xludf.DUMMYFUNCTION("IF(A4155="""","""",INDEX(SPLIT(A4155,"" ""),COUNTA(SPLIT(A4155,"" ""))))"),"Collecchio")</f>
        <v>Collecchio</v>
      </c>
      <c r="C4155" s="6"/>
      <c r="D4155" s="6" t="s">
        <v>4190</v>
      </c>
      <c r="E4155" s="12" t="s">
        <v>4191</v>
      </c>
    </row>
    <row r="4156">
      <c r="A4156" s="4" t="s">
        <v>4200</v>
      </c>
      <c r="B4156" s="5" t="str">
        <f>IFERROR(__xludf.DUMMYFUNCTION("IF(A4156="""","""",INDEX(SPLIT(A4156,"" ""),COUNTA(SPLIT(A4156,"" ""))))"),"Colorno")</f>
        <v>Colorno</v>
      </c>
      <c r="C4156" s="6"/>
      <c r="D4156" s="6" t="s">
        <v>4190</v>
      </c>
      <c r="E4156" s="12" t="s">
        <v>4191</v>
      </c>
    </row>
    <row r="4157">
      <c r="A4157" s="4" t="s">
        <v>4201</v>
      </c>
      <c r="B4157" s="5" t="str">
        <f>IFERROR(__xludf.DUMMYFUNCTION("IF(A4157="""","""",INDEX(SPLIT(A4157,"" ""),COUNTA(SPLIT(A4157,"" ""))))"),"Compiano")</f>
        <v>Compiano</v>
      </c>
      <c r="C4157" s="6"/>
      <c r="D4157" s="6" t="s">
        <v>4190</v>
      </c>
      <c r="E4157" s="12" t="s">
        <v>4191</v>
      </c>
    </row>
    <row r="4158">
      <c r="A4158" s="4" t="s">
        <v>4202</v>
      </c>
      <c r="B4158" s="5" t="str">
        <f>IFERROR(__xludf.DUMMYFUNCTION("IF(A4158="""","""",INDEX(SPLIT(A4158,"" ""),COUNTA(SPLIT(A4158,"" ""))))"),"Corniglio")</f>
        <v>Corniglio</v>
      </c>
      <c r="C4158" s="6"/>
      <c r="D4158" s="6" t="s">
        <v>4190</v>
      </c>
      <c r="E4158" s="12" t="s">
        <v>4191</v>
      </c>
    </row>
    <row r="4159">
      <c r="A4159" s="4" t="s">
        <v>4203</v>
      </c>
      <c r="B4159" s="5" t="str">
        <f>IFERROR(__xludf.DUMMYFUNCTION("IF(A4159="""","""",INDEX(SPLIT(A4159,"" ""),COUNTA(SPLIT(A4159,"" ""))))"),"Felino")</f>
        <v>Felino</v>
      </c>
      <c r="C4159" s="6"/>
      <c r="D4159" s="6" t="s">
        <v>4190</v>
      </c>
      <c r="E4159" s="12" t="s">
        <v>4191</v>
      </c>
    </row>
    <row r="4160">
      <c r="A4160" s="4" t="s">
        <v>4204</v>
      </c>
      <c r="B4160" s="5" t="str">
        <f>IFERROR(__xludf.DUMMYFUNCTION("IF(A4160="""","""",INDEX(SPLIT(A4160,"" ""),COUNTA(SPLIT(A4160,"" ""))))"),"Fidenza")</f>
        <v>Fidenza</v>
      </c>
      <c r="C4160" s="6"/>
      <c r="D4160" s="6" t="s">
        <v>4190</v>
      </c>
      <c r="E4160" s="12" t="s">
        <v>4191</v>
      </c>
    </row>
    <row r="4161">
      <c r="A4161" s="4" t="s">
        <v>4205</v>
      </c>
      <c r="B4161" s="5" t="str">
        <f>IFERROR(__xludf.DUMMYFUNCTION("IF(A4161="""","""",INDEX(SPLIT(A4161,"" ""),COUNTA(SPLIT(A4161,"" ""))))"),"Fontanellato")</f>
        <v>Fontanellato</v>
      </c>
      <c r="C4161" s="6"/>
      <c r="D4161" s="6" t="s">
        <v>4190</v>
      </c>
      <c r="E4161" s="12" t="s">
        <v>4191</v>
      </c>
    </row>
    <row r="4162">
      <c r="A4162" s="4" t="s">
        <v>4206</v>
      </c>
      <c r="B4162" s="5" t="str">
        <f>IFERROR(__xludf.DUMMYFUNCTION("IF(A4162="""","""",INDEX(SPLIT(A4162,"" ""),COUNTA(SPLIT(A4162,"" ""))))"),"Fontevivo")</f>
        <v>Fontevivo</v>
      </c>
      <c r="C4162" s="6"/>
      <c r="D4162" s="6" t="s">
        <v>4190</v>
      </c>
      <c r="E4162" s="12" t="s">
        <v>4191</v>
      </c>
    </row>
    <row r="4163">
      <c r="A4163" s="4" t="s">
        <v>4207</v>
      </c>
      <c r="B4163" s="5" t="str">
        <f>IFERROR(__xludf.DUMMYFUNCTION("IF(A4163="""","""",INDEX(SPLIT(A4163,"" ""),COUNTA(SPLIT(A4163,"" ""))))"),"Taro")</f>
        <v>Taro</v>
      </c>
      <c r="C4163" s="6"/>
      <c r="D4163" s="6" t="s">
        <v>4190</v>
      </c>
      <c r="E4163" s="12" t="s">
        <v>4191</v>
      </c>
    </row>
    <row r="4164">
      <c r="A4164" s="4" t="s">
        <v>4208</v>
      </c>
      <c r="B4164" s="5" t="str">
        <f>IFERROR(__xludf.DUMMYFUNCTION("IF(A4164="""","""",INDEX(SPLIT(A4164,"" ""),COUNTA(SPLIT(A4164,"" ""))))"),"Langhirano")</f>
        <v>Langhirano</v>
      </c>
      <c r="C4164" s="6"/>
      <c r="D4164" s="6" t="s">
        <v>4190</v>
      </c>
      <c r="E4164" s="12" t="s">
        <v>4191</v>
      </c>
    </row>
    <row r="4165">
      <c r="A4165" s="4" t="s">
        <v>4209</v>
      </c>
      <c r="B4165" s="5" t="str">
        <f>IFERROR(__xludf.DUMMYFUNCTION("IF(A4165="""","""",INDEX(SPLIT(A4165,"" ""),COUNTA(SPLIT(A4165,"" ""))))"),"Bagni")</f>
        <v>Bagni</v>
      </c>
      <c r="C4165" s="6"/>
      <c r="D4165" s="6" t="s">
        <v>4190</v>
      </c>
      <c r="E4165" s="12" t="s">
        <v>4191</v>
      </c>
    </row>
    <row r="4166">
      <c r="A4166" s="4" t="s">
        <v>4210</v>
      </c>
      <c r="B4166" s="5" t="str">
        <f>IFERROR(__xludf.DUMMYFUNCTION("IF(A4166="""","""",INDEX(SPLIT(A4166,"" ""),COUNTA(SPLIT(A4166,"" ""))))"),"Medesano")</f>
        <v>Medesano</v>
      </c>
      <c r="C4166" s="6"/>
      <c r="D4166" s="6" t="s">
        <v>4190</v>
      </c>
      <c r="E4166" s="12" t="s">
        <v>4191</v>
      </c>
    </row>
    <row r="4167">
      <c r="A4167" s="4" t="s">
        <v>4211</v>
      </c>
      <c r="B4167" s="5" t="str">
        <f>IFERROR(__xludf.DUMMYFUNCTION("IF(A4167="""","""",INDEX(SPLIT(A4167,"" ""),COUNTA(SPLIT(A4167,"" ""))))"),"Mezzani")</f>
        <v>Mezzani</v>
      </c>
      <c r="C4167" s="6"/>
      <c r="D4167" s="6" t="s">
        <v>4190</v>
      </c>
      <c r="E4167" s="12" t="s">
        <v>4191</v>
      </c>
    </row>
    <row r="4168">
      <c r="A4168" s="4" t="s">
        <v>4212</v>
      </c>
      <c r="B4168" s="5" t="str">
        <f>IFERROR(__xludf.DUMMYFUNCTION("IF(A4168="""","""",INDEX(SPLIT(A4168,"" ""),COUNTA(SPLIT(A4168,"" ""))))"),"Corti")</f>
        <v>Corti</v>
      </c>
      <c r="C4168" s="6"/>
      <c r="D4168" s="6" t="s">
        <v>4190</v>
      </c>
      <c r="E4168" s="12" t="s">
        <v>4191</v>
      </c>
    </row>
    <row r="4169">
      <c r="A4169" s="4" t="s">
        <v>4213</v>
      </c>
      <c r="B4169" s="5" t="str">
        <f>IFERROR(__xludf.DUMMYFUNCTION("IF(A4169="""","""",INDEX(SPLIT(A4169,"" ""),COUNTA(SPLIT(A4169,"" ""))))"),"Montechiarugolo")</f>
        <v>Montechiarugolo</v>
      </c>
      <c r="C4169" s="6"/>
      <c r="D4169" s="6" t="s">
        <v>4190</v>
      </c>
      <c r="E4169" s="12" t="s">
        <v>4191</v>
      </c>
    </row>
    <row r="4170">
      <c r="A4170" s="4" t="s">
        <v>4214</v>
      </c>
      <c r="B4170" s="5" t="str">
        <f>IFERROR(__xludf.DUMMYFUNCTION("IF(A4170="""","""",INDEX(SPLIT(A4170,"" ""),COUNTA(SPLIT(A4170,"" ""))))"),"Arduini")</f>
        <v>Arduini</v>
      </c>
      <c r="C4170" s="6"/>
      <c r="D4170" s="6" t="s">
        <v>4190</v>
      </c>
      <c r="E4170" s="12" t="s">
        <v>4191</v>
      </c>
    </row>
    <row r="4171">
      <c r="A4171" s="4" t="s">
        <v>4215</v>
      </c>
      <c r="B4171" s="5" t="str">
        <f>IFERROR(__xludf.DUMMYFUNCTION("IF(A4171="""","""",INDEX(SPLIT(A4171,"" ""),COUNTA(SPLIT(A4171,"" ""))))"),"Noceto")</f>
        <v>Noceto</v>
      </c>
      <c r="C4171" s="6"/>
      <c r="D4171" s="6" t="s">
        <v>4190</v>
      </c>
      <c r="E4171" s="12" t="s">
        <v>4191</v>
      </c>
    </row>
    <row r="4172">
      <c r="A4172" s="4" t="s">
        <v>4216</v>
      </c>
      <c r="B4172" s="5" t="str">
        <f>IFERROR(__xludf.DUMMYFUNCTION("IF(A4172="""","""",INDEX(SPLIT(A4172,"" ""),COUNTA(SPLIT(A4172,"" ""))))"),"Palanzano")</f>
        <v>Palanzano</v>
      </c>
      <c r="C4172" s="6"/>
      <c r="D4172" s="6" t="s">
        <v>4190</v>
      </c>
      <c r="E4172" s="12" t="s">
        <v>4191</v>
      </c>
    </row>
    <row r="4173">
      <c r="A4173" s="4" t="s">
        <v>4190</v>
      </c>
      <c r="B4173" s="5" t="str">
        <f>IFERROR(__xludf.DUMMYFUNCTION("IF(A4173="""","""",INDEX(SPLIT(A4173,"" ""),COUNTA(SPLIT(A4173,"" ""))))"),"Parma")</f>
        <v>Parma</v>
      </c>
      <c r="C4173" s="6"/>
      <c r="D4173" s="6" t="s">
        <v>4190</v>
      </c>
      <c r="E4173" s="12" t="s">
        <v>4191</v>
      </c>
    </row>
    <row r="4174">
      <c r="A4174" s="4" t="s">
        <v>4217</v>
      </c>
      <c r="B4174" s="5" t="str">
        <f>IFERROR(__xludf.DUMMYFUNCTION("IF(A4174="""","""",INDEX(SPLIT(A4174,"" ""),COUNTA(SPLIT(A4174,"" ""))))"),"Parmense")</f>
        <v>Parmense</v>
      </c>
      <c r="C4174" s="6"/>
      <c r="D4174" s="6" t="s">
        <v>4190</v>
      </c>
      <c r="E4174" s="12" t="s">
        <v>4191</v>
      </c>
    </row>
    <row r="4175">
      <c r="A4175" s="4" t="s">
        <v>4218</v>
      </c>
      <c r="B4175" s="5" t="str">
        <f>IFERROR(__xludf.DUMMYFUNCTION("IF(A4175="""","""",INDEX(SPLIT(A4175,"" ""),COUNTA(SPLIT(A4175,"" ""))))"),"Roccabianca")</f>
        <v>Roccabianca</v>
      </c>
      <c r="C4175" s="6"/>
      <c r="D4175" s="6" t="s">
        <v>4190</v>
      </c>
      <c r="E4175" s="12" t="s">
        <v>4191</v>
      </c>
    </row>
    <row r="4176">
      <c r="A4176" s="4" t="s">
        <v>4219</v>
      </c>
      <c r="B4176" s="5" t="str">
        <f>IFERROR(__xludf.DUMMYFUNCTION("IF(A4176="""","""",INDEX(SPLIT(A4176,"" ""),COUNTA(SPLIT(A4176,"" ""))))"),"Baganza")</f>
        <v>Baganza</v>
      </c>
      <c r="C4176" s="6"/>
      <c r="D4176" s="6" t="s">
        <v>4190</v>
      </c>
      <c r="E4176" s="12" t="s">
        <v>4191</v>
      </c>
    </row>
    <row r="4177">
      <c r="A4177" s="4" t="s">
        <v>4220</v>
      </c>
      <c r="B4177" s="5" t="str">
        <f>IFERROR(__xludf.DUMMYFUNCTION("IF(A4177="""","""",INDEX(SPLIT(A4177,"" ""),COUNTA(SPLIT(A4177,"" ""))))"),"Terme")</f>
        <v>Terme</v>
      </c>
      <c r="C4177" s="6"/>
      <c r="D4177" s="6" t="s">
        <v>4190</v>
      </c>
      <c r="E4177" s="12" t="s">
        <v>4191</v>
      </c>
    </row>
    <row r="4178">
      <c r="A4178" s="4" t="s">
        <v>4221</v>
      </c>
      <c r="B4178" s="5" t="str">
        <f>IFERROR(__xludf.DUMMYFUNCTION("IF(A4178="""","""",INDEX(SPLIT(A4178,"" ""),COUNTA(SPLIT(A4178,"" ""))))"),"Parmense")</f>
        <v>Parmense</v>
      </c>
      <c r="C4178" s="6"/>
      <c r="D4178" s="6" t="s">
        <v>4190</v>
      </c>
      <c r="E4178" s="12" t="s">
        <v>4191</v>
      </c>
    </row>
    <row r="4179">
      <c r="A4179" s="4" t="s">
        <v>4222</v>
      </c>
      <c r="B4179" s="5" t="str">
        <f>IFERROR(__xludf.DUMMYFUNCTION("IF(A4179="""","""",INDEX(SPLIT(A4179,"" ""),COUNTA(SPLIT(A4179,"" ""))))"),"Solignano")</f>
        <v>Solignano</v>
      </c>
      <c r="C4179" s="6"/>
      <c r="D4179" s="6" t="s">
        <v>4190</v>
      </c>
      <c r="E4179" s="12" t="s">
        <v>4191</v>
      </c>
    </row>
    <row r="4180">
      <c r="A4180" s="4" t="s">
        <v>4223</v>
      </c>
      <c r="B4180" s="5" t="str">
        <f>IFERROR(__xludf.DUMMYFUNCTION("IF(A4180="""","""",INDEX(SPLIT(A4180,"" ""),COUNTA(SPLIT(A4180,"" ""))))"),"Soragna")</f>
        <v>Soragna</v>
      </c>
      <c r="C4180" s="6"/>
      <c r="D4180" s="6" t="s">
        <v>4190</v>
      </c>
      <c r="E4180" s="12" t="s">
        <v>4191</v>
      </c>
    </row>
    <row r="4181">
      <c r="A4181" s="4" t="s">
        <v>4224</v>
      </c>
      <c r="B4181" s="5" t="str">
        <f>IFERROR(__xludf.DUMMYFUNCTION("IF(A4181="""","""",INDEX(SPLIT(A4181,"" ""),COUNTA(SPLIT(A4181,"" ""))))"),"Sorbolo")</f>
        <v>Sorbolo</v>
      </c>
      <c r="C4181" s="6"/>
      <c r="D4181" s="6" t="s">
        <v>4190</v>
      </c>
      <c r="E4181" s="12" t="s">
        <v>4191</v>
      </c>
    </row>
    <row r="4182">
      <c r="A4182" s="4" t="s">
        <v>4225</v>
      </c>
      <c r="B4182" s="5" t="str">
        <f>IFERROR(__xludf.DUMMYFUNCTION("IF(A4182="""","""",INDEX(SPLIT(A4182,"" ""),COUNTA(SPLIT(A4182,"" ""))))"),"Terenzo")</f>
        <v>Terenzo</v>
      </c>
      <c r="C4182" s="6"/>
      <c r="D4182" s="6" t="s">
        <v>4190</v>
      </c>
      <c r="E4182" s="12" t="s">
        <v>4191</v>
      </c>
    </row>
    <row r="4183">
      <c r="A4183" s="4" t="s">
        <v>4226</v>
      </c>
      <c r="B4183" s="5" t="str">
        <f>IFERROR(__xludf.DUMMYFUNCTION("IF(A4183="""","""",INDEX(SPLIT(A4183,"" ""),COUNTA(SPLIT(A4183,"" ""))))"),"Parma")</f>
        <v>Parma</v>
      </c>
      <c r="C4183" s="6"/>
      <c r="D4183" s="6" t="s">
        <v>4190</v>
      </c>
      <c r="E4183" s="12" t="s">
        <v>4191</v>
      </c>
    </row>
    <row r="4184">
      <c r="A4184" s="4" t="s">
        <v>4227</v>
      </c>
      <c r="B4184" s="5" t="str">
        <f>IFERROR(__xludf.DUMMYFUNCTION("IF(A4184="""","""",INDEX(SPLIT(A4184,"" ""),COUNTA(SPLIT(A4184,"" ""))))"),"Tornolo")</f>
        <v>Tornolo</v>
      </c>
      <c r="C4184" s="6"/>
      <c r="D4184" s="6" t="s">
        <v>4190</v>
      </c>
      <c r="E4184" s="12" t="s">
        <v>4191</v>
      </c>
    </row>
    <row r="4185">
      <c r="A4185" s="4" t="s">
        <v>4228</v>
      </c>
      <c r="B4185" s="5" t="str">
        <f>IFERROR(__xludf.DUMMYFUNCTION("IF(A4185="""","""",INDEX(SPLIT(A4185,"" ""),COUNTA(SPLIT(A4185,"" ""))))"),"Torrile")</f>
        <v>Torrile</v>
      </c>
      <c r="C4185" s="6"/>
      <c r="D4185" s="6" t="s">
        <v>4190</v>
      </c>
      <c r="E4185" s="12" t="s">
        <v>4191</v>
      </c>
    </row>
    <row r="4186">
      <c r="A4186" s="4" t="s">
        <v>4229</v>
      </c>
      <c r="B4186" s="5" t="str">
        <f>IFERROR(__xludf.DUMMYFUNCTION("IF(A4186="""","""",INDEX(SPLIT(A4186,"" ""),COUNTA(SPLIT(A4186,"" ""))))"),"Traversetolo")</f>
        <v>Traversetolo</v>
      </c>
      <c r="C4186" s="6"/>
      <c r="D4186" s="6" t="s">
        <v>4190</v>
      </c>
      <c r="E4186" s="12" t="s">
        <v>4191</v>
      </c>
    </row>
    <row r="4187">
      <c r="A4187" s="4" t="s">
        <v>4230</v>
      </c>
      <c r="B4187" s="5" t="str">
        <f>IFERROR(__xludf.DUMMYFUNCTION("IF(A4187="""","""",INDEX(SPLIT(A4187,"" ""),COUNTA(SPLIT(A4187,"" ""))))"),"Valmozzola")</f>
        <v>Valmozzola</v>
      </c>
      <c r="C4187" s="6"/>
      <c r="D4187" s="6" t="s">
        <v>4190</v>
      </c>
      <c r="E4187" s="12" t="s">
        <v>4191</v>
      </c>
    </row>
    <row r="4188">
      <c r="A4188" s="4" t="s">
        <v>4231</v>
      </c>
      <c r="B4188" s="5" t="str">
        <f>IFERROR(__xludf.DUMMYFUNCTION("IF(A4188="""","""",INDEX(SPLIT(A4188,"" ""),COUNTA(SPLIT(A4188,"" ""))))"),"Melegari")</f>
        <v>Melegari</v>
      </c>
      <c r="C4188" s="6"/>
      <c r="D4188" s="6" t="s">
        <v>4190</v>
      </c>
      <c r="E4188" s="12" t="s">
        <v>4191</v>
      </c>
    </row>
    <row r="4189">
      <c r="A4189" s="4" t="s">
        <v>4232</v>
      </c>
      <c r="B4189" s="5" t="str">
        <f>IFERROR(__xludf.DUMMYFUNCTION("IF(A4189="""","""",INDEX(SPLIT(A4189,"" ""),COUNTA(SPLIT(A4189,"" ""))))"),"Varsi")</f>
        <v>Varsi</v>
      </c>
      <c r="C4189" s="6"/>
      <c r="D4189" s="6" t="s">
        <v>4190</v>
      </c>
      <c r="E4189" s="12" t="s">
        <v>4191</v>
      </c>
    </row>
    <row r="4190">
      <c r="A4190" s="4" t="s">
        <v>4233</v>
      </c>
      <c r="B4190" s="5" t="str">
        <f>IFERROR(__xludf.DUMMYFUNCTION("IF(A4190="""","""",INDEX(SPLIT(A4190,"" ""),COUNTA(SPLIT(A4190,"" ""))))"),"Trecasali")</f>
        <v>Trecasali</v>
      </c>
      <c r="C4190" s="6"/>
      <c r="D4190" s="6" t="s">
        <v>4190</v>
      </c>
      <c r="E4190" s="12" t="s">
        <v>4191</v>
      </c>
    </row>
    <row r="4191">
      <c r="A4191" s="4" t="s">
        <v>4234</v>
      </c>
      <c r="B4191" s="5" t="str">
        <f>IFERROR(__xludf.DUMMYFUNCTION("IF(A4191="""","""",INDEX(SPLIT(A4191,"" ""),COUNTA(SPLIT(A4191,"" ""))))"),"Zibello")</f>
        <v>Zibello</v>
      </c>
      <c r="C4191" s="6"/>
      <c r="D4191" s="6" t="s">
        <v>4190</v>
      </c>
      <c r="E4191" s="12" t="s">
        <v>4191</v>
      </c>
    </row>
    <row r="4192">
      <c r="A4192" s="4" t="s">
        <v>4235</v>
      </c>
      <c r="B4192" s="5" t="str">
        <f>IFERROR(__xludf.DUMMYFUNCTION("IF(A4192="""","""",INDEX(SPLIT(A4192,"" ""),COUNTA(SPLIT(A4192,"" ""))))"),"Albinea")</f>
        <v>Albinea</v>
      </c>
      <c r="C4192" s="6"/>
      <c r="D4192" s="6" t="s">
        <v>4236</v>
      </c>
      <c r="E4192" s="12" t="s">
        <v>4237</v>
      </c>
    </row>
    <row r="4193">
      <c r="A4193" s="4" t="s">
        <v>4238</v>
      </c>
      <c r="B4193" s="5" t="str">
        <f>IFERROR(__xludf.DUMMYFUNCTION("IF(A4193="""","""",INDEX(SPLIT(A4193,"" ""),COUNTA(SPLIT(A4193,"" ""))))"),"Piano")</f>
        <v>Piano</v>
      </c>
      <c r="C4193" s="6"/>
      <c r="D4193" s="6" t="s">
        <v>4236</v>
      </c>
      <c r="E4193" s="12" t="s">
        <v>4237</v>
      </c>
    </row>
    <row r="4194">
      <c r="A4194" s="4" t="s">
        <v>4239</v>
      </c>
      <c r="B4194" s="5" t="str">
        <f>IFERROR(__xludf.DUMMYFUNCTION("IF(A4194="""","""",INDEX(SPLIT(A4194,"" ""),COUNTA(SPLIT(A4194,"" ""))))"),"Baiso")</f>
        <v>Baiso</v>
      </c>
      <c r="C4194" s="6"/>
      <c r="D4194" s="6" t="s">
        <v>4236</v>
      </c>
      <c r="E4194" s="12" t="s">
        <v>4237</v>
      </c>
    </row>
    <row r="4195">
      <c r="A4195" s="4" t="s">
        <v>4240</v>
      </c>
      <c r="B4195" s="5" t="str">
        <f>IFERROR(__xludf.DUMMYFUNCTION("IF(A4195="""","""",INDEX(SPLIT(A4195,"" ""),COUNTA(SPLIT(A4195,"" ""))))"),"Bibbiano")</f>
        <v>Bibbiano</v>
      </c>
      <c r="C4195" s="6"/>
      <c r="D4195" s="6" t="s">
        <v>4236</v>
      </c>
      <c r="E4195" s="12" t="s">
        <v>4237</v>
      </c>
    </row>
    <row r="4196">
      <c r="A4196" s="4" t="s">
        <v>4241</v>
      </c>
      <c r="B4196" s="5" t="str">
        <f>IFERROR(__xludf.DUMMYFUNCTION("IF(A4196="""","""",INDEX(SPLIT(A4196,"" ""),COUNTA(SPLIT(A4196,"" ""))))"),"Boretto")</f>
        <v>Boretto</v>
      </c>
      <c r="C4196" s="6"/>
      <c r="D4196" s="6" t="s">
        <v>4236</v>
      </c>
      <c r="E4196" s="12" t="s">
        <v>4237</v>
      </c>
    </row>
    <row r="4197">
      <c r="A4197" s="4" t="s">
        <v>4242</v>
      </c>
      <c r="B4197" s="5" t="str">
        <f>IFERROR(__xludf.DUMMYFUNCTION("IF(A4197="""","""",INDEX(SPLIT(A4197,"" ""),COUNTA(SPLIT(A4197,"" ""))))"),"Brescello")</f>
        <v>Brescello</v>
      </c>
      <c r="C4197" s="6"/>
      <c r="D4197" s="6" t="s">
        <v>4236</v>
      </c>
      <c r="E4197" s="12" t="s">
        <v>4237</v>
      </c>
    </row>
    <row r="4198">
      <c r="A4198" s="4" t="s">
        <v>4243</v>
      </c>
      <c r="B4198" s="5" t="str">
        <f>IFERROR(__xludf.DUMMYFUNCTION("IF(A4198="""","""",INDEX(SPLIT(A4198,"" ""),COUNTA(SPLIT(A4198,"" ""))))"),"Sopra")</f>
        <v>Sopra</v>
      </c>
      <c r="C4198" s="6"/>
      <c r="D4198" s="6" t="s">
        <v>4236</v>
      </c>
      <c r="E4198" s="12" t="s">
        <v>4237</v>
      </c>
    </row>
    <row r="4199">
      <c r="A4199" s="4" t="s">
        <v>4244</v>
      </c>
      <c r="B4199" s="5" t="str">
        <f>IFERROR(__xludf.DUMMYFUNCTION("IF(A4199="""","""",INDEX(SPLIT(A4199,"" ""),COUNTA(SPLIT(A4199,"" ""))))"),"Emilia")</f>
        <v>Emilia</v>
      </c>
      <c r="C4199" s="6"/>
      <c r="D4199" s="6" t="s">
        <v>4236</v>
      </c>
      <c r="E4199" s="12" t="s">
        <v>4237</v>
      </c>
    </row>
    <row r="4200">
      <c r="A4200" s="4" t="s">
        <v>4245</v>
      </c>
      <c r="B4200" s="5" t="str">
        <f>IFERROR(__xludf.DUMMYFUNCTION("IF(A4200="""","""",INDEX(SPLIT(A4200,"" ""),COUNTA(SPLIT(A4200,"" ""))))"),"Campegine")</f>
        <v>Campegine</v>
      </c>
      <c r="C4200" s="6"/>
      <c r="D4200" s="6" t="s">
        <v>4236</v>
      </c>
      <c r="E4200" s="12" t="s">
        <v>4237</v>
      </c>
    </row>
    <row r="4201">
      <c r="A4201" s="4" t="s">
        <v>4246</v>
      </c>
      <c r="B4201" s="5" t="str">
        <f>IFERROR(__xludf.DUMMYFUNCTION("IF(A4201="""","""",INDEX(SPLIT(A4201,"" ""),COUNTA(SPLIT(A4201,"" ""))))"),"Carpineti")</f>
        <v>Carpineti</v>
      </c>
      <c r="C4201" s="6"/>
      <c r="D4201" s="6" t="s">
        <v>4236</v>
      </c>
      <c r="E4201" s="12" t="s">
        <v>4237</v>
      </c>
    </row>
    <row r="4202">
      <c r="A4202" s="4" t="s">
        <v>4247</v>
      </c>
      <c r="B4202" s="5" t="str">
        <f>IFERROR(__xludf.DUMMYFUNCTION("IF(A4202="""","""",INDEX(SPLIT(A4202,"" ""),COUNTA(SPLIT(A4202,"" ""))))"),"Casalgrande")</f>
        <v>Casalgrande</v>
      </c>
      <c r="C4202" s="6"/>
      <c r="D4202" s="6" t="s">
        <v>4236</v>
      </c>
      <c r="E4202" s="12" t="s">
        <v>4237</v>
      </c>
    </row>
    <row r="4203">
      <c r="A4203" s="4" t="s">
        <v>4248</v>
      </c>
      <c r="B4203" s="5" t="str">
        <f>IFERROR(__xludf.DUMMYFUNCTION("IF(A4203="""","""",INDEX(SPLIT(A4203,"" ""),COUNTA(SPLIT(A4203,"" ""))))"),"Casina")</f>
        <v>Casina</v>
      </c>
      <c r="C4203" s="6"/>
      <c r="D4203" s="6" t="s">
        <v>4236</v>
      </c>
      <c r="E4203" s="12" t="s">
        <v>4237</v>
      </c>
    </row>
    <row r="4204">
      <c r="A4204" s="4" t="s">
        <v>4249</v>
      </c>
      <c r="B4204" s="5" t="str">
        <f>IFERROR(__xludf.DUMMYFUNCTION("IF(A4204="""","""",INDEX(SPLIT(A4204,"" ""),COUNTA(SPLIT(A4204,"" ""))))"),"Castellarano")</f>
        <v>Castellarano</v>
      </c>
      <c r="C4204" s="6"/>
      <c r="D4204" s="6" t="s">
        <v>4236</v>
      </c>
      <c r="E4204" s="12" t="s">
        <v>4237</v>
      </c>
    </row>
    <row r="4205">
      <c r="A4205" s="4" t="s">
        <v>4250</v>
      </c>
      <c r="B4205" s="5" t="str">
        <f>IFERROR(__xludf.DUMMYFUNCTION("IF(A4205="""","""",INDEX(SPLIT(A4205,"" ""),COUNTA(SPLIT(A4205,"" ""))))"),"Sotto")</f>
        <v>Sotto</v>
      </c>
      <c r="C4205" s="6"/>
      <c r="D4205" s="6" t="s">
        <v>4236</v>
      </c>
      <c r="E4205" s="12" t="s">
        <v>4237</v>
      </c>
    </row>
    <row r="4206">
      <c r="A4206" s="4" t="s">
        <v>4251</v>
      </c>
      <c r="B4206" s="5" t="str">
        <f>IFERROR(__xludf.DUMMYFUNCTION("IF(A4206="""","""",INDEX(SPLIT(A4206,"" ""),COUNTA(SPLIT(A4206,"" ""))))"),"Monti")</f>
        <v>Monti</v>
      </c>
      <c r="C4206" s="6"/>
      <c r="D4206" s="6" t="s">
        <v>4236</v>
      </c>
      <c r="E4206" s="12" t="s">
        <v>4237</v>
      </c>
    </row>
    <row r="4207">
      <c r="A4207" s="4" t="s">
        <v>4252</v>
      </c>
      <c r="B4207" s="5" t="str">
        <f>IFERROR(__xludf.DUMMYFUNCTION("IF(A4207="""","""",INDEX(SPLIT(A4207,"" ""),COUNTA(SPLIT(A4207,"" ""))))"),"Cavriago")</f>
        <v>Cavriago</v>
      </c>
      <c r="C4207" s="6"/>
      <c r="D4207" s="6" t="s">
        <v>4236</v>
      </c>
      <c r="E4207" s="12" t="s">
        <v>4237</v>
      </c>
    </row>
    <row r="4208">
      <c r="A4208" s="4" t="s">
        <v>4253</v>
      </c>
      <c r="B4208" s="5" t="str">
        <f>IFERROR(__xludf.DUMMYFUNCTION("IF(A4208="""","""",INDEX(SPLIT(A4208,"" ""),COUNTA(SPLIT(A4208,"" ""))))"),"Canossa")</f>
        <v>Canossa</v>
      </c>
      <c r="C4208" s="6"/>
      <c r="D4208" s="6" t="s">
        <v>4236</v>
      </c>
      <c r="E4208" s="12" t="s">
        <v>4237</v>
      </c>
    </row>
    <row r="4209">
      <c r="A4209" s="4" t="s">
        <v>4254</v>
      </c>
      <c r="B4209" s="5" t="str">
        <f>IFERROR(__xludf.DUMMYFUNCTION("IF(A4209="""","""",INDEX(SPLIT(A4209,"" ""),COUNTA(SPLIT(A4209,"" ""))))"),"Correggio")</f>
        <v>Correggio</v>
      </c>
      <c r="C4209" s="6"/>
      <c r="D4209" s="6" t="s">
        <v>4236</v>
      </c>
      <c r="E4209" s="12" t="s">
        <v>4237</v>
      </c>
    </row>
    <row r="4210">
      <c r="A4210" s="4" t="s">
        <v>4255</v>
      </c>
      <c r="B4210" s="5" t="str">
        <f>IFERROR(__xludf.DUMMYFUNCTION("IF(A4210="""","""",INDEX(SPLIT(A4210,"" ""),COUNTA(SPLIT(A4210,"" ""))))"),"Fabbrico")</f>
        <v>Fabbrico</v>
      </c>
      <c r="C4210" s="6"/>
      <c r="D4210" s="6" t="s">
        <v>4236</v>
      </c>
      <c r="E4210" s="12" t="s">
        <v>4237</v>
      </c>
    </row>
    <row r="4211">
      <c r="A4211" s="4" t="s">
        <v>4256</v>
      </c>
      <c r="B4211" s="5" t="str">
        <f>IFERROR(__xludf.DUMMYFUNCTION("IF(A4211="""","""",INDEX(SPLIT(A4211,"" ""),COUNTA(SPLIT(A4211,"" ""))))"),"Gattatico")</f>
        <v>Gattatico</v>
      </c>
      <c r="C4211" s="6"/>
      <c r="D4211" s="6" t="s">
        <v>4236</v>
      </c>
      <c r="E4211" s="12" t="s">
        <v>4237</v>
      </c>
    </row>
    <row r="4212">
      <c r="A4212" s="4" t="s">
        <v>4257</v>
      </c>
      <c r="B4212" s="5" t="str">
        <f>IFERROR(__xludf.DUMMYFUNCTION("IF(A4212="""","""",INDEX(SPLIT(A4212,"" ""),COUNTA(SPLIT(A4212,"" ""))))"),"Gualtieri")</f>
        <v>Gualtieri</v>
      </c>
      <c r="C4212" s="6"/>
      <c r="D4212" s="6" t="s">
        <v>4236</v>
      </c>
      <c r="E4212" s="12" t="s">
        <v>4237</v>
      </c>
    </row>
    <row r="4213">
      <c r="A4213" s="4" t="s">
        <v>4258</v>
      </c>
      <c r="B4213" s="5" t="str">
        <f>IFERROR(__xludf.DUMMYFUNCTION("IF(A4213="""","""",INDEX(SPLIT(A4213,"" ""),COUNTA(SPLIT(A4213,"" ""))))"),"Guastalla")</f>
        <v>Guastalla</v>
      </c>
      <c r="C4213" s="6"/>
      <c r="D4213" s="6" t="s">
        <v>4236</v>
      </c>
      <c r="E4213" s="12" t="s">
        <v>4237</v>
      </c>
    </row>
    <row r="4214">
      <c r="A4214" s="4" t="s">
        <v>4259</v>
      </c>
      <c r="B4214" s="5" t="str">
        <f>IFERROR(__xludf.DUMMYFUNCTION("IF(A4214="""","""",INDEX(SPLIT(A4214,"" ""),COUNTA(SPLIT(A4214,"" ""))))"),"Luzzara")</f>
        <v>Luzzara</v>
      </c>
      <c r="C4214" s="6"/>
      <c r="D4214" s="6" t="s">
        <v>4236</v>
      </c>
      <c r="E4214" s="12" t="s">
        <v>4237</v>
      </c>
    </row>
    <row r="4215">
      <c r="A4215" s="4" t="s">
        <v>4260</v>
      </c>
      <c r="B4215" s="5" t="str">
        <f>IFERROR(__xludf.DUMMYFUNCTION("IF(A4215="""","""",INDEX(SPLIT(A4215,"" ""),COUNTA(SPLIT(A4215,"" ""))))"),"Emilia")</f>
        <v>Emilia</v>
      </c>
      <c r="C4215" s="6"/>
      <c r="D4215" s="6" t="s">
        <v>4236</v>
      </c>
      <c r="E4215" s="12" t="s">
        <v>4237</v>
      </c>
    </row>
    <row r="4216">
      <c r="A4216" s="4" t="s">
        <v>4261</v>
      </c>
      <c r="B4216" s="5" t="str">
        <f>IFERROR(__xludf.DUMMYFUNCTION("IF(A4216="""","""",INDEX(SPLIT(A4216,"" ""),COUNTA(SPLIT(A4216,"" ""))))"),"Novellara")</f>
        <v>Novellara</v>
      </c>
      <c r="C4216" s="6"/>
      <c r="D4216" s="6" t="s">
        <v>4236</v>
      </c>
      <c r="E4216" s="12" t="s">
        <v>4237</v>
      </c>
    </row>
    <row r="4217">
      <c r="A4217" s="4" t="s">
        <v>4262</v>
      </c>
      <c r="B4217" s="5" t="str">
        <f>IFERROR(__xludf.DUMMYFUNCTION("IF(A4217="""","""",INDEX(SPLIT(A4217,"" ""),COUNTA(SPLIT(A4217,"" ""))))"),"Poviglio")</f>
        <v>Poviglio</v>
      </c>
      <c r="C4217" s="6"/>
      <c r="D4217" s="6" t="s">
        <v>4236</v>
      </c>
      <c r="E4217" s="12" t="s">
        <v>4237</v>
      </c>
    </row>
    <row r="4218">
      <c r="A4218" s="4" t="s">
        <v>4263</v>
      </c>
      <c r="B4218" s="5" t="str">
        <f>IFERROR(__xludf.DUMMYFUNCTION("IF(A4218="""","""",INDEX(SPLIT(A4218,"" ""),COUNTA(SPLIT(A4218,"" ""))))"),"Castella")</f>
        <v>Castella</v>
      </c>
      <c r="C4218" s="6"/>
      <c r="D4218" s="6" t="s">
        <v>4236</v>
      </c>
      <c r="E4218" s="12" t="s">
        <v>4237</v>
      </c>
    </row>
    <row r="4219">
      <c r="A4219" s="4" t="s">
        <v>4264</v>
      </c>
      <c r="B4219" s="5" t="str">
        <f>IFERROR(__xludf.DUMMYFUNCTION("IF(A4219="""","""",INDEX(SPLIT(A4219,"" ""),COUNTA(SPLIT(A4219,"" ""))))"),"Reggiolo")</f>
        <v>Reggiolo</v>
      </c>
      <c r="C4219" s="6"/>
      <c r="D4219" s="6" t="s">
        <v>4236</v>
      </c>
      <c r="E4219" s="12" t="s">
        <v>4237</v>
      </c>
    </row>
    <row r="4220">
      <c r="A4220" s="4" t="s">
        <v>4265</v>
      </c>
      <c r="B4220" s="5" t="str">
        <f>IFERROR(__xludf.DUMMYFUNCTION("IF(A4220="""","""",INDEX(SPLIT(A4220,"" ""),COUNTA(SPLIT(A4220,"" ""))))"),"nell'Emilia")</f>
        <v>nell'Emilia</v>
      </c>
      <c r="C4220" s="6"/>
      <c r="D4220" s="6" t="s">
        <v>4236</v>
      </c>
      <c r="E4220" s="12" t="s">
        <v>4237</v>
      </c>
    </row>
    <row r="4221">
      <c r="A4221" s="4" t="s">
        <v>4266</v>
      </c>
      <c r="B4221" s="5" t="str">
        <f>IFERROR(__xludf.DUMMYFUNCTION("IF(A4221="""","""",INDEX(SPLIT(A4221,"" ""),COUNTA(SPLIT(A4221,"" ""))))"),"Saliceto")</f>
        <v>Saliceto</v>
      </c>
      <c r="C4221" s="6"/>
      <c r="D4221" s="6" t="s">
        <v>4236</v>
      </c>
      <c r="E4221" s="12" t="s">
        <v>4237</v>
      </c>
    </row>
    <row r="4222">
      <c r="A4222" s="4" t="s">
        <v>4267</v>
      </c>
      <c r="B4222" s="5" t="str">
        <f>IFERROR(__xludf.DUMMYFUNCTION("IF(A4222="""","""",INDEX(SPLIT(A4222,"" ""),COUNTA(SPLIT(A4222,"" ""))))"),"Rolo")</f>
        <v>Rolo</v>
      </c>
      <c r="C4222" s="6"/>
      <c r="D4222" s="6" t="s">
        <v>4236</v>
      </c>
      <c r="E4222" s="12" t="s">
        <v>4237</v>
      </c>
    </row>
    <row r="4223">
      <c r="A4223" s="4" t="s">
        <v>4268</v>
      </c>
      <c r="B4223" s="5" t="str">
        <f>IFERROR(__xludf.DUMMYFUNCTION("IF(A4223="""","""",INDEX(SPLIT(A4223,"" ""),COUNTA(SPLIT(A4223,"" ""))))"),"Rubiera")</f>
        <v>Rubiera</v>
      </c>
      <c r="C4223" s="6"/>
      <c r="D4223" s="6" t="s">
        <v>4236</v>
      </c>
      <c r="E4223" s="12" t="s">
        <v>4237</v>
      </c>
    </row>
    <row r="4224">
      <c r="A4224" s="4" t="s">
        <v>4269</v>
      </c>
      <c r="B4224" s="5" t="str">
        <f>IFERROR(__xludf.DUMMYFUNCTION("IF(A4224="""","""",INDEX(SPLIT(A4224,"" ""),COUNTA(SPLIT(A4224,"" ""))))"),"Rio")</f>
        <v>Rio</v>
      </c>
      <c r="C4224" s="6"/>
      <c r="D4224" s="6" t="s">
        <v>4236</v>
      </c>
      <c r="E4224" s="12" t="s">
        <v>4237</v>
      </c>
    </row>
    <row r="4225">
      <c r="A4225" s="4" t="s">
        <v>4270</v>
      </c>
      <c r="B4225" s="5" t="str">
        <f>IFERROR(__xludf.DUMMYFUNCTION("IF(A4225="""","""",INDEX(SPLIT(A4225,"" ""),COUNTA(SPLIT(A4225,"" ""))))"),"d'Enza")</f>
        <v>d'Enza</v>
      </c>
      <c r="C4225" s="6"/>
      <c r="D4225" s="6" t="s">
        <v>4236</v>
      </c>
      <c r="E4225" s="12" t="s">
        <v>4237</v>
      </c>
    </row>
    <row r="4226">
      <c r="A4226" s="4" t="s">
        <v>4271</v>
      </c>
      <c r="B4226" s="5" t="str">
        <f>IFERROR(__xludf.DUMMYFUNCTION("IF(A4226="""","""",INDEX(SPLIT(A4226,"" ""),COUNTA(SPLIT(A4226,"" ""))))"),"d'Enza")</f>
        <v>d'Enza</v>
      </c>
      <c r="C4226" s="6"/>
      <c r="D4226" s="6" t="s">
        <v>4236</v>
      </c>
      <c r="E4226" s="12" t="s">
        <v>4237</v>
      </c>
    </row>
    <row r="4227">
      <c r="A4227" s="4" t="s">
        <v>4272</v>
      </c>
      <c r="B4227" s="5" t="str">
        <f>IFERROR(__xludf.DUMMYFUNCTION("IF(A4227="""","""",INDEX(SPLIT(A4227,"" ""),COUNTA(SPLIT(A4227,"" ""))))"),"Scandiano")</f>
        <v>Scandiano</v>
      </c>
      <c r="C4227" s="6"/>
      <c r="D4227" s="6" t="s">
        <v>4236</v>
      </c>
      <c r="E4227" s="12" t="s">
        <v>4237</v>
      </c>
    </row>
    <row r="4228">
      <c r="A4228" s="4" t="s">
        <v>4273</v>
      </c>
      <c r="B4228" s="5" t="str">
        <f>IFERROR(__xludf.DUMMYFUNCTION("IF(A4228="""","""",INDEX(SPLIT(A4228,"" ""),COUNTA(SPLIT(A4228,"" ""))))"),"Toano")</f>
        <v>Toano</v>
      </c>
      <c r="C4228" s="6"/>
      <c r="D4228" s="6" t="s">
        <v>4236</v>
      </c>
      <c r="E4228" s="12" t="s">
        <v>4237</v>
      </c>
    </row>
    <row r="4229">
      <c r="A4229" s="4" t="s">
        <v>4274</v>
      </c>
      <c r="B4229" s="5" t="str">
        <f>IFERROR(__xludf.DUMMYFUNCTION("IF(A4229="""","""",INDEX(SPLIT(A4229,"" ""),COUNTA(SPLIT(A4229,"" ""))))"),"Vetto")</f>
        <v>Vetto</v>
      </c>
      <c r="C4229" s="6"/>
      <c r="D4229" s="6" t="s">
        <v>4236</v>
      </c>
      <c r="E4229" s="12" t="s">
        <v>4237</v>
      </c>
    </row>
    <row r="4230">
      <c r="A4230" s="4" t="s">
        <v>4275</v>
      </c>
      <c r="B4230" s="5" t="str">
        <f>IFERROR(__xludf.DUMMYFUNCTION("IF(A4230="""","""",INDEX(SPLIT(A4230,"" ""),COUNTA(SPLIT(A4230,"" ""))))"),"Crostolo")</f>
        <v>Crostolo</v>
      </c>
      <c r="C4230" s="6"/>
      <c r="D4230" s="6" t="s">
        <v>4236</v>
      </c>
      <c r="E4230" s="12" t="s">
        <v>4237</v>
      </c>
    </row>
    <row r="4231">
      <c r="A4231" s="4" t="s">
        <v>4276</v>
      </c>
      <c r="B4231" s="5" t="str">
        <f>IFERROR(__xludf.DUMMYFUNCTION("IF(A4231="""","""",INDEX(SPLIT(A4231,"" ""),COUNTA(SPLIT(A4231,"" ""))))"),"Viano")</f>
        <v>Viano</v>
      </c>
      <c r="C4231" s="6"/>
      <c r="D4231" s="6" t="s">
        <v>4236</v>
      </c>
      <c r="E4231" s="12" t="s">
        <v>4237</v>
      </c>
    </row>
    <row r="4232">
      <c r="A4232" s="4" t="s">
        <v>4277</v>
      </c>
      <c r="B4232" s="5" t="str">
        <f>IFERROR(__xludf.DUMMYFUNCTION("IF(A4232="""","""",INDEX(SPLIT(A4232,"" ""),COUNTA(SPLIT(A4232,"" ""))))"),"Minozzo")</f>
        <v>Minozzo</v>
      </c>
      <c r="C4232" s="6"/>
      <c r="D4232" s="6" t="s">
        <v>4236</v>
      </c>
      <c r="E4232" s="12" t="s">
        <v>4237</v>
      </c>
    </row>
    <row r="4233">
      <c r="A4233" s="4" t="s">
        <v>4278</v>
      </c>
      <c r="B4233" s="5" t="str">
        <f>IFERROR(__xludf.DUMMYFUNCTION("IF(A4233="""","""",INDEX(SPLIT(A4233,"" ""),COUNTA(SPLIT(A4233,"" ""))))"),"Ventasso")</f>
        <v>Ventasso</v>
      </c>
      <c r="C4233" s="6"/>
      <c r="D4233" s="6" t="s">
        <v>4236</v>
      </c>
      <c r="E4233" s="12" t="s">
        <v>4237</v>
      </c>
    </row>
    <row r="4234">
      <c r="A4234" s="4" t="s">
        <v>4279</v>
      </c>
      <c r="B4234" s="5" t="str">
        <f>IFERROR(__xludf.DUMMYFUNCTION("IF(A4234="""","""",INDEX(SPLIT(A4234,"" ""),COUNTA(SPLIT(A4234,"" ""))))"),"Bastiglia")</f>
        <v>Bastiglia</v>
      </c>
      <c r="C4234" s="6"/>
      <c r="D4234" s="6" t="s">
        <v>4280</v>
      </c>
      <c r="E4234" s="12" t="s">
        <v>4281</v>
      </c>
    </row>
    <row r="4235">
      <c r="A4235" s="4" t="s">
        <v>4282</v>
      </c>
      <c r="B4235" s="5" t="str">
        <f>IFERROR(__xludf.DUMMYFUNCTION("IF(A4235="""","""",INDEX(SPLIT(A4235,"" ""),COUNTA(SPLIT(A4235,"" ""))))"),"Bomporto")</f>
        <v>Bomporto</v>
      </c>
      <c r="C4235" s="6"/>
      <c r="D4235" s="6" t="s">
        <v>4280</v>
      </c>
      <c r="E4235" s="12" t="s">
        <v>4281</v>
      </c>
    </row>
    <row r="4236">
      <c r="A4236" s="4" t="s">
        <v>4283</v>
      </c>
      <c r="B4236" s="5" t="str">
        <f>IFERROR(__xludf.DUMMYFUNCTION("IF(A4236="""","""",INDEX(SPLIT(A4236,"" ""),COUNTA(SPLIT(A4236,"" ""))))"),"Campogalliano")</f>
        <v>Campogalliano</v>
      </c>
      <c r="C4236" s="6"/>
      <c r="D4236" s="6" t="s">
        <v>4280</v>
      </c>
      <c r="E4236" s="12" t="s">
        <v>4281</v>
      </c>
    </row>
    <row r="4237">
      <c r="A4237" s="4" t="s">
        <v>4284</v>
      </c>
      <c r="B4237" s="5" t="str">
        <f>IFERROR(__xludf.DUMMYFUNCTION("IF(A4237="""","""",INDEX(SPLIT(A4237,"" ""),COUNTA(SPLIT(A4237,"" ""))))"),"Camposanto")</f>
        <v>Camposanto</v>
      </c>
      <c r="C4237" s="6"/>
      <c r="D4237" s="6" t="s">
        <v>4280</v>
      </c>
      <c r="E4237" s="12" t="s">
        <v>4281</v>
      </c>
    </row>
    <row r="4238">
      <c r="A4238" s="4" t="s">
        <v>4285</v>
      </c>
      <c r="B4238" s="5" t="str">
        <f>IFERROR(__xludf.DUMMYFUNCTION("IF(A4238="""","""",INDEX(SPLIT(A4238,"" ""),COUNTA(SPLIT(A4238,"" ""))))"),"Carpi")</f>
        <v>Carpi</v>
      </c>
      <c r="C4238" s="6"/>
      <c r="D4238" s="6" t="s">
        <v>4280</v>
      </c>
      <c r="E4238" s="12" t="s">
        <v>4281</v>
      </c>
    </row>
    <row r="4239">
      <c r="A4239" s="4" t="s">
        <v>4286</v>
      </c>
      <c r="B4239" s="5" t="str">
        <f>IFERROR(__xludf.DUMMYFUNCTION("IF(A4239="""","""",INDEX(SPLIT(A4239,"" ""),COUNTA(SPLIT(A4239,"" ""))))"),"Emilia")</f>
        <v>Emilia</v>
      </c>
      <c r="C4239" s="6"/>
      <c r="D4239" s="6" t="s">
        <v>4280</v>
      </c>
      <c r="E4239" s="12" t="s">
        <v>4281</v>
      </c>
    </row>
    <row r="4240">
      <c r="A4240" s="4" t="s">
        <v>4287</v>
      </c>
      <c r="B4240" s="5" t="str">
        <f>IFERROR(__xludf.DUMMYFUNCTION("IF(A4240="""","""",INDEX(SPLIT(A4240,"" ""),COUNTA(SPLIT(A4240,"" ""))))"),"Rangone")</f>
        <v>Rangone</v>
      </c>
      <c r="C4240" s="6"/>
      <c r="D4240" s="6" t="s">
        <v>4280</v>
      </c>
      <c r="E4240" s="12" t="s">
        <v>4281</v>
      </c>
    </row>
    <row r="4241">
      <c r="A4241" s="4" t="s">
        <v>4288</v>
      </c>
      <c r="B4241" s="5" t="str">
        <f>IFERROR(__xludf.DUMMYFUNCTION("IF(A4241="""","""",INDEX(SPLIT(A4241,"" ""),COUNTA(SPLIT(A4241,"" ""))))"),"Modena")</f>
        <v>Modena</v>
      </c>
      <c r="C4241" s="6"/>
      <c r="D4241" s="6" t="s">
        <v>4280</v>
      </c>
      <c r="E4241" s="12" t="s">
        <v>4281</v>
      </c>
    </row>
    <row r="4242">
      <c r="A4242" s="4" t="s">
        <v>4289</v>
      </c>
      <c r="B4242" s="5" t="str">
        <f>IFERROR(__xludf.DUMMYFUNCTION("IF(A4242="""","""",INDEX(SPLIT(A4242,"" ""),COUNTA(SPLIT(A4242,"" ""))))"),"Cavezzo")</f>
        <v>Cavezzo</v>
      </c>
      <c r="C4242" s="6"/>
      <c r="D4242" s="6" t="s">
        <v>4280</v>
      </c>
      <c r="E4242" s="12" t="s">
        <v>4281</v>
      </c>
    </row>
    <row r="4243">
      <c r="A4243" s="4" t="s">
        <v>4290</v>
      </c>
      <c r="B4243" s="5" t="str">
        <f>IFERROR(__xludf.DUMMYFUNCTION("IF(A4243="""","""",INDEX(SPLIT(A4243,"" ""),COUNTA(SPLIT(A4243,"" ""))))"),"Secchia")</f>
        <v>Secchia</v>
      </c>
      <c r="C4243" s="6"/>
      <c r="D4243" s="6" t="s">
        <v>4280</v>
      </c>
      <c r="E4243" s="12" t="s">
        <v>4281</v>
      </c>
    </row>
    <row r="4244">
      <c r="A4244" s="4" t="s">
        <v>4291</v>
      </c>
      <c r="B4244" s="5" t="str">
        <f>IFERROR(__xludf.DUMMYFUNCTION("IF(A4244="""","""",INDEX(SPLIT(A4244,"" ""),COUNTA(SPLIT(A4244,"" ""))))"),"Fanano")</f>
        <v>Fanano</v>
      </c>
      <c r="C4244" s="6"/>
      <c r="D4244" s="6" t="s">
        <v>4280</v>
      </c>
      <c r="E4244" s="12" t="s">
        <v>4281</v>
      </c>
    </row>
    <row r="4245">
      <c r="A4245" s="4" t="s">
        <v>4292</v>
      </c>
      <c r="B4245" s="5" t="str">
        <f>IFERROR(__xludf.DUMMYFUNCTION("IF(A4245="""","""",INDEX(SPLIT(A4245,"" ""),COUNTA(SPLIT(A4245,"" ""))))"),"Emilia")</f>
        <v>Emilia</v>
      </c>
      <c r="C4245" s="6"/>
      <c r="D4245" s="6" t="s">
        <v>4280</v>
      </c>
      <c r="E4245" s="12" t="s">
        <v>4281</v>
      </c>
    </row>
    <row r="4246">
      <c r="A4246" s="4" t="s">
        <v>4293</v>
      </c>
      <c r="B4246" s="5" t="str">
        <f>IFERROR(__xludf.DUMMYFUNCTION("IF(A4246="""","""",INDEX(SPLIT(A4246,"" ""),COUNTA(SPLIT(A4246,"" ""))))"),"Modenese")</f>
        <v>Modenese</v>
      </c>
      <c r="C4246" s="6"/>
      <c r="D4246" s="6" t="s">
        <v>4280</v>
      </c>
      <c r="E4246" s="12" t="s">
        <v>4281</v>
      </c>
    </row>
    <row r="4247">
      <c r="A4247" s="4" t="s">
        <v>4294</v>
      </c>
      <c r="B4247" s="5" t="str">
        <f>IFERROR(__xludf.DUMMYFUNCTION("IF(A4247="""","""",INDEX(SPLIT(A4247,"" ""),COUNTA(SPLIT(A4247,"" ""))))"),"Fiumalbo")</f>
        <v>Fiumalbo</v>
      </c>
      <c r="C4247" s="6"/>
      <c r="D4247" s="6" t="s">
        <v>4280</v>
      </c>
      <c r="E4247" s="12" t="s">
        <v>4281</v>
      </c>
    </row>
    <row r="4248">
      <c r="A4248" s="4" t="s">
        <v>4295</v>
      </c>
      <c r="B4248" s="5" t="str">
        <f>IFERROR(__xludf.DUMMYFUNCTION("IF(A4248="""","""",INDEX(SPLIT(A4248,"" ""),COUNTA(SPLIT(A4248,"" ""))))"),"Formigine")</f>
        <v>Formigine</v>
      </c>
      <c r="C4248" s="6"/>
      <c r="D4248" s="6" t="s">
        <v>4280</v>
      </c>
      <c r="E4248" s="12" t="s">
        <v>4281</v>
      </c>
    </row>
    <row r="4249">
      <c r="A4249" s="4" t="s">
        <v>4296</v>
      </c>
      <c r="B4249" s="5" t="str">
        <f>IFERROR(__xludf.DUMMYFUNCTION("IF(A4249="""","""",INDEX(SPLIT(A4249,"" ""),COUNTA(SPLIT(A4249,"" ""))))"),"Frassinoro")</f>
        <v>Frassinoro</v>
      </c>
      <c r="C4249" s="6"/>
      <c r="D4249" s="6" t="s">
        <v>4280</v>
      </c>
      <c r="E4249" s="12" t="s">
        <v>4281</v>
      </c>
    </row>
    <row r="4250">
      <c r="A4250" s="4" t="s">
        <v>4297</v>
      </c>
      <c r="B4250" s="5" t="str">
        <f>IFERROR(__xludf.DUMMYFUNCTION("IF(A4250="""","""",INDEX(SPLIT(A4250,"" ""),COUNTA(SPLIT(A4250,"" ""))))"),"Guiglia")</f>
        <v>Guiglia</v>
      </c>
      <c r="C4250" s="6"/>
      <c r="D4250" s="6" t="s">
        <v>4280</v>
      </c>
      <c r="E4250" s="12" t="s">
        <v>4281</v>
      </c>
    </row>
    <row r="4251">
      <c r="A4251" s="4" t="s">
        <v>4298</v>
      </c>
      <c r="B4251" s="5" t="str">
        <f>IFERROR(__xludf.DUMMYFUNCTION("IF(A4251="""","""",INDEX(SPLIT(A4251,"" ""),COUNTA(SPLIT(A4251,"" ""))))"),"Mocogno")</f>
        <v>Mocogno</v>
      </c>
      <c r="C4251" s="6"/>
      <c r="D4251" s="6" t="s">
        <v>4280</v>
      </c>
      <c r="E4251" s="12" t="s">
        <v>4281</v>
      </c>
    </row>
    <row r="4252">
      <c r="A4252" s="4" t="s">
        <v>4299</v>
      </c>
      <c r="B4252" s="5" t="str">
        <f>IFERROR(__xludf.DUMMYFUNCTION("IF(A4252="""","""",INDEX(SPLIT(A4252,"" ""),COUNTA(SPLIT(A4252,"" ""))))"),"Maranello")</f>
        <v>Maranello</v>
      </c>
      <c r="C4252" s="6"/>
      <c r="D4252" s="6" t="s">
        <v>4280</v>
      </c>
      <c r="E4252" s="12" t="s">
        <v>4281</v>
      </c>
    </row>
    <row r="4253">
      <c r="A4253" s="4" t="s">
        <v>4300</v>
      </c>
      <c r="B4253" s="5" t="str">
        <f>IFERROR(__xludf.DUMMYFUNCTION("IF(A4253="""","""",INDEX(SPLIT(A4253,"" ""),COUNTA(SPLIT(A4253,"" ""))))"),"Panaro")</f>
        <v>Panaro</v>
      </c>
      <c r="C4253" s="6"/>
      <c r="D4253" s="6" t="s">
        <v>4280</v>
      </c>
      <c r="E4253" s="12" t="s">
        <v>4281</v>
      </c>
    </row>
    <row r="4254">
      <c r="A4254" s="4" t="s">
        <v>4301</v>
      </c>
      <c r="B4254" s="5" t="str">
        <f>IFERROR(__xludf.DUMMYFUNCTION("IF(A4254="""","""",INDEX(SPLIT(A4254,"" ""),COUNTA(SPLIT(A4254,"" ""))))"),"Medolla")</f>
        <v>Medolla</v>
      </c>
      <c r="C4254" s="6"/>
      <c r="D4254" s="6" t="s">
        <v>4280</v>
      </c>
      <c r="E4254" s="12" t="s">
        <v>4281</v>
      </c>
    </row>
    <row r="4255">
      <c r="A4255" s="4" t="s">
        <v>4302</v>
      </c>
      <c r="B4255" s="5" t="str">
        <f>IFERROR(__xludf.DUMMYFUNCTION("IF(A4255="""","""",INDEX(SPLIT(A4255,"" ""),COUNTA(SPLIT(A4255,"" ""))))"),"Mirandola")</f>
        <v>Mirandola</v>
      </c>
      <c r="C4255" s="6"/>
      <c r="D4255" s="6" t="s">
        <v>4280</v>
      </c>
      <c r="E4255" s="12" t="s">
        <v>4281</v>
      </c>
    </row>
    <row r="4256">
      <c r="A4256" s="4" t="s">
        <v>4280</v>
      </c>
      <c r="B4256" s="5" t="str">
        <f>IFERROR(__xludf.DUMMYFUNCTION("IF(A4256="""","""",INDEX(SPLIT(A4256,"" ""),COUNTA(SPLIT(A4256,"" ""))))"),"Modena")</f>
        <v>Modena</v>
      </c>
      <c r="C4256" s="6"/>
      <c r="D4256" s="6" t="s">
        <v>4280</v>
      </c>
      <c r="E4256" s="12" t="s">
        <v>4281</v>
      </c>
    </row>
    <row r="4257">
      <c r="A4257" s="4" t="s">
        <v>4303</v>
      </c>
      <c r="B4257" s="5" t="str">
        <f>IFERROR(__xludf.DUMMYFUNCTION("IF(A4257="""","""",INDEX(SPLIT(A4257,"" ""),COUNTA(SPLIT(A4257,"" ""))))"),"Montecreto")</f>
        <v>Montecreto</v>
      </c>
      <c r="C4257" s="6"/>
      <c r="D4257" s="6" t="s">
        <v>4280</v>
      </c>
      <c r="E4257" s="12" t="s">
        <v>4281</v>
      </c>
    </row>
    <row r="4258">
      <c r="A4258" s="4" t="s">
        <v>4304</v>
      </c>
      <c r="B4258" s="5" t="str">
        <f>IFERROR(__xludf.DUMMYFUNCTION("IF(A4258="""","""",INDEX(SPLIT(A4258,"" ""),COUNTA(SPLIT(A4258,"" ""))))"),"Montefiorino")</f>
        <v>Montefiorino</v>
      </c>
      <c r="C4258" s="6"/>
      <c r="D4258" s="6" t="s">
        <v>4280</v>
      </c>
      <c r="E4258" s="12" t="s">
        <v>4281</v>
      </c>
    </row>
    <row r="4259">
      <c r="A4259" s="4" t="s">
        <v>4305</v>
      </c>
      <c r="B4259" s="5" t="str">
        <f>IFERROR(__xludf.DUMMYFUNCTION("IF(A4259="""","""",INDEX(SPLIT(A4259,"" ""),COUNTA(SPLIT(A4259,"" ""))))"),"Montese")</f>
        <v>Montese</v>
      </c>
      <c r="C4259" s="6"/>
      <c r="D4259" s="6" t="s">
        <v>4280</v>
      </c>
      <c r="E4259" s="12" t="s">
        <v>4281</v>
      </c>
    </row>
    <row r="4260">
      <c r="A4260" s="4" t="s">
        <v>4306</v>
      </c>
      <c r="B4260" s="5" t="str">
        <f>IFERROR(__xludf.DUMMYFUNCTION("IF(A4260="""","""",INDEX(SPLIT(A4260,"" ""),COUNTA(SPLIT(A4260,"" ""))))"),"Nonantola")</f>
        <v>Nonantola</v>
      </c>
      <c r="C4260" s="6"/>
      <c r="D4260" s="6" t="s">
        <v>4280</v>
      </c>
      <c r="E4260" s="12" t="s">
        <v>4281</v>
      </c>
    </row>
    <row r="4261">
      <c r="A4261" s="4" t="s">
        <v>4307</v>
      </c>
      <c r="B4261" s="5" t="str">
        <f>IFERROR(__xludf.DUMMYFUNCTION("IF(A4261="""","""",INDEX(SPLIT(A4261,"" ""),COUNTA(SPLIT(A4261,"" ""))))"),"Modena")</f>
        <v>Modena</v>
      </c>
      <c r="C4261" s="6"/>
      <c r="D4261" s="6" t="s">
        <v>4280</v>
      </c>
      <c r="E4261" s="12" t="s">
        <v>4281</v>
      </c>
    </row>
    <row r="4262">
      <c r="A4262" s="4" t="s">
        <v>4308</v>
      </c>
      <c r="B4262" s="5" t="str">
        <f>IFERROR(__xludf.DUMMYFUNCTION("IF(A4262="""","""",INDEX(SPLIT(A4262,"" ""),COUNTA(SPLIT(A4262,"" ""))))"),"Palagano")</f>
        <v>Palagano</v>
      </c>
      <c r="C4262" s="6"/>
      <c r="D4262" s="6" t="s">
        <v>4280</v>
      </c>
      <c r="E4262" s="12" t="s">
        <v>4281</v>
      </c>
    </row>
    <row r="4263">
      <c r="A4263" s="4" t="s">
        <v>4309</v>
      </c>
      <c r="B4263" s="5" t="str">
        <f>IFERROR(__xludf.DUMMYFUNCTION("IF(A4263="""","""",INDEX(SPLIT(A4263,"" ""),COUNTA(SPLIT(A4263,"" ""))))"),"Frignano")</f>
        <v>Frignano</v>
      </c>
      <c r="C4263" s="6"/>
      <c r="D4263" s="6" t="s">
        <v>4280</v>
      </c>
      <c r="E4263" s="12" t="s">
        <v>4281</v>
      </c>
    </row>
    <row r="4264">
      <c r="A4264" s="4" t="s">
        <v>4310</v>
      </c>
      <c r="B4264" s="5" t="str">
        <f>IFERROR(__xludf.DUMMYFUNCTION("IF(A4264="""","""",INDEX(SPLIT(A4264,"" ""),COUNTA(SPLIT(A4264,"" ""))))"),"Pievepelago")</f>
        <v>Pievepelago</v>
      </c>
      <c r="C4264" s="6"/>
      <c r="D4264" s="6" t="s">
        <v>4280</v>
      </c>
      <c r="E4264" s="12" t="s">
        <v>4281</v>
      </c>
    </row>
    <row r="4265">
      <c r="A4265" s="4" t="s">
        <v>4311</v>
      </c>
      <c r="B4265" s="5" t="str">
        <f>IFERROR(__xludf.DUMMYFUNCTION("IF(A4265="""","""",INDEX(SPLIT(A4265,"" ""),COUNTA(SPLIT(A4265,"" ""))))"),"Polinago")</f>
        <v>Polinago</v>
      </c>
      <c r="C4265" s="6"/>
      <c r="D4265" s="6" t="s">
        <v>4280</v>
      </c>
      <c r="E4265" s="12" t="s">
        <v>4281</v>
      </c>
    </row>
    <row r="4266">
      <c r="A4266" s="4" t="s">
        <v>4312</v>
      </c>
      <c r="B4266" s="5" t="str">
        <f>IFERROR(__xludf.DUMMYFUNCTION("IF(A4266="""","""",INDEX(SPLIT(A4266,"" ""),COUNTA(SPLIT(A4266,"" ""))))"),"Secchia")</f>
        <v>Secchia</v>
      </c>
      <c r="C4266" s="6"/>
      <c r="D4266" s="6" t="s">
        <v>4280</v>
      </c>
      <c r="E4266" s="12" t="s">
        <v>4281</v>
      </c>
    </row>
    <row r="4267">
      <c r="A4267" s="4" t="s">
        <v>4313</v>
      </c>
      <c r="B4267" s="5" t="str">
        <f>IFERROR(__xludf.DUMMYFUNCTION("IF(A4267="""","""",INDEX(SPLIT(A4267,"" ""),COUNTA(SPLIT(A4267,"" ""))))"),"Ravarino")</f>
        <v>Ravarino</v>
      </c>
      <c r="C4267" s="6"/>
      <c r="D4267" s="6" t="s">
        <v>4280</v>
      </c>
      <c r="E4267" s="12" t="s">
        <v>4281</v>
      </c>
    </row>
    <row r="4268">
      <c r="A4268" s="4" t="s">
        <v>4314</v>
      </c>
      <c r="B4268" s="5" t="str">
        <f>IFERROR(__xludf.DUMMYFUNCTION("IF(A4268="""","""",INDEX(SPLIT(A4268,"" ""),COUNTA(SPLIT(A4268,"" ""))))"),"Riolunato")</f>
        <v>Riolunato</v>
      </c>
      <c r="C4268" s="6"/>
      <c r="D4268" s="6" t="s">
        <v>4280</v>
      </c>
      <c r="E4268" s="12" t="s">
        <v>4281</v>
      </c>
    </row>
    <row r="4269">
      <c r="A4269" s="4" t="s">
        <v>4315</v>
      </c>
      <c r="B4269" s="5" t="str">
        <f>IFERROR(__xludf.DUMMYFUNCTION("IF(A4269="""","""",INDEX(SPLIT(A4269,"" ""),COUNTA(SPLIT(A4269,"" ""))))"),"Panaro")</f>
        <v>Panaro</v>
      </c>
      <c r="C4269" s="6"/>
      <c r="D4269" s="6" t="s">
        <v>4280</v>
      </c>
      <c r="E4269" s="12" t="s">
        <v>4281</v>
      </c>
    </row>
    <row r="4270">
      <c r="A4270" s="4" t="s">
        <v>4316</v>
      </c>
      <c r="B4270" s="5" t="str">
        <f>IFERROR(__xludf.DUMMYFUNCTION("IF(A4270="""","""",INDEX(SPLIT(A4270,"" ""),COUNTA(SPLIT(A4270,"" ""))))"),"Panaro")</f>
        <v>Panaro</v>
      </c>
      <c r="C4270" s="6"/>
      <c r="D4270" s="6" t="s">
        <v>4280</v>
      </c>
      <c r="E4270" s="12" t="s">
        <v>4281</v>
      </c>
    </row>
    <row r="4271">
      <c r="A4271" s="4" t="s">
        <v>4317</v>
      </c>
      <c r="B4271" s="5" t="str">
        <f>IFERROR(__xludf.DUMMYFUNCTION("IF(A4271="""","""",INDEX(SPLIT(A4271,"" ""),COUNTA(SPLIT(A4271,"" ""))))"),"Possidonio")</f>
        <v>Possidonio</v>
      </c>
      <c r="C4271" s="6"/>
      <c r="D4271" s="6" t="s">
        <v>4280</v>
      </c>
      <c r="E4271" s="12" t="s">
        <v>4281</v>
      </c>
    </row>
    <row r="4272">
      <c r="A4272" s="4" t="s">
        <v>4318</v>
      </c>
      <c r="B4272" s="5" t="str">
        <f>IFERROR(__xludf.DUMMYFUNCTION("IF(A4272="""","""",INDEX(SPLIT(A4272,"" ""),COUNTA(SPLIT(A4272,"" ""))))"),"Prospero")</f>
        <v>Prospero</v>
      </c>
      <c r="C4272" s="6"/>
      <c r="D4272" s="6" t="s">
        <v>4280</v>
      </c>
      <c r="E4272" s="12" t="s">
        <v>4281</v>
      </c>
    </row>
    <row r="4273">
      <c r="A4273" s="4" t="s">
        <v>4319</v>
      </c>
      <c r="B4273" s="5" t="str">
        <f>IFERROR(__xludf.DUMMYFUNCTION("IF(A4273="""","""",INDEX(SPLIT(A4273,"" ""),COUNTA(SPLIT(A4273,"" ""))))"),"Sassuolo")</f>
        <v>Sassuolo</v>
      </c>
      <c r="C4273" s="6"/>
      <c r="D4273" s="6" t="s">
        <v>4280</v>
      </c>
      <c r="E4273" s="12" t="s">
        <v>4281</v>
      </c>
    </row>
    <row r="4274">
      <c r="A4274" s="4" t="s">
        <v>4320</v>
      </c>
      <c r="B4274" s="5" t="str">
        <f>IFERROR(__xludf.DUMMYFUNCTION("IF(A4274="""","""",INDEX(SPLIT(A4274,"" ""),COUNTA(SPLIT(A4274,"" ""))))"),"Panaro")</f>
        <v>Panaro</v>
      </c>
      <c r="C4274" s="6"/>
      <c r="D4274" s="6" t="s">
        <v>4280</v>
      </c>
      <c r="E4274" s="12" t="s">
        <v>4281</v>
      </c>
    </row>
    <row r="4275">
      <c r="A4275" s="4" t="s">
        <v>4321</v>
      </c>
      <c r="B4275" s="5" t="str">
        <f>IFERROR(__xludf.DUMMYFUNCTION("IF(A4275="""","""",INDEX(SPLIT(A4275,"" ""),COUNTA(SPLIT(A4275,"" ""))))"),"Serramazzoni")</f>
        <v>Serramazzoni</v>
      </c>
      <c r="C4275" s="6"/>
      <c r="D4275" s="6" t="s">
        <v>4280</v>
      </c>
      <c r="E4275" s="12" t="s">
        <v>4281</v>
      </c>
    </row>
    <row r="4276">
      <c r="A4276" s="4" t="s">
        <v>4322</v>
      </c>
      <c r="B4276" s="5" t="str">
        <f>IFERROR(__xludf.DUMMYFUNCTION("IF(A4276="""","""",INDEX(SPLIT(A4276,"" ""),COUNTA(SPLIT(A4276,"" ""))))"),"Sestola")</f>
        <v>Sestola</v>
      </c>
      <c r="C4276" s="6"/>
      <c r="D4276" s="6" t="s">
        <v>4280</v>
      </c>
      <c r="E4276" s="12" t="s">
        <v>4281</v>
      </c>
    </row>
    <row r="4277">
      <c r="A4277" s="4" t="s">
        <v>4323</v>
      </c>
      <c r="B4277" s="5" t="str">
        <f>IFERROR(__xludf.DUMMYFUNCTION("IF(A4277="""","""",INDEX(SPLIT(A4277,"" ""),COUNTA(SPLIT(A4277,"" ""))))"),"Soliera")</f>
        <v>Soliera</v>
      </c>
      <c r="C4277" s="6"/>
      <c r="D4277" s="6" t="s">
        <v>4280</v>
      </c>
      <c r="E4277" s="12" t="s">
        <v>4281</v>
      </c>
    </row>
    <row r="4278">
      <c r="A4278" s="4" t="s">
        <v>4324</v>
      </c>
      <c r="B4278" s="5" t="str">
        <f>IFERROR(__xludf.DUMMYFUNCTION("IF(A4278="""","""",INDEX(SPLIT(A4278,"" ""),COUNTA(SPLIT(A4278,"" ""))))"),"Spilamberto")</f>
        <v>Spilamberto</v>
      </c>
      <c r="C4278" s="6"/>
      <c r="D4278" s="6" t="s">
        <v>4280</v>
      </c>
      <c r="E4278" s="12" t="s">
        <v>4281</v>
      </c>
    </row>
    <row r="4279">
      <c r="A4279" s="4" t="s">
        <v>4325</v>
      </c>
      <c r="B4279" s="5" t="str">
        <f>IFERROR(__xludf.DUMMYFUNCTION("IF(A4279="""","""",INDEX(SPLIT(A4279,"" ""),COUNTA(SPLIT(A4279,"" ""))))"),"Vignola")</f>
        <v>Vignola</v>
      </c>
      <c r="C4279" s="6"/>
      <c r="D4279" s="6" t="s">
        <v>4280</v>
      </c>
      <c r="E4279" s="12" t="s">
        <v>4281</v>
      </c>
    </row>
    <row r="4280">
      <c r="A4280" s="4" t="s">
        <v>4326</v>
      </c>
      <c r="B4280" s="5" t="str">
        <f>IFERROR(__xludf.DUMMYFUNCTION("IF(A4280="""","""",INDEX(SPLIT(A4280,"" ""),COUNTA(SPLIT(A4280,"" ""))))"),"Zocca")</f>
        <v>Zocca</v>
      </c>
      <c r="C4280" s="6"/>
      <c r="D4280" s="6" t="s">
        <v>4280</v>
      </c>
      <c r="E4280" s="12" t="s">
        <v>4281</v>
      </c>
    </row>
    <row r="4281">
      <c r="A4281" s="4" t="s">
        <v>4327</v>
      </c>
      <c r="B4281" s="5" t="str">
        <f>IFERROR(__xludf.DUMMYFUNCTION("IF(A4281="""","""",INDEX(SPLIT(A4281,"" ""),COUNTA(SPLIT(A4281,"" ""))))"),"dell'Emilia")</f>
        <v>dell'Emilia</v>
      </c>
      <c r="C4281" s="6" t="s">
        <v>4328</v>
      </c>
      <c r="D4281" s="6"/>
      <c r="E4281" s="12" t="s">
        <v>4329</v>
      </c>
    </row>
    <row r="4282">
      <c r="A4282" s="4" t="s">
        <v>4330</v>
      </c>
      <c r="B4282" s="5" t="str">
        <f>IFERROR(__xludf.DUMMYFUNCTION("IF(A4282="""","""",INDEX(SPLIT(A4282,"" ""),COUNTA(SPLIT(A4282,"" ""))))"),"Argelato")</f>
        <v>Argelato</v>
      </c>
      <c r="C4282" s="6" t="s">
        <v>4328</v>
      </c>
      <c r="D4282" s="6"/>
      <c r="E4282" s="12" t="s">
        <v>4329</v>
      </c>
    </row>
    <row r="4283">
      <c r="A4283" s="4" t="s">
        <v>4331</v>
      </c>
      <c r="B4283" s="5" t="str">
        <f>IFERROR(__xludf.DUMMYFUNCTION("IF(A4283="""","""",INDEX(SPLIT(A4283,"" ""),COUNTA(SPLIT(A4283,"" ""))))"),"Baricella")</f>
        <v>Baricella</v>
      </c>
      <c r="C4283" s="6" t="s">
        <v>4328</v>
      </c>
      <c r="D4283" s="6"/>
      <c r="E4283" s="12" t="s">
        <v>4329</v>
      </c>
    </row>
    <row r="4284">
      <c r="A4284" s="4" t="s">
        <v>4332</v>
      </c>
      <c r="B4284" s="5" t="str">
        <f>IFERROR(__xludf.DUMMYFUNCTION("IF(A4284="""","""",INDEX(SPLIT(A4284,"" ""),COUNTA(SPLIT(A4284,"" ""))))"),"Bentivoglio")</f>
        <v>Bentivoglio</v>
      </c>
      <c r="C4284" s="6" t="s">
        <v>4328</v>
      </c>
      <c r="D4284" s="6"/>
      <c r="E4284" s="12" t="s">
        <v>4329</v>
      </c>
    </row>
    <row r="4285">
      <c r="A4285" s="4" t="s">
        <v>4328</v>
      </c>
      <c r="B4285" s="5" t="str">
        <f>IFERROR(__xludf.DUMMYFUNCTION("IF(A4285="""","""",INDEX(SPLIT(A4285,"" ""),COUNTA(SPLIT(A4285,"" ""))))"),"Bologna")</f>
        <v>Bologna</v>
      </c>
      <c r="C4285" s="6" t="s">
        <v>4328</v>
      </c>
      <c r="D4285" s="6"/>
      <c r="E4285" s="12" t="s">
        <v>4329</v>
      </c>
    </row>
    <row r="4286">
      <c r="A4286" s="4" t="s">
        <v>4333</v>
      </c>
      <c r="B4286" s="5" t="str">
        <f>IFERROR(__xludf.DUMMYFUNCTION("IF(A4286="""","""",INDEX(SPLIT(A4286,"" ""),COUNTA(SPLIT(A4286,"" ""))))"),"Tossignano")</f>
        <v>Tossignano</v>
      </c>
      <c r="C4286" s="6" t="s">
        <v>4328</v>
      </c>
      <c r="D4286" s="6"/>
      <c r="E4286" s="12" t="s">
        <v>4329</v>
      </c>
    </row>
    <row r="4287">
      <c r="A4287" s="4" t="s">
        <v>4334</v>
      </c>
      <c r="B4287" s="5" t="str">
        <f>IFERROR(__xludf.DUMMYFUNCTION("IF(A4287="""","""",INDEX(SPLIT(A4287,"" ""),COUNTA(SPLIT(A4287,"" ""))))"),"Budrio")</f>
        <v>Budrio</v>
      </c>
      <c r="C4287" s="6" t="s">
        <v>4328</v>
      </c>
      <c r="D4287" s="6"/>
      <c r="E4287" s="12" t="s">
        <v>4329</v>
      </c>
    </row>
    <row r="4288">
      <c r="A4288" s="4" t="s">
        <v>4335</v>
      </c>
      <c r="B4288" s="5" t="str">
        <f>IFERROR(__xludf.DUMMYFUNCTION("IF(A4288="""","""",INDEX(SPLIT(A4288,"" ""),COUNTA(SPLIT(A4288,"" ""))))"),"Reno")</f>
        <v>Reno</v>
      </c>
      <c r="C4288" s="6" t="s">
        <v>4328</v>
      </c>
      <c r="D4288" s="6"/>
      <c r="E4288" s="12" t="s">
        <v>4329</v>
      </c>
    </row>
    <row r="4289">
      <c r="A4289" s="4" t="s">
        <v>4336</v>
      </c>
      <c r="B4289" s="5" t="str">
        <f>IFERROR(__xludf.DUMMYFUNCTION("IF(A4289="""","""",INDEX(SPLIT(A4289,"" ""),COUNTA(SPLIT(A4289,"" ""))))"),"Camugnano")</f>
        <v>Camugnano</v>
      </c>
      <c r="C4289" s="6" t="s">
        <v>4328</v>
      </c>
      <c r="D4289" s="6"/>
      <c r="E4289" s="12" t="s">
        <v>4329</v>
      </c>
    </row>
    <row r="4290">
      <c r="A4290" s="4" t="s">
        <v>4337</v>
      </c>
      <c r="B4290" s="5" t="str">
        <f>IFERROR(__xludf.DUMMYFUNCTION("IF(A4290="""","""",INDEX(SPLIT(A4290,"" ""),COUNTA(SPLIT(A4290,"" ""))))"),"Reno")</f>
        <v>Reno</v>
      </c>
      <c r="C4290" s="6" t="s">
        <v>4328</v>
      </c>
      <c r="D4290" s="6"/>
      <c r="E4290" s="12" t="s">
        <v>4329</v>
      </c>
    </row>
    <row r="4291">
      <c r="A4291" s="4" t="s">
        <v>4338</v>
      </c>
      <c r="B4291" s="5" t="str">
        <f>IFERROR(__xludf.DUMMYFUNCTION("IF(A4291="""","""",INDEX(SPLIT(A4291,"" ""),COUNTA(SPLIT(A4291,"" ""))))"),"Casalfiumanese")</f>
        <v>Casalfiumanese</v>
      </c>
      <c r="C4291" s="6" t="s">
        <v>4328</v>
      </c>
      <c r="D4291" s="6"/>
      <c r="E4291" s="12" t="s">
        <v>4329</v>
      </c>
    </row>
    <row r="4292">
      <c r="A4292" s="4" t="s">
        <v>4339</v>
      </c>
      <c r="B4292" s="5" t="str">
        <f>IFERROR(__xludf.DUMMYFUNCTION("IF(A4292="""","""",INDEX(SPLIT(A4292,"" ""),COUNTA(SPLIT(A4292,"" ""))))"),"d'Aiano")</f>
        <v>d'Aiano</v>
      </c>
      <c r="C4292" s="6" t="s">
        <v>4328</v>
      </c>
      <c r="D4292" s="6"/>
      <c r="E4292" s="12" t="s">
        <v>4329</v>
      </c>
    </row>
    <row r="4293">
      <c r="A4293" s="4" t="s">
        <v>4340</v>
      </c>
      <c r="B4293" s="5" t="str">
        <f>IFERROR(__xludf.DUMMYFUNCTION("IF(A4293="""","""",INDEX(SPLIT(A4293,"" ""),COUNTA(SPLIT(A4293,"" ""))))"),"Rio")</f>
        <v>Rio</v>
      </c>
      <c r="C4293" s="6" t="s">
        <v>4328</v>
      </c>
      <c r="D4293" s="6"/>
      <c r="E4293" s="12" t="s">
        <v>4329</v>
      </c>
    </row>
    <row r="4294">
      <c r="A4294" s="4" t="s">
        <v>4341</v>
      </c>
      <c r="B4294" s="5" t="str">
        <f>IFERROR(__xludf.DUMMYFUNCTION("IF(A4294="""","""",INDEX(SPLIT(A4294,"" ""),COUNTA(SPLIT(A4294,"" ""))))"),"Casio")</f>
        <v>Casio</v>
      </c>
      <c r="C4294" s="6" t="s">
        <v>4328</v>
      </c>
      <c r="D4294" s="6"/>
      <c r="E4294" s="12" t="s">
        <v>4329</v>
      </c>
    </row>
    <row r="4295">
      <c r="A4295" s="4" t="s">
        <v>4342</v>
      </c>
      <c r="B4295" s="5" t="str">
        <f>IFERROR(__xludf.DUMMYFUNCTION("IF(A4295="""","""",INDEX(SPLIT(A4295,"" ""),COUNTA(SPLIT(A4295,"" ""))))"),"Bologna")</f>
        <v>Bologna</v>
      </c>
      <c r="C4295" s="6" t="s">
        <v>4328</v>
      </c>
      <c r="D4295" s="6"/>
      <c r="E4295" s="12" t="s">
        <v>4329</v>
      </c>
    </row>
    <row r="4296">
      <c r="A4296" s="4" t="s">
        <v>4343</v>
      </c>
      <c r="B4296" s="5" t="str">
        <f>IFERROR(__xludf.DUMMYFUNCTION("IF(A4296="""","""",INDEX(SPLIT(A4296,"" ""),COUNTA(SPLIT(A4296,"" ""))))"),"d'Argile")</f>
        <v>d'Argile</v>
      </c>
      <c r="C4296" s="6" t="s">
        <v>4328</v>
      </c>
      <c r="D4296" s="6"/>
      <c r="E4296" s="12" t="s">
        <v>4329</v>
      </c>
    </row>
    <row r="4297">
      <c r="A4297" s="4" t="s">
        <v>4344</v>
      </c>
      <c r="B4297" s="5" t="str">
        <f>IFERROR(__xludf.DUMMYFUNCTION("IF(A4297="""","""",INDEX(SPLIT(A4297,"" ""),COUNTA(SPLIT(A4297,"" ""))))"),"Maggiore")</f>
        <v>Maggiore</v>
      </c>
      <c r="C4297" s="6" t="s">
        <v>4328</v>
      </c>
      <c r="D4297" s="6"/>
      <c r="E4297" s="12" t="s">
        <v>4329</v>
      </c>
    </row>
    <row r="4298">
      <c r="A4298" s="4" t="s">
        <v>4345</v>
      </c>
      <c r="B4298" s="5" t="str">
        <f>IFERROR(__xludf.DUMMYFUNCTION("IF(A4298="""","""",INDEX(SPLIT(A4298,"" ""),COUNTA(SPLIT(A4298,"" ""))))"),"Terme")</f>
        <v>Terme</v>
      </c>
      <c r="C4298" s="6" t="s">
        <v>4328</v>
      </c>
      <c r="D4298" s="6"/>
      <c r="E4298" s="12" t="s">
        <v>4329</v>
      </c>
    </row>
    <row r="4299">
      <c r="A4299" s="4" t="s">
        <v>4346</v>
      </c>
      <c r="B4299" s="5" t="str">
        <f>IFERROR(__xludf.DUMMYFUNCTION("IF(A4299="""","""",INDEX(SPLIT(A4299,"" ""),COUNTA(SPLIT(A4299,"" ""))))"),"Castenaso")</f>
        <v>Castenaso</v>
      </c>
      <c r="C4299" s="6" t="s">
        <v>4328</v>
      </c>
      <c r="D4299" s="6"/>
      <c r="E4299" s="12" t="s">
        <v>4329</v>
      </c>
    </row>
    <row r="4300">
      <c r="A4300" s="4" t="s">
        <v>4347</v>
      </c>
      <c r="B4300" s="5" t="str">
        <f>IFERROR(__xludf.DUMMYFUNCTION("IF(A4300="""","""",INDEX(SPLIT(A4300,"" ""),COUNTA(SPLIT(A4300,"" ""))))"),"Pepoli")</f>
        <v>Pepoli</v>
      </c>
      <c r="C4300" s="6" t="s">
        <v>4328</v>
      </c>
      <c r="D4300" s="6"/>
      <c r="E4300" s="12" t="s">
        <v>4329</v>
      </c>
    </row>
    <row r="4301">
      <c r="A4301" s="4" t="s">
        <v>4348</v>
      </c>
      <c r="B4301" s="5" t="str">
        <f>IFERROR(__xludf.DUMMYFUNCTION("IF(A4301="""","""",INDEX(SPLIT(A4301,"" ""),COUNTA(SPLIT(A4301,"" ""))))"),"Crevalcore")</f>
        <v>Crevalcore</v>
      </c>
      <c r="C4301" s="6" t="s">
        <v>4328</v>
      </c>
      <c r="D4301" s="6"/>
      <c r="E4301" s="12" t="s">
        <v>4329</v>
      </c>
    </row>
    <row r="4302">
      <c r="A4302" s="4" t="s">
        <v>4349</v>
      </c>
      <c r="B4302" s="5" t="str">
        <f>IFERROR(__xludf.DUMMYFUNCTION("IF(A4302="""","""",INDEX(SPLIT(A4302,"" ""),COUNTA(SPLIT(A4302,"" ""))))"),"Dozza")</f>
        <v>Dozza</v>
      </c>
      <c r="C4302" s="6" t="s">
        <v>4328</v>
      </c>
      <c r="D4302" s="6"/>
      <c r="E4302" s="12" t="s">
        <v>4329</v>
      </c>
    </row>
    <row r="4303">
      <c r="A4303" s="4" t="s">
        <v>4350</v>
      </c>
      <c r="B4303" s="5" t="str">
        <f>IFERROR(__xludf.DUMMYFUNCTION("IF(A4303="""","""",INDEX(SPLIT(A4303,"" ""),COUNTA(SPLIT(A4303,"" ""))))"),"Fontanelice")</f>
        <v>Fontanelice</v>
      </c>
      <c r="C4303" s="6" t="s">
        <v>4328</v>
      </c>
      <c r="D4303" s="6"/>
      <c r="E4303" s="12" t="s">
        <v>4329</v>
      </c>
    </row>
    <row r="4304">
      <c r="A4304" s="4" t="s">
        <v>4351</v>
      </c>
      <c r="B4304" s="5" t="str">
        <f>IFERROR(__xludf.DUMMYFUNCTION("IF(A4304="""","""",INDEX(SPLIT(A4304,"" ""),COUNTA(SPLIT(A4304,"" ""))))"),"Montano")</f>
        <v>Montano</v>
      </c>
      <c r="C4304" s="6" t="s">
        <v>4328</v>
      </c>
      <c r="D4304" s="6"/>
      <c r="E4304" s="12" t="s">
        <v>4329</v>
      </c>
    </row>
    <row r="4305">
      <c r="A4305" s="4" t="s">
        <v>4352</v>
      </c>
      <c r="B4305" s="5" t="str">
        <f>IFERROR(__xludf.DUMMYFUNCTION("IF(A4305="""","""",INDEX(SPLIT(A4305,"" ""),COUNTA(SPLIT(A4305,"" ""))))"),"Galliera")</f>
        <v>Galliera</v>
      </c>
      <c r="C4305" s="6" t="s">
        <v>4328</v>
      </c>
      <c r="D4305" s="6"/>
      <c r="E4305" s="12" t="s">
        <v>4329</v>
      </c>
    </row>
    <row r="4306">
      <c r="A4306" s="4" t="s">
        <v>4353</v>
      </c>
      <c r="B4306" s="5" t="str">
        <f>IFERROR(__xludf.DUMMYFUNCTION("IF(A4306="""","""",INDEX(SPLIT(A4306,"" ""),COUNTA(SPLIT(A4306,"" ""))))"),"dell'Emilia")</f>
        <v>dell'Emilia</v>
      </c>
      <c r="C4306" s="6" t="s">
        <v>4328</v>
      </c>
      <c r="D4306" s="6"/>
      <c r="E4306" s="12" t="s">
        <v>4329</v>
      </c>
    </row>
    <row r="4307">
      <c r="A4307" s="4" t="s">
        <v>4354</v>
      </c>
      <c r="B4307" s="5" t="str">
        <f>IFERROR(__xludf.DUMMYFUNCTION("IF(A4307="""","""",INDEX(SPLIT(A4307,"" ""),COUNTA(SPLIT(A4307,"" ""))))"),"Morandi")</f>
        <v>Morandi</v>
      </c>
      <c r="C4307" s="6" t="s">
        <v>4328</v>
      </c>
      <c r="D4307" s="6"/>
      <c r="E4307" s="12" t="s">
        <v>4329</v>
      </c>
    </row>
    <row r="4308">
      <c r="A4308" s="4" t="s">
        <v>4355</v>
      </c>
      <c r="B4308" s="5" t="str">
        <f>IFERROR(__xludf.DUMMYFUNCTION("IF(A4308="""","""",INDEX(SPLIT(A4308,"" ""),COUNTA(SPLIT(A4308,"" ""))))"),"Imola")</f>
        <v>Imola</v>
      </c>
      <c r="C4308" s="6" t="s">
        <v>4328</v>
      </c>
      <c r="D4308" s="6"/>
      <c r="E4308" s="12" t="s">
        <v>4329</v>
      </c>
    </row>
    <row r="4309">
      <c r="A4309" s="4" t="s">
        <v>4356</v>
      </c>
      <c r="B4309" s="5" t="str">
        <f>IFERROR(__xludf.DUMMYFUNCTION("IF(A4309="""","""",INDEX(SPLIT(A4309,"" ""),COUNTA(SPLIT(A4309,"" ""))))"),"Belvedere")</f>
        <v>Belvedere</v>
      </c>
      <c r="C4309" s="6" t="s">
        <v>4328</v>
      </c>
      <c r="D4309" s="6"/>
      <c r="E4309" s="12" t="s">
        <v>4329</v>
      </c>
    </row>
    <row r="4310">
      <c r="A4310" s="4" t="s">
        <v>4357</v>
      </c>
      <c r="B4310" s="5" t="str">
        <f>IFERROR(__xludf.DUMMYFUNCTION("IF(A4310="""","""",INDEX(SPLIT(A4310,"" ""),COUNTA(SPLIT(A4310,"" ""))))"),"Loiano")</f>
        <v>Loiano</v>
      </c>
      <c r="C4310" s="6" t="s">
        <v>4328</v>
      </c>
      <c r="D4310" s="6"/>
      <c r="E4310" s="12" t="s">
        <v>4329</v>
      </c>
    </row>
    <row r="4311">
      <c r="A4311" s="4" t="s">
        <v>4358</v>
      </c>
      <c r="B4311" s="5" t="str">
        <f>IFERROR(__xludf.DUMMYFUNCTION("IF(A4311="""","""",INDEX(SPLIT(A4311,"" ""),COUNTA(SPLIT(A4311,"" ""))))"),"Malalbergo")</f>
        <v>Malalbergo</v>
      </c>
      <c r="C4311" s="6" t="s">
        <v>4328</v>
      </c>
      <c r="D4311" s="6"/>
      <c r="E4311" s="12" t="s">
        <v>4329</v>
      </c>
    </row>
    <row r="4312">
      <c r="A4312" s="4" t="s">
        <v>4359</v>
      </c>
      <c r="B4312" s="5" t="str">
        <f>IFERROR(__xludf.DUMMYFUNCTION("IF(A4312="""","""",INDEX(SPLIT(A4312,"" ""),COUNTA(SPLIT(A4312,"" ""))))"),"Marzabotto")</f>
        <v>Marzabotto</v>
      </c>
      <c r="C4312" s="6" t="s">
        <v>4328</v>
      </c>
      <c r="D4312" s="6"/>
      <c r="E4312" s="12" t="s">
        <v>4329</v>
      </c>
    </row>
    <row r="4313">
      <c r="A4313" s="4" t="s">
        <v>4360</v>
      </c>
      <c r="B4313" s="5" t="str">
        <f>IFERROR(__xludf.DUMMYFUNCTION("IF(A4313="""","""",INDEX(SPLIT(A4313,"" ""),COUNTA(SPLIT(A4313,"" ""))))"),"Medicina")</f>
        <v>Medicina</v>
      </c>
      <c r="C4313" s="6" t="s">
        <v>4328</v>
      </c>
      <c r="D4313" s="6"/>
      <c r="E4313" s="12" t="s">
        <v>4329</v>
      </c>
    </row>
    <row r="4314">
      <c r="A4314" s="4" t="s">
        <v>4361</v>
      </c>
      <c r="B4314" s="5" t="str">
        <f>IFERROR(__xludf.DUMMYFUNCTION("IF(A4314="""","""",INDEX(SPLIT(A4314,"" ""),COUNTA(SPLIT(A4314,"" ""))))"),"Minerbio")</f>
        <v>Minerbio</v>
      </c>
      <c r="C4314" s="6" t="s">
        <v>4328</v>
      </c>
      <c r="D4314" s="6"/>
      <c r="E4314" s="12" t="s">
        <v>4329</v>
      </c>
    </row>
    <row r="4315">
      <c r="A4315" s="4" t="s">
        <v>4362</v>
      </c>
      <c r="B4315" s="5" t="str">
        <f>IFERROR(__xludf.DUMMYFUNCTION("IF(A4315="""","""",INDEX(SPLIT(A4315,"" ""),COUNTA(SPLIT(A4315,"" ""))))"),"Molinella")</f>
        <v>Molinella</v>
      </c>
      <c r="C4315" s="6" t="s">
        <v>4328</v>
      </c>
      <c r="D4315" s="6"/>
      <c r="E4315" s="12" t="s">
        <v>4329</v>
      </c>
    </row>
    <row r="4316">
      <c r="A4316" s="4" t="s">
        <v>4363</v>
      </c>
      <c r="B4316" s="5" t="str">
        <f>IFERROR(__xludf.DUMMYFUNCTION("IF(A4316="""","""",INDEX(SPLIT(A4316,"" ""),COUNTA(SPLIT(A4316,"" ""))))"),"Monghidoro")</f>
        <v>Monghidoro</v>
      </c>
      <c r="C4316" s="6" t="s">
        <v>4328</v>
      </c>
      <c r="D4316" s="6"/>
      <c r="E4316" s="12" t="s">
        <v>4329</v>
      </c>
    </row>
    <row r="4317">
      <c r="A4317" s="4" t="s">
        <v>4364</v>
      </c>
      <c r="B4317" s="5" t="str">
        <f>IFERROR(__xludf.DUMMYFUNCTION("IF(A4317="""","""",INDEX(SPLIT(A4317,"" ""),COUNTA(SPLIT(A4317,"" ""))))"),"Monterenzio")</f>
        <v>Monterenzio</v>
      </c>
      <c r="C4317" s="6" t="s">
        <v>4328</v>
      </c>
      <c r="D4317" s="6"/>
      <c r="E4317" s="12" t="s">
        <v>4329</v>
      </c>
    </row>
    <row r="4318">
      <c r="A4318" s="4" t="s">
        <v>4365</v>
      </c>
      <c r="B4318" s="5" t="str">
        <f>IFERROR(__xludf.DUMMYFUNCTION("IF(A4318="""","""",INDEX(SPLIT(A4318,"" ""),COUNTA(SPLIT(A4318,"" ""))))"),"Pietro")</f>
        <v>Pietro</v>
      </c>
      <c r="C4318" s="6" t="s">
        <v>4328</v>
      </c>
      <c r="D4318" s="6"/>
      <c r="E4318" s="12" t="s">
        <v>4329</v>
      </c>
    </row>
    <row r="4319">
      <c r="A4319" s="4" t="s">
        <v>4366</v>
      </c>
      <c r="B4319" s="5" t="str">
        <f>IFERROR(__xludf.DUMMYFUNCTION("IF(A4319="""","""",INDEX(SPLIT(A4319,"" ""),COUNTA(SPLIT(A4319,"" ""))))"),"Monzuno")</f>
        <v>Monzuno</v>
      </c>
      <c r="C4319" s="6" t="s">
        <v>4328</v>
      </c>
      <c r="D4319" s="6"/>
      <c r="E4319" s="12" t="s">
        <v>4329</v>
      </c>
    </row>
    <row r="4320">
      <c r="A4320" s="4" t="s">
        <v>4367</v>
      </c>
      <c r="B4320" s="5" t="str">
        <f>IFERROR(__xludf.DUMMYFUNCTION("IF(A4320="""","""",INDEX(SPLIT(A4320,"" ""),COUNTA(SPLIT(A4320,"" ""))))"),"Mordano")</f>
        <v>Mordano</v>
      </c>
      <c r="C4320" s="6" t="s">
        <v>4328</v>
      </c>
      <c r="D4320" s="6"/>
      <c r="E4320" s="12" t="s">
        <v>4329</v>
      </c>
    </row>
    <row r="4321">
      <c r="A4321" s="4" t="s">
        <v>4368</v>
      </c>
      <c r="B4321" s="5" t="str">
        <f>IFERROR(__xludf.DUMMYFUNCTION("IF(A4321="""","""",INDEX(SPLIT(A4321,"" ""),COUNTA(SPLIT(A4321,"" ""))))"),"dell'Emilia")</f>
        <v>dell'Emilia</v>
      </c>
      <c r="C4321" s="6" t="s">
        <v>4328</v>
      </c>
      <c r="D4321" s="6"/>
      <c r="E4321" s="12" t="s">
        <v>4329</v>
      </c>
    </row>
    <row r="4322">
      <c r="A4322" s="4" t="s">
        <v>4369</v>
      </c>
      <c r="B4322" s="5" t="str">
        <f>IFERROR(__xludf.DUMMYFUNCTION("IF(A4322="""","""",INDEX(SPLIT(A4322,"" ""),COUNTA(SPLIT(A4322,"" ""))))"),"Pianoro")</f>
        <v>Pianoro</v>
      </c>
      <c r="C4322" s="6" t="s">
        <v>4328</v>
      </c>
      <c r="D4322" s="6"/>
      <c r="E4322" s="12" t="s">
        <v>4329</v>
      </c>
    </row>
    <row r="4323">
      <c r="A4323" s="4" t="s">
        <v>4370</v>
      </c>
      <c r="B4323" s="5" t="str">
        <f>IFERROR(__xludf.DUMMYFUNCTION("IF(A4323="""","""",INDEX(SPLIT(A4323,"" ""),COUNTA(SPLIT(A4323,"" ""))))"),"Cento")</f>
        <v>Cento</v>
      </c>
      <c r="C4323" s="6" t="s">
        <v>4328</v>
      </c>
      <c r="D4323" s="6"/>
      <c r="E4323" s="12" t="s">
        <v>4329</v>
      </c>
    </row>
    <row r="4324">
      <c r="A4324" s="4" t="s">
        <v>4371</v>
      </c>
      <c r="B4324" s="5" t="str">
        <f>IFERROR(__xludf.DUMMYFUNCTION("IF(A4324="""","""",INDEX(SPLIT(A4324,"" ""),COUNTA(SPLIT(A4324,"" ""))))"),"Bolognese")</f>
        <v>Bolognese</v>
      </c>
      <c r="C4324" s="6" t="s">
        <v>4328</v>
      </c>
      <c r="D4324" s="6"/>
      <c r="E4324" s="12" t="s">
        <v>4329</v>
      </c>
    </row>
    <row r="4325">
      <c r="A4325" s="4" t="s">
        <v>4372</v>
      </c>
      <c r="B4325" s="5" t="str">
        <f>IFERROR(__xludf.DUMMYFUNCTION("IF(A4325="""","""",INDEX(SPLIT(A4325,"" ""),COUNTA(SPLIT(A4325,"" ""))))"),"Sambro")</f>
        <v>Sambro</v>
      </c>
      <c r="C4325" s="6" t="s">
        <v>4328</v>
      </c>
      <c r="D4325" s="6"/>
      <c r="E4325" s="12" t="s">
        <v>4329</v>
      </c>
    </row>
    <row r="4326">
      <c r="A4326" s="4" t="s">
        <v>4373</v>
      </c>
      <c r="B4326" s="5" t="str">
        <f>IFERROR(__xludf.DUMMYFUNCTION("IF(A4326="""","""",INDEX(SPLIT(A4326,"" ""),COUNTA(SPLIT(A4326,"" ""))))"),"Piano")</f>
        <v>Piano</v>
      </c>
      <c r="C4326" s="6" t="s">
        <v>4328</v>
      </c>
      <c r="D4326" s="6"/>
      <c r="E4326" s="12" t="s">
        <v>4329</v>
      </c>
    </row>
    <row r="4327">
      <c r="A4327" s="4" t="s">
        <v>4374</v>
      </c>
      <c r="B4327" s="5" t="str">
        <f>IFERROR(__xludf.DUMMYFUNCTION("IF(A4327="""","""",INDEX(SPLIT(A4327,"" ""),COUNTA(SPLIT(A4327,"" ""))))"),"Persiceto")</f>
        <v>Persiceto</v>
      </c>
      <c r="C4327" s="6" t="s">
        <v>4328</v>
      </c>
      <c r="D4327" s="6"/>
      <c r="E4327" s="12" t="s">
        <v>4329</v>
      </c>
    </row>
    <row r="4328">
      <c r="A4328" s="4" t="s">
        <v>4375</v>
      </c>
      <c r="B4328" s="5" t="str">
        <f>IFERROR(__xludf.DUMMYFUNCTION("IF(A4328="""","""",INDEX(SPLIT(A4328,"" ""),COUNTA(SPLIT(A4328,"" ""))))"),"Savena")</f>
        <v>Savena</v>
      </c>
      <c r="C4328" s="6" t="s">
        <v>4328</v>
      </c>
      <c r="D4328" s="6"/>
      <c r="E4328" s="12" t="s">
        <v>4329</v>
      </c>
    </row>
    <row r="4329">
      <c r="A4329" s="4" t="s">
        <v>4376</v>
      </c>
      <c r="B4329" s="5" t="str">
        <f>IFERROR(__xludf.DUMMYFUNCTION("IF(A4329="""","""",INDEX(SPLIT(A4329,"" ""),COUNTA(SPLIT(A4329,"" ""))))"),"Casale")</f>
        <v>Casale</v>
      </c>
      <c r="C4329" s="6" t="s">
        <v>4328</v>
      </c>
      <c r="D4329" s="6"/>
      <c r="E4329" s="12" t="s">
        <v>4329</v>
      </c>
    </row>
    <row r="4330">
      <c r="A4330" s="4" t="s">
        <v>4377</v>
      </c>
      <c r="B4330" s="5" t="str">
        <f>IFERROR(__xludf.DUMMYFUNCTION("IF(A4330="""","""",INDEX(SPLIT(A4330,"" ""),COUNTA(SPLIT(A4330,"" ""))))"),"Bolognese")</f>
        <v>Bolognese</v>
      </c>
      <c r="C4330" s="6" t="s">
        <v>4328</v>
      </c>
      <c r="D4330" s="6"/>
      <c r="E4330" s="12" t="s">
        <v>4329</v>
      </c>
    </row>
    <row r="4331">
      <c r="A4331" s="4" t="s">
        <v>4378</v>
      </c>
      <c r="B4331" s="5" t="str">
        <f>IFERROR(__xludf.DUMMYFUNCTION("IF(A4331="""","""",INDEX(SPLIT(A4331,"" ""),COUNTA(SPLIT(A4331,"" ""))))"),"Marconi")</f>
        <v>Marconi</v>
      </c>
      <c r="C4331" s="6" t="s">
        <v>4328</v>
      </c>
      <c r="D4331" s="6"/>
      <c r="E4331" s="12" t="s">
        <v>4329</v>
      </c>
    </row>
    <row r="4332">
      <c r="A4332" s="4" t="s">
        <v>4379</v>
      </c>
      <c r="B4332" s="5" t="str">
        <f>IFERROR(__xludf.DUMMYFUNCTION("IF(A4332="""","""",INDEX(SPLIT(A4332,"" ""),COUNTA(SPLIT(A4332,"" ""))))"),"Vergato")</f>
        <v>Vergato</v>
      </c>
      <c r="C4332" s="6" t="s">
        <v>4328</v>
      </c>
      <c r="D4332" s="6"/>
      <c r="E4332" s="12" t="s">
        <v>4329</v>
      </c>
    </row>
    <row r="4333">
      <c r="A4333" s="4" t="s">
        <v>4380</v>
      </c>
      <c r="B4333" s="5" t="str">
        <f>IFERROR(__xludf.DUMMYFUNCTION("IF(A4333="""","""",INDEX(SPLIT(A4333,"" ""),COUNTA(SPLIT(A4333,"" ""))))"),"Predosa")</f>
        <v>Predosa</v>
      </c>
      <c r="C4333" s="6" t="s">
        <v>4328</v>
      </c>
      <c r="D4333" s="6"/>
      <c r="E4333" s="12" t="s">
        <v>4329</v>
      </c>
    </row>
    <row r="4334">
      <c r="A4334" s="4" t="s">
        <v>4381</v>
      </c>
      <c r="B4334" s="5" t="str">
        <f>IFERROR(__xludf.DUMMYFUNCTION("IF(A4334="""","""",INDEX(SPLIT(A4334,"" ""),COUNTA(SPLIT(A4334,"" ""))))"),"Valsamoggia")</f>
        <v>Valsamoggia</v>
      </c>
      <c r="C4334" s="6" t="s">
        <v>4328</v>
      </c>
      <c r="D4334" s="6"/>
      <c r="E4334" s="12" t="s">
        <v>4329</v>
      </c>
    </row>
    <row r="4335">
      <c r="A4335" s="4" t="s">
        <v>4382</v>
      </c>
      <c r="B4335" s="5" t="str">
        <f>IFERROR(__xludf.DUMMYFUNCTION("IF(A4335="""","""",INDEX(SPLIT(A4335,"" ""),COUNTA(SPLIT(A4335,"" ""))))"),"Terme")</f>
        <v>Terme</v>
      </c>
      <c r="C4335" s="6" t="s">
        <v>4328</v>
      </c>
      <c r="D4335" s="6"/>
      <c r="E4335" s="12" t="s">
        <v>4329</v>
      </c>
    </row>
    <row r="4336">
      <c r="A4336" s="4" t="s">
        <v>4383</v>
      </c>
      <c r="B4336" s="5" t="str">
        <f>IFERROR(__xludf.DUMMYFUNCTION("IF(A4336="""","""",INDEX(SPLIT(A4336,"" ""),COUNTA(SPLIT(A4336,"" ""))))"),"Argenta")</f>
        <v>Argenta</v>
      </c>
      <c r="C4336" s="6"/>
      <c r="D4336" s="6" t="s">
        <v>4384</v>
      </c>
      <c r="E4336" s="13" t="s">
        <v>4385</v>
      </c>
    </row>
    <row r="4337">
      <c r="A4337" s="4" t="s">
        <v>4386</v>
      </c>
      <c r="B4337" s="5" t="str">
        <f>IFERROR(__xludf.DUMMYFUNCTION("IF(A4337="""","""",INDEX(SPLIT(A4337,"" ""),COUNTA(SPLIT(A4337,"" ""))))"),"Berra")</f>
        <v>Berra</v>
      </c>
      <c r="C4337" s="6"/>
      <c r="D4337" s="6" t="s">
        <v>4384</v>
      </c>
      <c r="E4337" s="13" t="s">
        <v>4385</v>
      </c>
    </row>
    <row r="4338">
      <c r="A4338" s="4" t="s">
        <v>4387</v>
      </c>
      <c r="B4338" s="5" t="str">
        <f>IFERROR(__xludf.DUMMYFUNCTION("IF(A4338="""","""",INDEX(SPLIT(A4338,"" ""),COUNTA(SPLIT(A4338,"" ""))))"),"Bondeno")</f>
        <v>Bondeno</v>
      </c>
      <c r="C4338" s="6"/>
      <c r="D4338" s="6" t="s">
        <v>4384</v>
      </c>
      <c r="E4338" s="13" t="s">
        <v>4385</v>
      </c>
    </row>
    <row r="4339">
      <c r="A4339" s="4" t="s">
        <v>4388</v>
      </c>
      <c r="B4339" s="5" t="str">
        <f>IFERROR(__xludf.DUMMYFUNCTION("IF(A4339="""","""",INDEX(SPLIT(A4339,"" ""),COUNTA(SPLIT(A4339,"" ""))))"),"Cento")</f>
        <v>Cento</v>
      </c>
      <c r="C4339" s="6"/>
      <c r="D4339" s="6" t="s">
        <v>4384</v>
      </c>
      <c r="E4339" s="13" t="s">
        <v>4385</v>
      </c>
    </row>
    <row r="4340">
      <c r="A4340" s="4" t="s">
        <v>4389</v>
      </c>
      <c r="B4340" s="5" t="str">
        <f>IFERROR(__xludf.DUMMYFUNCTION("IF(A4340="""","""",INDEX(SPLIT(A4340,"" ""),COUNTA(SPLIT(A4340,"" ""))))"),"Codigoro")</f>
        <v>Codigoro</v>
      </c>
      <c r="C4340" s="6"/>
      <c r="D4340" s="6" t="s">
        <v>4384</v>
      </c>
      <c r="E4340" s="13" t="s">
        <v>4385</v>
      </c>
    </row>
    <row r="4341">
      <c r="A4341" s="4" t="s">
        <v>4390</v>
      </c>
      <c r="B4341" s="5" t="str">
        <f>IFERROR(__xludf.DUMMYFUNCTION("IF(A4341="""","""",INDEX(SPLIT(A4341,"" ""),COUNTA(SPLIT(A4341,"" ""))))"),"Comacchio")</f>
        <v>Comacchio</v>
      </c>
      <c r="C4341" s="6"/>
      <c r="D4341" s="6" t="s">
        <v>4384</v>
      </c>
      <c r="E4341" s="13" t="s">
        <v>4385</v>
      </c>
    </row>
    <row r="4342">
      <c r="A4342" s="4" t="s">
        <v>4391</v>
      </c>
      <c r="B4342" s="5" t="str">
        <f>IFERROR(__xludf.DUMMYFUNCTION("IF(A4342="""","""",INDEX(SPLIT(A4342,"" ""),COUNTA(SPLIT(A4342,"" ""))))"),"Copparo")</f>
        <v>Copparo</v>
      </c>
      <c r="C4342" s="6"/>
      <c r="D4342" s="6" t="s">
        <v>4384</v>
      </c>
      <c r="E4342" s="13" t="s">
        <v>4385</v>
      </c>
    </row>
    <row r="4343">
      <c r="A4343" s="4" t="s">
        <v>4384</v>
      </c>
      <c r="B4343" s="5" t="str">
        <f>IFERROR(__xludf.DUMMYFUNCTION("IF(A4343="""","""",INDEX(SPLIT(A4343,"" ""),COUNTA(SPLIT(A4343,"" ""))))"),"Ferrara")</f>
        <v>Ferrara</v>
      </c>
      <c r="C4343" s="6"/>
      <c r="D4343" s="6" t="s">
        <v>4384</v>
      </c>
      <c r="E4343" s="13" t="s">
        <v>4385</v>
      </c>
    </row>
    <row r="4344">
      <c r="A4344" s="4" t="s">
        <v>4392</v>
      </c>
      <c r="B4344" s="5" t="str">
        <f>IFERROR(__xludf.DUMMYFUNCTION("IF(A4344="""","""",INDEX(SPLIT(A4344,"" ""),COUNTA(SPLIT(A4344,"" ""))))"),"Formignana")</f>
        <v>Formignana</v>
      </c>
      <c r="C4344" s="6"/>
      <c r="D4344" s="6" t="s">
        <v>4384</v>
      </c>
      <c r="E4344" s="13" t="s">
        <v>4385</v>
      </c>
    </row>
    <row r="4345">
      <c r="A4345" s="4" t="s">
        <v>4393</v>
      </c>
      <c r="B4345" s="5" t="str">
        <f>IFERROR(__xludf.DUMMYFUNCTION("IF(A4345="""","""",INDEX(SPLIT(A4345,"" ""),COUNTA(SPLIT(A4345,"" ""))))"),"Savoia")</f>
        <v>Savoia</v>
      </c>
      <c r="C4345" s="6"/>
      <c r="D4345" s="6" t="s">
        <v>4384</v>
      </c>
      <c r="E4345" s="13" t="s">
        <v>4385</v>
      </c>
    </row>
    <row r="4346">
      <c r="A4346" s="4" t="s">
        <v>4394</v>
      </c>
      <c r="B4346" s="5" t="str">
        <f>IFERROR(__xludf.DUMMYFUNCTION("IF(A4346="""","""",INDEX(SPLIT(A4346,"" ""),COUNTA(SPLIT(A4346,"" ""))))"),"Lagosanto")</f>
        <v>Lagosanto</v>
      </c>
      <c r="C4346" s="6"/>
      <c r="D4346" s="6" t="s">
        <v>4384</v>
      </c>
      <c r="E4346" s="13" t="s">
        <v>4385</v>
      </c>
    </row>
    <row r="4347">
      <c r="A4347" s="4" t="s">
        <v>4395</v>
      </c>
      <c r="B4347" s="5" t="str">
        <f>IFERROR(__xludf.DUMMYFUNCTION("IF(A4347="""","""",INDEX(SPLIT(A4347,"" ""),COUNTA(SPLIT(A4347,"" ""))))"),"Torello")</f>
        <v>Torello</v>
      </c>
      <c r="C4347" s="6"/>
      <c r="D4347" s="6" t="s">
        <v>4384</v>
      </c>
      <c r="E4347" s="13" t="s">
        <v>4385</v>
      </c>
    </row>
    <row r="4348">
      <c r="A4348" s="4" t="s">
        <v>4396</v>
      </c>
      <c r="B4348" s="5" t="str">
        <f>IFERROR(__xludf.DUMMYFUNCTION("IF(A4348="""","""",INDEX(SPLIT(A4348,"" ""),COUNTA(SPLIT(A4348,"" ""))))"),"Mesola")</f>
        <v>Mesola</v>
      </c>
      <c r="C4348" s="6"/>
      <c r="D4348" s="6" t="s">
        <v>4384</v>
      </c>
      <c r="E4348" s="13" t="s">
        <v>4385</v>
      </c>
    </row>
    <row r="4349">
      <c r="A4349" s="4" t="s">
        <v>4397</v>
      </c>
      <c r="B4349" s="5" t="str">
        <f>IFERROR(__xludf.DUMMYFUNCTION("IF(A4349="""","""",INDEX(SPLIT(A4349,"" ""),COUNTA(SPLIT(A4349,"" ""))))"),"Ostellato")</f>
        <v>Ostellato</v>
      </c>
      <c r="C4349" s="6"/>
      <c r="D4349" s="6" t="s">
        <v>4384</v>
      </c>
      <c r="E4349" s="13" t="s">
        <v>4385</v>
      </c>
    </row>
    <row r="4350">
      <c r="A4350" s="4" t="s">
        <v>4398</v>
      </c>
      <c r="B4350" s="5" t="str">
        <f>IFERROR(__xludf.DUMMYFUNCTION("IF(A4350="""","""",INDEX(SPLIT(A4350,"" ""),COUNTA(SPLIT(A4350,"" ""))))"),"Renatico")</f>
        <v>Renatico</v>
      </c>
      <c r="C4350" s="6"/>
      <c r="D4350" s="6" t="s">
        <v>4384</v>
      </c>
      <c r="E4350" s="13" t="s">
        <v>4385</v>
      </c>
    </row>
    <row r="4351">
      <c r="A4351" s="4" t="s">
        <v>4399</v>
      </c>
      <c r="B4351" s="5" t="str">
        <f>IFERROR(__xludf.DUMMYFUNCTION("IF(A4351="""","""",INDEX(SPLIT(A4351,"" ""),COUNTA(SPLIT(A4351,"" ""))))"),"Portomaggiore")</f>
        <v>Portomaggiore</v>
      </c>
      <c r="C4351" s="6"/>
      <c r="D4351" s="6" t="s">
        <v>4384</v>
      </c>
      <c r="E4351" s="13" t="s">
        <v>4385</v>
      </c>
    </row>
    <row r="4352">
      <c r="A4352" s="4" t="s">
        <v>4400</v>
      </c>
      <c r="B4352" s="5" t="str">
        <f>IFERROR(__xludf.DUMMYFUNCTION("IF(A4352="""","""",INDEX(SPLIT(A4352,"" ""),COUNTA(SPLIT(A4352,"" ""))))"),"Ro")</f>
        <v>Ro</v>
      </c>
      <c r="C4352" s="6"/>
      <c r="D4352" s="6" t="s">
        <v>4384</v>
      </c>
      <c r="E4352" s="13" t="s">
        <v>4385</v>
      </c>
    </row>
    <row r="4353">
      <c r="A4353" s="4" t="s">
        <v>4401</v>
      </c>
      <c r="B4353" s="5" t="str">
        <f>IFERROR(__xludf.DUMMYFUNCTION("IF(A4353="""","""",INDEX(SPLIT(A4353,"" ""),COUNTA(SPLIT(A4353,"" ""))))"),"Mainarda")</f>
        <v>Mainarda</v>
      </c>
      <c r="C4353" s="6"/>
      <c r="D4353" s="6" t="s">
        <v>4384</v>
      </c>
      <c r="E4353" s="13" t="s">
        <v>4385</v>
      </c>
    </row>
    <row r="4354">
      <c r="A4354" s="4" t="s">
        <v>4402</v>
      </c>
      <c r="B4354" s="5" t="str">
        <f>IFERROR(__xludf.DUMMYFUNCTION("IF(A4354="""","""",INDEX(SPLIT(A4354,"" ""),COUNTA(SPLIT(A4354,"" ""))))"),"Voghiera")</f>
        <v>Voghiera</v>
      </c>
      <c r="C4354" s="6"/>
      <c r="D4354" s="6" t="s">
        <v>4384</v>
      </c>
      <c r="E4354" s="13" t="s">
        <v>4385</v>
      </c>
    </row>
    <row r="4355">
      <c r="A4355" s="4" t="s">
        <v>4403</v>
      </c>
      <c r="B4355" s="5" t="str">
        <f>IFERROR(__xludf.DUMMYFUNCTION("IF(A4355="""","""",INDEX(SPLIT(A4355,"" ""),COUNTA(SPLIT(A4355,"" ""))))"),"Tresigallo")</f>
        <v>Tresigallo</v>
      </c>
      <c r="C4355" s="6"/>
      <c r="D4355" s="6" t="s">
        <v>4384</v>
      </c>
      <c r="E4355" s="13" t="s">
        <v>4385</v>
      </c>
    </row>
    <row r="4356">
      <c r="A4356" s="4" t="s">
        <v>4404</v>
      </c>
      <c r="B4356" s="5" t="str">
        <f>IFERROR(__xludf.DUMMYFUNCTION("IF(A4356="""","""",INDEX(SPLIT(A4356,"" ""),COUNTA(SPLIT(A4356,"" ""))))"),"Goro")</f>
        <v>Goro</v>
      </c>
      <c r="C4356" s="6"/>
      <c r="D4356" s="6" t="s">
        <v>4384</v>
      </c>
      <c r="E4356" s="13" t="s">
        <v>4385</v>
      </c>
    </row>
    <row r="4357">
      <c r="A4357" s="4" t="s">
        <v>4405</v>
      </c>
      <c r="B4357" s="5" t="str">
        <f>IFERROR(__xludf.DUMMYFUNCTION("IF(A4357="""","""",INDEX(SPLIT(A4357,"" ""),COUNTA(SPLIT(A4357,"" ""))))"),"Fiscaglia")</f>
        <v>Fiscaglia</v>
      </c>
      <c r="C4357" s="6"/>
      <c r="D4357" s="6" t="s">
        <v>4384</v>
      </c>
      <c r="E4357" s="13" t="s">
        <v>4385</v>
      </c>
    </row>
    <row r="4358">
      <c r="A4358" s="4" t="s">
        <v>4406</v>
      </c>
      <c r="B4358" s="5" t="str">
        <f>IFERROR(__xludf.DUMMYFUNCTION("IF(A4358="""","""",INDEX(SPLIT(A4358,"" ""),COUNTA(SPLIT(A4358,"" ""))))"),"Reno")</f>
        <v>Reno</v>
      </c>
      <c r="C4358" s="6"/>
      <c r="D4358" s="6" t="s">
        <v>4384</v>
      </c>
      <c r="E4358" s="13" t="s">
        <v>4385</v>
      </c>
    </row>
    <row r="4359">
      <c r="A4359" s="4" t="s">
        <v>4407</v>
      </c>
      <c r="B4359" s="5" t="str">
        <f>IFERROR(__xludf.DUMMYFUNCTION("IF(A4359="""","""",INDEX(SPLIT(A4359,"" ""),COUNTA(SPLIT(A4359,"" ""))))"),"Alfonsine")</f>
        <v>Alfonsine</v>
      </c>
      <c r="C4359" s="6"/>
      <c r="D4359" s="6" t="s">
        <v>4408</v>
      </c>
      <c r="E4359" s="13" t="s">
        <v>4409</v>
      </c>
    </row>
    <row r="4360">
      <c r="A4360" s="4" t="s">
        <v>4410</v>
      </c>
      <c r="B4360" s="5" t="str">
        <f>IFERROR(__xludf.DUMMYFUNCTION("IF(A4360="""","""",INDEX(SPLIT(A4360,"" ""),COUNTA(SPLIT(A4360,"" ""))))"),"Bagnacavallo")</f>
        <v>Bagnacavallo</v>
      </c>
      <c r="C4360" s="6"/>
      <c r="D4360" s="6" t="s">
        <v>4408</v>
      </c>
      <c r="E4360" s="13" t="s">
        <v>4409</v>
      </c>
    </row>
    <row r="4361">
      <c r="A4361" s="4" t="s">
        <v>4411</v>
      </c>
      <c r="B4361" s="5" t="str">
        <f>IFERROR(__xludf.DUMMYFUNCTION("IF(A4361="""","""",INDEX(SPLIT(A4361,"" ""),COUNTA(SPLIT(A4361,"" ""))))"),"Romagna")</f>
        <v>Romagna</v>
      </c>
      <c r="C4361" s="6"/>
      <c r="D4361" s="6" t="s">
        <v>4408</v>
      </c>
      <c r="E4361" s="13" t="s">
        <v>4409</v>
      </c>
    </row>
    <row r="4362">
      <c r="A4362" s="4" t="s">
        <v>4412</v>
      </c>
      <c r="B4362" s="5" t="str">
        <f>IFERROR(__xludf.DUMMYFUNCTION("IF(A4362="""","""",INDEX(SPLIT(A4362,"" ""),COUNTA(SPLIT(A4362,"" ""))))"),"Brisighella")</f>
        <v>Brisighella</v>
      </c>
      <c r="C4362" s="6"/>
      <c r="D4362" s="6" t="s">
        <v>4408</v>
      </c>
      <c r="E4362" s="13" t="s">
        <v>4409</v>
      </c>
    </row>
    <row r="4363">
      <c r="A4363" s="4" t="s">
        <v>4413</v>
      </c>
      <c r="B4363" s="5" t="str">
        <f>IFERROR(__xludf.DUMMYFUNCTION("IF(A4363="""","""",INDEX(SPLIT(A4363,"" ""),COUNTA(SPLIT(A4363,"" ""))))"),"Valsenio")</f>
        <v>Valsenio</v>
      </c>
      <c r="C4363" s="6"/>
      <c r="D4363" s="6" t="s">
        <v>4408</v>
      </c>
      <c r="E4363" s="13" t="s">
        <v>4409</v>
      </c>
    </row>
    <row r="4364">
      <c r="A4364" s="4" t="s">
        <v>4414</v>
      </c>
      <c r="B4364" s="5" t="str">
        <f>IFERROR(__xludf.DUMMYFUNCTION("IF(A4364="""","""",INDEX(SPLIT(A4364,"" ""),COUNTA(SPLIT(A4364,"" ""))))"),"Bolognese")</f>
        <v>Bolognese</v>
      </c>
      <c r="C4364" s="6"/>
      <c r="D4364" s="6" t="s">
        <v>4408</v>
      </c>
      <c r="E4364" s="13" t="s">
        <v>4409</v>
      </c>
    </row>
    <row r="4365">
      <c r="A4365" s="4" t="s">
        <v>4415</v>
      </c>
      <c r="B4365" s="5" t="str">
        <f>IFERROR(__xludf.DUMMYFUNCTION("IF(A4365="""","""",INDEX(SPLIT(A4365,"" ""),COUNTA(SPLIT(A4365,"" ""))))"),"Cervia")</f>
        <v>Cervia</v>
      </c>
      <c r="C4365" s="6"/>
      <c r="D4365" s="6" t="s">
        <v>4408</v>
      </c>
      <c r="E4365" s="13" t="s">
        <v>4409</v>
      </c>
    </row>
    <row r="4366">
      <c r="A4366" s="4" t="s">
        <v>4416</v>
      </c>
      <c r="B4366" s="5" t="str">
        <f>IFERROR(__xludf.DUMMYFUNCTION("IF(A4366="""","""",INDEX(SPLIT(A4366,"" ""),COUNTA(SPLIT(A4366,"" ""))))"),"Conselice")</f>
        <v>Conselice</v>
      </c>
      <c r="C4366" s="6"/>
      <c r="D4366" s="6" t="s">
        <v>4408</v>
      </c>
      <c r="E4366" s="13" t="s">
        <v>4409</v>
      </c>
    </row>
    <row r="4367">
      <c r="A4367" s="4" t="s">
        <v>4417</v>
      </c>
      <c r="B4367" s="5" t="str">
        <f>IFERROR(__xludf.DUMMYFUNCTION("IF(A4367="""","""",INDEX(SPLIT(A4367,"" ""),COUNTA(SPLIT(A4367,"" ""))))"),"Cotignola")</f>
        <v>Cotignola</v>
      </c>
      <c r="C4367" s="6"/>
      <c r="D4367" s="6" t="s">
        <v>4408</v>
      </c>
      <c r="E4367" s="13" t="s">
        <v>4409</v>
      </c>
    </row>
    <row r="4368">
      <c r="A4368" s="4" t="s">
        <v>4418</v>
      </c>
      <c r="B4368" s="5" t="str">
        <f>IFERROR(__xludf.DUMMYFUNCTION("IF(A4368="""","""",INDEX(SPLIT(A4368,"" ""),COUNTA(SPLIT(A4368,"" ""))))"),"Faenza")</f>
        <v>Faenza</v>
      </c>
      <c r="C4368" s="6"/>
      <c r="D4368" s="6" t="s">
        <v>4408</v>
      </c>
      <c r="E4368" s="13" t="s">
        <v>4409</v>
      </c>
    </row>
    <row r="4369">
      <c r="A4369" s="4" t="s">
        <v>4419</v>
      </c>
      <c r="B4369" s="5" t="str">
        <f>IFERROR(__xludf.DUMMYFUNCTION("IF(A4369="""","""",INDEX(SPLIT(A4369,"" ""),COUNTA(SPLIT(A4369,"" ""))))"),"Fusignano")</f>
        <v>Fusignano</v>
      </c>
      <c r="C4369" s="6"/>
      <c r="D4369" s="6" t="s">
        <v>4408</v>
      </c>
      <c r="E4369" s="13" t="s">
        <v>4409</v>
      </c>
    </row>
    <row r="4370">
      <c r="A4370" s="4" t="s">
        <v>4420</v>
      </c>
      <c r="B4370" s="5" t="str">
        <f>IFERROR(__xludf.DUMMYFUNCTION("IF(A4370="""","""",INDEX(SPLIT(A4370,"" ""),COUNTA(SPLIT(A4370,"" ""))))"),"Lugo")</f>
        <v>Lugo</v>
      </c>
      <c r="C4370" s="6"/>
      <c r="D4370" s="6" t="s">
        <v>4408</v>
      </c>
      <c r="E4370" s="13" t="s">
        <v>4409</v>
      </c>
    </row>
    <row r="4371">
      <c r="A4371" s="4" t="s">
        <v>4421</v>
      </c>
      <c r="B4371" s="5" t="str">
        <f>IFERROR(__xludf.DUMMYFUNCTION("IF(A4371="""","""",INDEX(SPLIT(A4371,"" ""),COUNTA(SPLIT(A4371,"" ""))))"),"Lombarda")</f>
        <v>Lombarda</v>
      </c>
      <c r="C4371" s="6"/>
      <c r="D4371" s="6" t="s">
        <v>4408</v>
      </c>
      <c r="E4371" s="13" t="s">
        <v>4409</v>
      </c>
    </row>
    <row r="4372">
      <c r="A4372" s="4" t="s">
        <v>4408</v>
      </c>
      <c r="B4372" s="5" t="str">
        <f>IFERROR(__xludf.DUMMYFUNCTION("IF(A4372="""","""",INDEX(SPLIT(A4372,"" ""),COUNTA(SPLIT(A4372,"" ""))))"),"Ravenna")</f>
        <v>Ravenna</v>
      </c>
      <c r="C4372" s="6"/>
      <c r="D4372" s="6" t="s">
        <v>4408</v>
      </c>
      <c r="E4372" s="13" t="s">
        <v>4409</v>
      </c>
    </row>
    <row r="4373">
      <c r="A4373" s="4" t="s">
        <v>4422</v>
      </c>
      <c r="B4373" s="5" t="str">
        <f>IFERROR(__xludf.DUMMYFUNCTION("IF(A4373="""","""",INDEX(SPLIT(A4373,"" ""),COUNTA(SPLIT(A4373,"" ""))))"),"Terme")</f>
        <v>Terme</v>
      </c>
      <c r="C4373" s="6"/>
      <c r="D4373" s="6" t="s">
        <v>4408</v>
      </c>
      <c r="E4373" s="13" t="s">
        <v>4409</v>
      </c>
    </row>
    <row r="4374">
      <c r="A4374" s="4" t="s">
        <v>4423</v>
      </c>
      <c r="B4374" s="5" t="str">
        <f>IFERROR(__xludf.DUMMYFUNCTION("IF(A4374="""","""",INDEX(SPLIT(A4374,"" ""),COUNTA(SPLIT(A4374,"" ""))))"),"Russi")</f>
        <v>Russi</v>
      </c>
      <c r="C4374" s="6"/>
      <c r="D4374" s="6" t="s">
        <v>4408</v>
      </c>
      <c r="E4374" s="13" t="s">
        <v>4409</v>
      </c>
    </row>
    <row r="4375">
      <c r="A4375" s="4" t="s">
        <v>4424</v>
      </c>
      <c r="B4375" s="5" t="str">
        <f>IFERROR(__xludf.DUMMYFUNCTION("IF(A4375="""","""",INDEX(SPLIT(A4375,"" ""),COUNTA(SPLIT(A4375,"" ""))))"),"Santerno")</f>
        <v>Santerno</v>
      </c>
      <c r="C4375" s="6"/>
      <c r="D4375" s="6" t="s">
        <v>4408</v>
      </c>
      <c r="E4375" s="13" t="s">
        <v>4409</v>
      </c>
    </row>
    <row r="4376">
      <c r="A4376" s="4" t="s">
        <v>4425</v>
      </c>
      <c r="B4376" s="5" t="str">
        <f>IFERROR(__xludf.DUMMYFUNCTION("IF(A4376="""","""",INDEX(SPLIT(A4376,"" ""),COUNTA(SPLIT(A4376,"" ""))))"),"Solarolo")</f>
        <v>Solarolo</v>
      </c>
      <c r="C4376" s="6"/>
      <c r="D4376" s="6" t="s">
        <v>4408</v>
      </c>
      <c r="E4376" s="13" t="s">
        <v>4409</v>
      </c>
    </row>
    <row r="4377">
      <c r="A4377" s="4" t="s">
        <v>4426</v>
      </c>
      <c r="B4377" s="5" t="str">
        <f>IFERROR(__xludf.DUMMYFUNCTION("IF(A4377="""","""",INDEX(SPLIT(A4377,"" ""),COUNTA(SPLIT(A4377,"" ""))))"),"Romagna")</f>
        <v>Romagna</v>
      </c>
      <c r="C4377" s="6"/>
      <c r="D4377" s="6" t="s">
        <v>4427</v>
      </c>
      <c r="E4377" s="13" t="s">
        <v>4428</v>
      </c>
    </row>
    <row r="4378">
      <c r="A4378" s="4" t="s">
        <v>4429</v>
      </c>
      <c r="B4378" s="5" t="str">
        <f>IFERROR(__xludf.DUMMYFUNCTION("IF(A4378="""","""",INDEX(SPLIT(A4378,"" ""),COUNTA(SPLIT(A4378,"" ""))))"),"Bertinoro")</f>
        <v>Bertinoro</v>
      </c>
      <c r="C4378" s="6"/>
      <c r="D4378" s="6" t="s">
        <v>4427</v>
      </c>
      <c r="E4378" s="13" t="s">
        <v>4428</v>
      </c>
    </row>
    <row r="4379">
      <c r="A4379" s="4" t="s">
        <v>4430</v>
      </c>
      <c r="B4379" s="5" t="str">
        <f>IFERROR(__xludf.DUMMYFUNCTION("IF(A4379="""","""",INDEX(SPLIT(A4379,"" ""),COUNTA(SPLIT(A4379,"" ""))))"),"Borghi")</f>
        <v>Borghi</v>
      </c>
      <c r="C4379" s="6"/>
      <c r="D4379" s="6" t="s">
        <v>4427</v>
      </c>
      <c r="E4379" s="13" t="s">
        <v>4428</v>
      </c>
    </row>
    <row r="4380">
      <c r="A4380" s="4" t="s">
        <v>4431</v>
      </c>
      <c r="B4380" s="5" t="str">
        <f>IFERROR(__xludf.DUMMYFUNCTION("IF(A4380="""","""",INDEX(SPLIT(A4380,"" ""),COUNTA(SPLIT(A4380,"" ""))))"),"Sole")</f>
        <v>Sole</v>
      </c>
      <c r="C4380" s="6"/>
      <c r="D4380" s="6" t="s">
        <v>4427</v>
      </c>
      <c r="E4380" s="13" t="s">
        <v>4428</v>
      </c>
    </row>
    <row r="4381">
      <c r="A4381" s="4" t="s">
        <v>4432</v>
      </c>
      <c r="B4381" s="5" t="str">
        <f>IFERROR(__xludf.DUMMYFUNCTION("IF(A4381="""","""",INDEX(SPLIT(A4381,"" ""),COUNTA(SPLIT(A4381,"" ""))))"),"Cesena")</f>
        <v>Cesena</v>
      </c>
      <c r="C4381" s="6"/>
      <c r="D4381" s="6" t="s">
        <v>4427</v>
      </c>
      <c r="E4381" s="13" t="s">
        <v>4428</v>
      </c>
    </row>
    <row r="4382">
      <c r="A4382" s="4" t="s">
        <v>4433</v>
      </c>
      <c r="B4382" s="5" t="str">
        <f>IFERROR(__xludf.DUMMYFUNCTION("IF(A4382="""","""",INDEX(SPLIT(A4382,"" ""),COUNTA(SPLIT(A4382,"" ""))))"),"Cesenatico")</f>
        <v>Cesenatico</v>
      </c>
      <c r="C4382" s="6"/>
      <c r="D4382" s="6" t="s">
        <v>4427</v>
      </c>
      <c r="E4382" s="13" t="s">
        <v>4428</v>
      </c>
    </row>
    <row r="4383">
      <c r="A4383" s="4" t="s">
        <v>4434</v>
      </c>
      <c r="B4383" s="5" t="str">
        <f>IFERROR(__xludf.DUMMYFUNCTION("IF(A4383="""","""",INDEX(SPLIT(A4383,"" ""),COUNTA(SPLIT(A4383,"" ""))))"),"Romagna")</f>
        <v>Romagna</v>
      </c>
      <c r="C4383" s="6"/>
      <c r="D4383" s="6" t="s">
        <v>4427</v>
      </c>
      <c r="E4383" s="13" t="s">
        <v>4428</v>
      </c>
    </row>
    <row r="4384">
      <c r="A4384" s="4" t="s">
        <v>4435</v>
      </c>
      <c r="B4384" s="5" t="str">
        <f>IFERROR(__xludf.DUMMYFUNCTION("IF(A4384="""","""",INDEX(SPLIT(A4384,"" ""),COUNTA(SPLIT(A4384,"" ""))))"),"Dovadola")</f>
        <v>Dovadola</v>
      </c>
      <c r="C4384" s="6"/>
      <c r="D4384" s="6" t="s">
        <v>4427</v>
      </c>
      <c r="E4384" s="13" t="s">
        <v>4428</v>
      </c>
    </row>
    <row r="4385">
      <c r="A4385" s="4" t="s">
        <v>4436</v>
      </c>
      <c r="B4385" s="5" t="str">
        <f>IFERROR(__xludf.DUMMYFUNCTION("IF(A4385="""","""",INDEX(SPLIT(A4385,"" ""),COUNTA(SPLIT(A4385,"" ""))))"),"Forlì")</f>
        <v>Forlì</v>
      </c>
      <c r="C4385" s="6"/>
      <c r="D4385" s="6" t="s">
        <v>4427</v>
      </c>
      <c r="E4385" s="13" t="s">
        <v>4428</v>
      </c>
    </row>
    <row r="4386">
      <c r="A4386" s="4" t="s">
        <v>4437</v>
      </c>
      <c r="B4386" s="5" t="str">
        <f>IFERROR(__xludf.DUMMYFUNCTION("IF(A4386="""","""",INDEX(SPLIT(A4386,"" ""),COUNTA(SPLIT(A4386,"" ""))))"),"Forlimpopoli")</f>
        <v>Forlimpopoli</v>
      </c>
      <c r="C4386" s="6"/>
      <c r="D4386" s="6" t="s">
        <v>4427</v>
      </c>
      <c r="E4386" s="13" t="s">
        <v>4428</v>
      </c>
    </row>
    <row r="4387">
      <c r="A4387" s="4" t="s">
        <v>4438</v>
      </c>
      <c r="B4387" s="5" t="str">
        <f>IFERROR(__xludf.DUMMYFUNCTION("IF(A4387="""","""",INDEX(SPLIT(A4387,"" ""),COUNTA(SPLIT(A4387,"" ""))))"),"Galeata")</f>
        <v>Galeata</v>
      </c>
      <c r="C4387" s="6"/>
      <c r="D4387" s="6" t="s">
        <v>4427</v>
      </c>
      <c r="E4387" s="13" t="s">
        <v>4428</v>
      </c>
    </row>
    <row r="4388">
      <c r="A4388" s="4" t="s">
        <v>4439</v>
      </c>
      <c r="B4388" s="5" t="str">
        <f>IFERROR(__xludf.DUMMYFUNCTION("IF(A4388="""","""",INDEX(SPLIT(A4388,"" ""),COUNTA(SPLIT(A4388,"" ""))))"),"Gambettola")</f>
        <v>Gambettola</v>
      </c>
      <c r="C4388" s="6"/>
      <c r="D4388" s="6" t="s">
        <v>4427</v>
      </c>
      <c r="E4388" s="13" t="s">
        <v>4428</v>
      </c>
    </row>
    <row r="4389">
      <c r="A4389" s="4" t="s">
        <v>4440</v>
      </c>
      <c r="B4389" s="5" t="str">
        <f>IFERROR(__xludf.DUMMYFUNCTION("IF(A4389="""","""",INDEX(SPLIT(A4389,"" ""),COUNTA(SPLIT(A4389,"" ""))))"),"Gatteo")</f>
        <v>Gatteo</v>
      </c>
      <c r="C4389" s="6"/>
      <c r="D4389" s="6" t="s">
        <v>4427</v>
      </c>
      <c r="E4389" s="13" t="s">
        <v>4428</v>
      </c>
    </row>
    <row r="4390">
      <c r="A4390" s="4" t="s">
        <v>4441</v>
      </c>
      <c r="B4390" s="5" t="str">
        <f>IFERROR(__xludf.DUMMYFUNCTION("IF(A4390="""","""",INDEX(SPLIT(A4390,"" ""),COUNTA(SPLIT(A4390,"" ""))))"),"Longiano")</f>
        <v>Longiano</v>
      </c>
      <c r="C4390" s="6"/>
      <c r="D4390" s="6" t="s">
        <v>4427</v>
      </c>
      <c r="E4390" s="13" t="s">
        <v>4428</v>
      </c>
    </row>
    <row r="4391">
      <c r="A4391" s="4" t="s">
        <v>4442</v>
      </c>
      <c r="B4391" s="5" t="str">
        <f>IFERROR(__xludf.DUMMYFUNCTION("IF(A4391="""","""",INDEX(SPLIT(A4391,"" ""),COUNTA(SPLIT(A4391,"" ""))))"),"Meldola")</f>
        <v>Meldola</v>
      </c>
      <c r="C4391" s="6"/>
      <c r="D4391" s="6" t="s">
        <v>4427</v>
      </c>
      <c r="E4391" s="13" t="s">
        <v>4428</v>
      </c>
    </row>
    <row r="4392">
      <c r="A4392" s="4" t="s">
        <v>4443</v>
      </c>
      <c r="B4392" s="5" t="str">
        <f>IFERROR(__xludf.DUMMYFUNCTION("IF(A4392="""","""",INDEX(SPLIT(A4392,"" ""),COUNTA(SPLIT(A4392,"" ""))))"),"Saraceno")</f>
        <v>Saraceno</v>
      </c>
      <c r="C4392" s="6"/>
      <c r="D4392" s="6" t="s">
        <v>4427</v>
      </c>
      <c r="E4392" s="13" t="s">
        <v>4428</v>
      </c>
    </row>
    <row r="4393">
      <c r="A4393" s="4" t="s">
        <v>4444</v>
      </c>
      <c r="B4393" s="5" t="str">
        <f>IFERROR(__xludf.DUMMYFUNCTION("IF(A4393="""","""",INDEX(SPLIT(A4393,"" ""),COUNTA(SPLIT(A4393,"" ""))))"),"Modigliana")</f>
        <v>Modigliana</v>
      </c>
      <c r="C4393" s="6"/>
      <c r="D4393" s="6" t="s">
        <v>4427</v>
      </c>
      <c r="E4393" s="13" t="s">
        <v>4428</v>
      </c>
    </row>
    <row r="4394">
      <c r="A4394" s="4" t="s">
        <v>4445</v>
      </c>
      <c r="B4394" s="5" t="str">
        <f>IFERROR(__xludf.DUMMYFUNCTION("IF(A4394="""","""",INDEX(SPLIT(A4394,"" ""),COUNTA(SPLIT(A4394,"" ""))))"),"Montiano")</f>
        <v>Montiano</v>
      </c>
      <c r="C4394" s="6"/>
      <c r="D4394" s="6" t="s">
        <v>4427</v>
      </c>
      <c r="E4394" s="13" t="s">
        <v>4428</v>
      </c>
    </row>
    <row r="4395">
      <c r="A4395" s="4" t="s">
        <v>4446</v>
      </c>
      <c r="B4395" s="5" t="str">
        <f>IFERROR(__xludf.DUMMYFUNCTION("IF(A4395="""","""",INDEX(SPLIT(A4395,"" ""),COUNTA(SPLIT(A4395,"" ""))))"),"Benedetto")</f>
        <v>Benedetto</v>
      </c>
      <c r="C4395" s="6"/>
      <c r="D4395" s="6" t="s">
        <v>4427</v>
      </c>
      <c r="E4395" s="13" t="s">
        <v>4428</v>
      </c>
    </row>
    <row r="4396">
      <c r="A4396" s="4" t="s">
        <v>4447</v>
      </c>
      <c r="B4396" s="5" t="str">
        <f>IFERROR(__xludf.DUMMYFUNCTION("IF(A4396="""","""",INDEX(SPLIT(A4396,"" ""),COUNTA(SPLIT(A4396,"" ""))))"),"Predappio")</f>
        <v>Predappio</v>
      </c>
      <c r="C4396" s="6"/>
      <c r="D4396" s="6" t="s">
        <v>4427</v>
      </c>
      <c r="E4396" s="13" t="s">
        <v>4428</v>
      </c>
    </row>
    <row r="4397">
      <c r="A4397" s="4" t="s">
        <v>4448</v>
      </c>
      <c r="B4397" s="5" t="str">
        <f>IFERROR(__xludf.DUMMYFUNCTION("IF(A4397="""","""",INDEX(SPLIT(A4397,"" ""),COUNTA(SPLIT(A4397,"" ""))))"),"Premilcuore")</f>
        <v>Premilcuore</v>
      </c>
      <c r="C4397" s="6"/>
      <c r="D4397" s="6" t="s">
        <v>4427</v>
      </c>
      <c r="E4397" s="13" t="s">
        <v>4428</v>
      </c>
    </row>
    <row r="4398">
      <c r="A4398" s="4" t="s">
        <v>4449</v>
      </c>
      <c r="B4398" s="5" t="str">
        <f>IFERROR(__xludf.DUMMYFUNCTION("IF(A4398="""","""",INDEX(SPLIT(A4398,"" ""),COUNTA(SPLIT(A4398,"" ""))))"),"Casciano")</f>
        <v>Casciano</v>
      </c>
      <c r="C4398" s="6"/>
      <c r="D4398" s="6" t="s">
        <v>4427</v>
      </c>
      <c r="E4398" s="13" t="s">
        <v>4428</v>
      </c>
    </row>
    <row r="4399">
      <c r="A4399" s="4" t="s">
        <v>4450</v>
      </c>
      <c r="B4399" s="5" t="str">
        <f>IFERROR(__xludf.DUMMYFUNCTION("IF(A4399="""","""",INDEX(SPLIT(A4399,"" ""),COUNTA(SPLIT(A4399,"" ""))))"),"Roncofreddo")</f>
        <v>Roncofreddo</v>
      </c>
      <c r="C4399" s="6"/>
      <c r="D4399" s="6" t="s">
        <v>4427</v>
      </c>
      <c r="E4399" s="13" t="s">
        <v>4428</v>
      </c>
    </row>
    <row r="4400">
      <c r="A4400" s="4" t="s">
        <v>4451</v>
      </c>
      <c r="B4400" s="5" t="str">
        <f>IFERROR(__xludf.DUMMYFUNCTION("IF(A4400="""","""",INDEX(SPLIT(A4400,"" ""),COUNTA(SPLIT(A4400,"" ""))))"),"Pascoli")</f>
        <v>Pascoli</v>
      </c>
      <c r="C4400" s="6"/>
      <c r="D4400" s="6" t="s">
        <v>4427</v>
      </c>
      <c r="E4400" s="13" t="s">
        <v>4428</v>
      </c>
    </row>
    <row r="4401">
      <c r="A4401" s="4" t="s">
        <v>4452</v>
      </c>
      <c r="B4401" s="5" t="str">
        <f>IFERROR(__xludf.DUMMYFUNCTION("IF(A4401="""","""",INDEX(SPLIT(A4401,"" ""),COUNTA(SPLIT(A4401,"" ""))))"),"Sofia")</f>
        <v>Sofia</v>
      </c>
      <c r="C4401" s="6"/>
      <c r="D4401" s="6" t="s">
        <v>4427</v>
      </c>
      <c r="E4401" s="13" t="s">
        <v>4428</v>
      </c>
    </row>
    <row r="4402">
      <c r="A4402" s="4" t="s">
        <v>4453</v>
      </c>
      <c r="B4402" s="5" t="str">
        <f>IFERROR(__xludf.DUMMYFUNCTION("IF(A4402="""","""",INDEX(SPLIT(A4402,"" ""),COUNTA(SPLIT(A4402,"" ""))))"),"Sarsina")</f>
        <v>Sarsina</v>
      </c>
      <c r="C4402" s="6"/>
      <c r="D4402" s="6" t="s">
        <v>4427</v>
      </c>
      <c r="E4402" s="13" t="s">
        <v>4428</v>
      </c>
    </row>
    <row r="4403">
      <c r="A4403" s="4" t="s">
        <v>4454</v>
      </c>
      <c r="B4403" s="5" t="str">
        <f>IFERROR(__xludf.DUMMYFUNCTION("IF(A4403="""","""",INDEX(SPLIT(A4403,"" ""),COUNTA(SPLIT(A4403,"" ""))))"),"Rubicone")</f>
        <v>Rubicone</v>
      </c>
      <c r="C4403" s="6"/>
      <c r="D4403" s="6" t="s">
        <v>4427</v>
      </c>
      <c r="E4403" s="13" t="s">
        <v>4428</v>
      </c>
    </row>
    <row r="4404">
      <c r="A4404" s="4" t="s">
        <v>4455</v>
      </c>
      <c r="B4404" s="5" t="str">
        <f>IFERROR(__xludf.DUMMYFUNCTION("IF(A4404="""","""",INDEX(SPLIT(A4404,"" ""),COUNTA(SPLIT(A4404,"" ""))))"),"Rubicone")</f>
        <v>Rubicone</v>
      </c>
      <c r="C4404" s="6"/>
      <c r="D4404" s="6" t="s">
        <v>4427</v>
      </c>
      <c r="E4404" s="13" t="s">
        <v>4428</v>
      </c>
    </row>
    <row r="4405">
      <c r="A4405" s="4" t="s">
        <v>4456</v>
      </c>
      <c r="B4405" s="5" t="str">
        <f>IFERROR(__xludf.DUMMYFUNCTION("IF(A4405="""","""",INDEX(SPLIT(A4405,"" ""),COUNTA(SPLIT(A4405,"" ""))))"),"Tredozio")</f>
        <v>Tredozio</v>
      </c>
      <c r="C4405" s="6"/>
      <c r="D4405" s="6" t="s">
        <v>4427</v>
      </c>
      <c r="E4405" s="13" t="s">
        <v>4428</v>
      </c>
    </row>
    <row r="4406">
      <c r="A4406" s="4" t="s">
        <v>4457</v>
      </c>
      <c r="B4406" s="5" t="str">
        <f>IFERROR(__xludf.DUMMYFUNCTION("IF(A4406="""","""",INDEX(SPLIT(A4406,"" ""),COUNTA(SPLIT(A4406,"" ""))))"),"Verghereto")</f>
        <v>Verghereto</v>
      </c>
      <c r="C4406" s="6"/>
      <c r="D4406" s="6" t="s">
        <v>4427</v>
      </c>
      <c r="E4406" s="13" t="s">
        <v>4428</v>
      </c>
    </row>
    <row r="4407">
      <c r="A4407" s="4" t="s">
        <v>4458</v>
      </c>
      <c r="B4407" s="5" t="str">
        <f>IFERROR(__xludf.DUMMYFUNCTION("IF(A4407="""","""",INDEX(SPLIT(A4407,"" ""),COUNTA(SPLIT(A4407,"" ""))))"),"Marina")</f>
        <v>Marina</v>
      </c>
      <c r="C4407" s="6"/>
      <c r="D4407" s="6" t="s">
        <v>4459</v>
      </c>
      <c r="E4407" s="13" t="s">
        <v>4460</v>
      </c>
    </row>
    <row r="4408">
      <c r="A4408" s="4" t="s">
        <v>4461</v>
      </c>
      <c r="B4408" s="5" t="str">
        <f>IFERROR(__xludf.DUMMYFUNCTION("IF(A4408="""","""",INDEX(SPLIT(A4408,"" ""),COUNTA(SPLIT(A4408,"" ""))))"),"Cattolica")</f>
        <v>Cattolica</v>
      </c>
      <c r="C4408" s="6"/>
      <c r="D4408" s="6" t="s">
        <v>4459</v>
      </c>
      <c r="E4408" s="13" t="s">
        <v>4460</v>
      </c>
    </row>
    <row r="4409">
      <c r="A4409" s="4" t="s">
        <v>4462</v>
      </c>
      <c r="B4409" s="5" t="str">
        <f>IFERROR(__xludf.DUMMYFUNCTION("IF(A4409="""","""",INDEX(SPLIT(A4409,"" ""),COUNTA(SPLIT(A4409,"" ""))))"),"Coriano")</f>
        <v>Coriano</v>
      </c>
      <c r="C4409" s="6"/>
      <c r="D4409" s="6" t="s">
        <v>4459</v>
      </c>
      <c r="E4409" s="13" t="s">
        <v>4460</v>
      </c>
    </row>
    <row r="4410">
      <c r="A4410" s="4" t="s">
        <v>4463</v>
      </c>
      <c r="B4410" s="5" t="str">
        <f>IFERROR(__xludf.DUMMYFUNCTION("IF(A4410="""","""",INDEX(SPLIT(A4410,"" ""),COUNTA(SPLIT(A4410,"" ""))))"),"Gemmano")</f>
        <v>Gemmano</v>
      </c>
      <c r="C4410" s="6"/>
      <c r="D4410" s="6" t="s">
        <v>4459</v>
      </c>
      <c r="E4410" s="13" t="s">
        <v>4460</v>
      </c>
    </row>
    <row r="4411">
      <c r="A4411" s="4" t="s">
        <v>4464</v>
      </c>
      <c r="B4411" s="5" t="str">
        <f>IFERROR(__xludf.DUMMYFUNCTION("IF(A4411="""","""",INDEX(SPLIT(A4411,"" ""),COUNTA(SPLIT(A4411,"" ""))))"),"Adriatico")</f>
        <v>Adriatico</v>
      </c>
      <c r="C4411" s="6"/>
      <c r="D4411" s="6" t="s">
        <v>4459</v>
      </c>
      <c r="E4411" s="13" t="s">
        <v>4460</v>
      </c>
    </row>
    <row r="4412">
      <c r="A4412" s="4" t="s">
        <v>4465</v>
      </c>
      <c r="B4412" s="5" t="str">
        <f>IFERROR(__xludf.DUMMYFUNCTION("IF(A4412="""","""",INDEX(SPLIT(A4412,"" ""),COUNTA(SPLIT(A4412,"" ""))))"),"Mondaino")</f>
        <v>Mondaino</v>
      </c>
      <c r="C4412" s="6"/>
      <c r="D4412" s="6" t="s">
        <v>4459</v>
      </c>
      <c r="E4412" s="13" t="s">
        <v>4460</v>
      </c>
    </row>
    <row r="4413">
      <c r="A4413" s="4" t="s">
        <v>4466</v>
      </c>
      <c r="B4413" s="5" t="str">
        <f>IFERROR(__xludf.DUMMYFUNCTION("IF(A4413="""","""",INDEX(SPLIT(A4413,"" ""),COUNTA(SPLIT(A4413,"" ""))))"),"Conca")</f>
        <v>Conca</v>
      </c>
      <c r="C4413" s="6"/>
      <c r="D4413" s="6" t="s">
        <v>4459</v>
      </c>
      <c r="E4413" s="13" t="s">
        <v>4460</v>
      </c>
    </row>
    <row r="4414">
      <c r="A4414" s="4" t="s">
        <v>4467</v>
      </c>
      <c r="B4414" s="5" t="str">
        <f>IFERROR(__xludf.DUMMYFUNCTION("IF(A4414="""","""",INDEX(SPLIT(A4414,"" ""),COUNTA(SPLIT(A4414,"" ""))))"),"Montegridolfo")</f>
        <v>Montegridolfo</v>
      </c>
      <c r="C4414" s="6"/>
      <c r="D4414" s="6" t="s">
        <v>4459</v>
      </c>
      <c r="E4414" s="13" t="s">
        <v>4460</v>
      </c>
    </row>
    <row r="4415">
      <c r="A4415" s="4" t="s">
        <v>4468</v>
      </c>
      <c r="B4415" s="5" t="str">
        <f>IFERROR(__xludf.DUMMYFUNCTION("IF(A4415="""","""",INDEX(SPLIT(A4415,"" ""),COUNTA(SPLIT(A4415,"" ""))))"),"Romagna")</f>
        <v>Romagna</v>
      </c>
      <c r="C4415" s="6"/>
      <c r="D4415" s="6" t="s">
        <v>4459</v>
      </c>
      <c r="E4415" s="13" t="s">
        <v>4460</v>
      </c>
    </row>
    <row r="4416">
      <c r="A4416" s="4" t="s">
        <v>4469</v>
      </c>
      <c r="B4416" s="5" t="str">
        <f>IFERROR(__xludf.DUMMYFUNCTION("IF(A4416="""","""",INDEX(SPLIT(A4416,"" ""),COUNTA(SPLIT(A4416,"" ""))))"),"Riccione")</f>
        <v>Riccione</v>
      </c>
      <c r="C4416" s="6"/>
      <c r="D4416" s="6" t="s">
        <v>4459</v>
      </c>
      <c r="E4416" s="13" t="s">
        <v>4460</v>
      </c>
    </row>
    <row r="4417">
      <c r="A4417" s="4" t="s">
        <v>4459</v>
      </c>
      <c r="B4417" s="5" t="str">
        <f>IFERROR(__xludf.DUMMYFUNCTION("IF(A4417="""","""",INDEX(SPLIT(A4417,"" ""),COUNTA(SPLIT(A4417,"" ""))))"),"Rimini")</f>
        <v>Rimini</v>
      </c>
      <c r="C4417" s="6"/>
      <c r="D4417" s="6" t="s">
        <v>4459</v>
      </c>
      <c r="E4417" s="13" t="s">
        <v>4460</v>
      </c>
    </row>
    <row r="4418">
      <c r="A4418" s="4" t="s">
        <v>4470</v>
      </c>
      <c r="B4418" s="5" t="str">
        <f>IFERROR(__xludf.DUMMYFUNCTION("IF(A4418="""","""",INDEX(SPLIT(A4418,"" ""),COUNTA(SPLIT(A4418,"" ""))))"),"Saludecio")</f>
        <v>Saludecio</v>
      </c>
      <c r="C4418" s="6"/>
      <c r="D4418" s="6" t="s">
        <v>4459</v>
      </c>
      <c r="E4418" s="13" t="s">
        <v>4460</v>
      </c>
    </row>
    <row r="4419">
      <c r="A4419" s="4" t="s">
        <v>4471</v>
      </c>
      <c r="B4419" s="5" t="str">
        <f>IFERROR(__xludf.DUMMYFUNCTION("IF(A4419="""","""",INDEX(SPLIT(A4419,"" ""),COUNTA(SPLIT(A4419,"" ""))))"),"Clemente")</f>
        <v>Clemente</v>
      </c>
      <c r="C4419" s="6"/>
      <c r="D4419" s="6" t="s">
        <v>4459</v>
      </c>
      <c r="E4419" s="13" t="s">
        <v>4460</v>
      </c>
    </row>
    <row r="4420">
      <c r="A4420" s="4" t="s">
        <v>4472</v>
      </c>
      <c r="B4420" s="5" t="str">
        <f>IFERROR(__xludf.DUMMYFUNCTION("IF(A4420="""","""",INDEX(SPLIT(A4420,"" ""),COUNTA(SPLIT(A4420,"" ""))))"),"Marignano")</f>
        <v>Marignano</v>
      </c>
      <c r="C4420" s="6"/>
      <c r="D4420" s="6" t="s">
        <v>4459</v>
      </c>
      <c r="E4420" s="13" t="s">
        <v>4460</v>
      </c>
    </row>
    <row r="4421">
      <c r="A4421" s="4" t="s">
        <v>4473</v>
      </c>
      <c r="B4421" s="5" t="str">
        <f>IFERROR(__xludf.DUMMYFUNCTION("IF(A4421="""","""",INDEX(SPLIT(A4421,"" ""),COUNTA(SPLIT(A4421,"" ""))))"),"Romagna")</f>
        <v>Romagna</v>
      </c>
      <c r="C4421" s="6"/>
      <c r="D4421" s="6" t="s">
        <v>4459</v>
      </c>
      <c r="E4421" s="13" t="s">
        <v>4460</v>
      </c>
    </row>
    <row r="4422">
      <c r="A4422" s="4" t="s">
        <v>4474</v>
      </c>
      <c r="B4422" s="5" t="str">
        <f>IFERROR(__xludf.DUMMYFUNCTION("IF(A4422="""","""",INDEX(SPLIT(A4422,"" ""),COUNTA(SPLIT(A4422,"" ""))))"),"Verucchio")</f>
        <v>Verucchio</v>
      </c>
      <c r="C4422" s="6"/>
      <c r="D4422" s="6" t="s">
        <v>4459</v>
      </c>
      <c r="E4422" s="13" t="s">
        <v>4460</v>
      </c>
    </row>
    <row r="4423">
      <c r="A4423" s="4" t="s">
        <v>4475</v>
      </c>
      <c r="B4423" s="5" t="str">
        <f>IFERROR(__xludf.DUMMYFUNCTION("IF(A4423="""","""",INDEX(SPLIT(A4423,"" ""),COUNTA(SPLIT(A4423,"" ""))))"),"Casteldelci")</f>
        <v>Casteldelci</v>
      </c>
      <c r="C4423" s="6"/>
      <c r="D4423" s="6" t="s">
        <v>4459</v>
      </c>
      <c r="E4423" s="13" t="s">
        <v>4460</v>
      </c>
    </row>
    <row r="4424">
      <c r="A4424" s="4" t="s">
        <v>4476</v>
      </c>
      <c r="B4424" s="5" t="str">
        <f>IFERROR(__xludf.DUMMYFUNCTION("IF(A4424="""","""",INDEX(SPLIT(A4424,"" ""),COUNTA(SPLIT(A4424,"" ""))))"),"Maiolo")</f>
        <v>Maiolo</v>
      </c>
      <c r="C4424" s="6"/>
      <c r="D4424" s="6" t="s">
        <v>4459</v>
      </c>
      <c r="E4424" s="13" t="s">
        <v>4460</v>
      </c>
    </row>
    <row r="4425">
      <c r="A4425" s="4" t="s">
        <v>4477</v>
      </c>
      <c r="B4425" s="5" t="str">
        <f>IFERROR(__xludf.DUMMYFUNCTION("IF(A4425="""","""",INDEX(SPLIT(A4425,"" ""),COUNTA(SPLIT(A4425,"" ""))))"),"Novafeltria")</f>
        <v>Novafeltria</v>
      </c>
      <c r="C4425" s="6"/>
      <c r="D4425" s="6" t="s">
        <v>4459</v>
      </c>
      <c r="E4425" s="13" t="s">
        <v>4460</v>
      </c>
    </row>
    <row r="4426">
      <c r="A4426" s="4" t="s">
        <v>4478</v>
      </c>
      <c r="B4426" s="5" t="str">
        <f>IFERROR(__xludf.DUMMYFUNCTION("IF(A4426="""","""",INDEX(SPLIT(A4426,"" ""),COUNTA(SPLIT(A4426,"" ""))))"),"Pennabilli")</f>
        <v>Pennabilli</v>
      </c>
      <c r="C4426" s="6"/>
      <c r="D4426" s="6" t="s">
        <v>4459</v>
      </c>
      <c r="E4426" s="13" t="s">
        <v>4460</v>
      </c>
    </row>
    <row r="4427">
      <c r="A4427" s="4" t="s">
        <v>4479</v>
      </c>
      <c r="B4427" s="5" t="str">
        <f>IFERROR(__xludf.DUMMYFUNCTION("IF(A4427="""","""",INDEX(SPLIT(A4427,"" ""),COUNTA(SPLIT(A4427,"" ""))))"),"Leo")</f>
        <v>Leo</v>
      </c>
      <c r="C4427" s="6"/>
      <c r="D4427" s="6" t="s">
        <v>4459</v>
      </c>
      <c r="E4427" s="13" t="s">
        <v>4460</v>
      </c>
    </row>
    <row r="4428">
      <c r="A4428" s="4" t="s">
        <v>4480</v>
      </c>
      <c r="B4428" s="5" t="str">
        <f>IFERROR(__xludf.DUMMYFUNCTION("IF(A4428="""","""",INDEX(SPLIT(A4428,"" ""),COUNTA(SPLIT(A4428,"" ""))))"),"Feltria")</f>
        <v>Feltria</v>
      </c>
      <c r="C4428" s="6"/>
      <c r="D4428" s="6" t="s">
        <v>4459</v>
      </c>
      <c r="E4428" s="13" t="s">
        <v>4460</v>
      </c>
    </row>
    <row r="4429">
      <c r="A4429" s="4" t="s">
        <v>4481</v>
      </c>
      <c r="B4429" s="5" t="str">
        <f>IFERROR(__xludf.DUMMYFUNCTION("IF(A4429="""","""",INDEX(SPLIT(A4429,"" ""),COUNTA(SPLIT(A4429,"" ""))))"),"Talamello")</f>
        <v>Talamello</v>
      </c>
      <c r="C4429" s="6"/>
      <c r="D4429" s="6" t="s">
        <v>4459</v>
      </c>
      <c r="E4429" s="13" t="s">
        <v>4460</v>
      </c>
    </row>
    <row r="4430">
      <c r="A4430" s="4" t="s">
        <v>4482</v>
      </c>
      <c r="B4430" s="5" t="str">
        <f>IFERROR(__xludf.DUMMYFUNCTION("IF(A4430="""","""",INDEX(SPLIT(A4430,"" ""),COUNTA(SPLIT(A4430,"" ""))))"),"Torriana")</f>
        <v>Torriana</v>
      </c>
      <c r="C4430" s="6"/>
      <c r="D4430" s="6" t="s">
        <v>4459</v>
      </c>
      <c r="E4430" s="13" t="s">
        <v>4460</v>
      </c>
    </row>
    <row r="4431">
      <c r="A4431" s="4" t="s">
        <v>4483</v>
      </c>
      <c r="B4431" s="5" t="str">
        <f>IFERROR(__xludf.DUMMYFUNCTION("IF(A4431="""","""",INDEX(SPLIT(A4431,"" ""),COUNTA(SPLIT(A4431,"" ""))))"),"Colombo")</f>
        <v>Colombo</v>
      </c>
      <c r="C4431" s="6"/>
      <c r="D4431" s="6" t="s">
        <v>4459</v>
      </c>
      <c r="E4431" s="13" t="s">
        <v>4460</v>
      </c>
    </row>
    <row r="4432">
      <c r="A4432" s="4" t="s">
        <v>4484</v>
      </c>
      <c r="B4432" s="5" t="str">
        <f>IFERROR(__xludf.DUMMYFUNCTION("IF(A4432="""","""",INDEX(SPLIT(A4432,"" ""),COUNTA(SPLIT(A4432,"" ""))))"),"Aulla")</f>
        <v>Aulla</v>
      </c>
      <c r="C4432" s="6"/>
      <c r="D4432" s="6" t="s">
        <v>4485</v>
      </c>
      <c r="E4432" s="13" t="s">
        <v>4486</v>
      </c>
    </row>
    <row r="4433">
      <c r="A4433" s="4" t="s">
        <v>4487</v>
      </c>
      <c r="B4433" s="5" t="str">
        <f>IFERROR(__xludf.DUMMYFUNCTION("IF(A4433="""","""",INDEX(SPLIT(A4433,"" ""),COUNTA(SPLIT(A4433,"" ""))))"),"Bagnone")</f>
        <v>Bagnone</v>
      </c>
      <c r="C4433" s="6"/>
      <c r="D4433" s="6" t="s">
        <v>4485</v>
      </c>
      <c r="E4433" s="13" t="s">
        <v>4486</v>
      </c>
    </row>
    <row r="4434">
      <c r="A4434" s="4" t="s">
        <v>4488</v>
      </c>
      <c r="B4434" s="5" t="str">
        <f>IFERROR(__xludf.DUMMYFUNCTION("IF(A4434="""","""",INDEX(SPLIT(A4434,"" ""),COUNTA(SPLIT(A4434,"" ""))))"),"Carrara")</f>
        <v>Carrara</v>
      </c>
      <c r="C4434" s="6"/>
      <c r="D4434" s="6" t="s">
        <v>4485</v>
      </c>
      <c r="E4434" s="13" t="s">
        <v>4486</v>
      </c>
    </row>
    <row r="4435">
      <c r="A4435" s="4" t="s">
        <v>4489</v>
      </c>
      <c r="B4435" s="5" t="str">
        <f>IFERROR(__xludf.DUMMYFUNCTION("IF(A4435="""","""",INDEX(SPLIT(A4435,"" ""),COUNTA(SPLIT(A4435,"" ""))))"),"Lunigiana")</f>
        <v>Lunigiana</v>
      </c>
      <c r="C4435" s="6"/>
      <c r="D4435" s="6" t="s">
        <v>4485</v>
      </c>
      <c r="E4435" s="13" t="s">
        <v>4486</v>
      </c>
    </row>
    <row r="4436">
      <c r="A4436" s="4" t="s">
        <v>4490</v>
      </c>
      <c r="B4436" s="5" t="str">
        <f>IFERROR(__xludf.DUMMYFUNCTION("IF(A4436="""","""",INDEX(SPLIT(A4436,"" ""),COUNTA(SPLIT(A4436,"" ""))))"),"Comano")</f>
        <v>Comano</v>
      </c>
      <c r="C4436" s="6"/>
      <c r="D4436" s="6" t="s">
        <v>4485</v>
      </c>
      <c r="E4436" s="13" t="s">
        <v>4486</v>
      </c>
    </row>
    <row r="4437">
      <c r="A4437" s="4" t="s">
        <v>4491</v>
      </c>
      <c r="B4437" s="5" t="str">
        <f>IFERROR(__xludf.DUMMYFUNCTION("IF(A4437="""","""",INDEX(SPLIT(A4437,"" ""),COUNTA(SPLIT(A4437,"" ""))))"),"Filattiera")</f>
        <v>Filattiera</v>
      </c>
      <c r="C4437" s="6"/>
      <c r="D4437" s="6" t="s">
        <v>4485</v>
      </c>
      <c r="E4437" s="13" t="s">
        <v>4486</v>
      </c>
    </row>
    <row r="4438">
      <c r="A4438" s="4" t="s">
        <v>4492</v>
      </c>
      <c r="B4438" s="5" t="str">
        <f>IFERROR(__xludf.DUMMYFUNCTION("IF(A4438="""","""",INDEX(SPLIT(A4438,"" ""),COUNTA(SPLIT(A4438,"" ""))))"),"Fivizzano")</f>
        <v>Fivizzano</v>
      </c>
      <c r="C4438" s="6"/>
      <c r="D4438" s="6" t="s">
        <v>4485</v>
      </c>
      <c r="E4438" s="13" t="s">
        <v>4486</v>
      </c>
    </row>
    <row r="4439">
      <c r="A4439" s="4" t="s">
        <v>4493</v>
      </c>
      <c r="B4439" s="5" t="str">
        <f>IFERROR(__xludf.DUMMYFUNCTION("IF(A4439="""","""",INDEX(SPLIT(A4439,"" ""),COUNTA(SPLIT(A4439,"" ""))))"),"Fosdinovo")</f>
        <v>Fosdinovo</v>
      </c>
      <c r="C4439" s="6"/>
      <c r="D4439" s="6" t="s">
        <v>4485</v>
      </c>
      <c r="E4439" s="13" t="s">
        <v>4486</v>
      </c>
    </row>
    <row r="4440">
      <c r="A4440" s="4" t="s">
        <v>4494</v>
      </c>
      <c r="B4440" s="5" t="str">
        <f>IFERROR(__xludf.DUMMYFUNCTION("IF(A4440="""","""",INDEX(SPLIT(A4440,"" ""),COUNTA(SPLIT(A4440,"" ""))))"),"Nardi")</f>
        <v>Nardi</v>
      </c>
      <c r="C4440" s="6"/>
      <c r="D4440" s="6" t="s">
        <v>4485</v>
      </c>
      <c r="E4440" s="13" t="s">
        <v>4486</v>
      </c>
    </row>
    <row r="4441">
      <c r="A4441" s="4" t="s">
        <v>4495</v>
      </c>
      <c r="B4441" s="5" t="str">
        <f>IFERROR(__xludf.DUMMYFUNCTION("IF(A4441="""","""",INDEX(SPLIT(A4441,"" ""),COUNTA(SPLIT(A4441,"" ""))))"),"Massa")</f>
        <v>Massa</v>
      </c>
      <c r="C4441" s="6"/>
      <c r="D4441" s="6" t="s">
        <v>4485</v>
      </c>
      <c r="E4441" s="13" t="s">
        <v>4486</v>
      </c>
    </row>
    <row r="4442">
      <c r="A4442" s="4" t="s">
        <v>4496</v>
      </c>
      <c r="B4442" s="5" t="str">
        <f>IFERROR(__xludf.DUMMYFUNCTION("IF(A4442="""","""",INDEX(SPLIT(A4442,"" ""),COUNTA(SPLIT(A4442,"" ""))))"),"Montignoso")</f>
        <v>Montignoso</v>
      </c>
      <c r="C4442" s="6"/>
      <c r="D4442" s="6" t="s">
        <v>4485</v>
      </c>
      <c r="E4442" s="13" t="s">
        <v>4486</v>
      </c>
    </row>
    <row r="4443">
      <c r="A4443" s="4" t="s">
        <v>4497</v>
      </c>
      <c r="B4443" s="5" t="str">
        <f>IFERROR(__xludf.DUMMYFUNCTION("IF(A4443="""","""",INDEX(SPLIT(A4443,"" ""),COUNTA(SPLIT(A4443,"" ""))))"),"Mulazzo")</f>
        <v>Mulazzo</v>
      </c>
      <c r="C4443" s="6"/>
      <c r="D4443" s="6" t="s">
        <v>4485</v>
      </c>
      <c r="E4443" s="13" t="s">
        <v>4486</v>
      </c>
    </row>
    <row r="4444">
      <c r="A4444" s="4" t="s">
        <v>4498</v>
      </c>
      <c r="B4444" s="5" t="str">
        <f>IFERROR(__xludf.DUMMYFUNCTION("IF(A4444="""","""",INDEX(SPLIT(A4444,"" ""),COUNTA(SPLIT(A4444,"" ""))))"),"Podenzana")</f>
        <v>Podenzana</v>
      </c>
      <c r="C4444" s="6"/>
      <c r="D4444" s="6" t="s">
        <v>4485</v>
      </c>
      <c r="E4444" s="13" t="s">
        <v>4486</v>
      </c>
    </row>
    <row r="4445">
      <c r="A4445" s="4" t="s">
        <v>4499</v>
      </c>
      <c r="B4445" s="5" t="str">
        <f>IFERROR(__xludf.DUMMYFUNCTION("IF(A4445="""","""",INDEX(SPLIT(A4445,"" ""),COUNTA(SPLIT(A4445,"" ""))))"),"Pontremoli")</f>
        <v>Pontremoli</v>
      </c>
      <c r="C4445" s="6"/>
      <c r="D4445" s="6" t="s">
        <v>4485</v>
      </c>
      <c r="E4445" s="13" t="s">
        <v>4486</v>
      </c>
    </row>
    <row r="4446">
      <c r="A4446" s="4" t="s">
        <v>4500</v>
      </c>
      <c r="B4446" s="5" t="str">
        <f>IFERROR(__xludf.DUMMYFUNCTION("IF(A4446="""","""",INDEX(SPLIT(A4446,"" ""),COUNTA(SPLIT(A4446,"" ""))))"),"Tresana")</f>
        <v>Tresana</v>
      </c>
      <c r="C4446" s="6"/>
      <c r="D4446" s="6" t="s">
        <v>4485</v>
      </c>
      <c r="E4446" s="13" t="s">
        <v>4486</v>
      </c>
    </row>
    <row r="4447">
      <c r="A4447" s="4" t="s">
        <v>4501</v>
      </c>
      <c r="B4447" s="5" t="str">
        <f>IFERROR(__xludf.DUMMYFUNCTION("IF(A4447="""","""",INDEX(SPLIT(A4447,"" ""),COUNTA(SPLIT(A4447,"" ""))))"),"Lunigiana")</f>
        <v>Lunigiana</v>
      </c>
      <c r="C4447" s="6"/>
      <c r="D4447" s="6" t="s">
        <v>4485</v>
      </c>
      <c r="E4447" s="13" t="s">
        <v>4486</v>
      </c>
    </row>
    <row r="4448">
      <c r="A4448" s="4" t="s">
        <v>4502</v>
      </c>
      <c r="B4448" s="5" t="str">
        <f>IFERROR(__xludf.DUMMYFUNCTION("IF(A4448="""","""",INDEX(SPLIT(A4448,"" ""),COUNTA(SPLIT(A4448,"" ""))))"),"Zeri")</f>
        <v>Zeri</v>
      </c>
      <c r="C4448" s="6"/>
      <c r="D4448" s="6" t="s">
        <v>4485</v>
      </c>
      <c r="E4448" s="13" t="s">
        <v>4486</v>
      </c>
    </row>
    <row r="4449">
      <c r="A4449" s="4" t="s">
        <v>4503</v>
      </c>
      <c r="B4449" s="5" t="str">
        <f>IFERROR(__xludf.DUMMYFUNCTION("IF(A4449="""","""",INDEX(SPLIT(A4449,"" ""),COUNTA(SPLIT(A4449,"" ""))))"),"Altopascio")</f>
        <v>Altopascio</v>
      </c>
      <c r="C4449" s="6"/>
      <c r="D4449" s="6" t="s">
        <v>4504</v>
      </c>
      <c r="E4449" s="13" t="s">
        <v>4505</v>
      </c>
    </row>
    <row r="4450">
      <c r="A4450" s="4" t="s">
        <v>4506</v>
      </c>
      <c r="B4450" s="5" t="str">
        <f>IFERROR(__xludf.DUMMYFUNCTION("IF(A4450="""","""",INDEX(SPLIT(A4450,"" ""),COUNTA(SPLIT(A4450,"" ""))))"),"Lucca")</f>
        <v>Lucca</v>
      </c>
      <c r="C4450" s="6"/>
      <c r="D4450" s="6" t="s">
        <v>4504</v>
      </c>
      <c r="E4450" s="13" t="s">
        <v>4505</v>
      </c>
    </row>
    <row r="4451">
      <c r="A4451" s="4" t="s">
        <v>4507</v>
      </c>
      <c r="B4451" s="5" t="str">
        <f>IFERROR(__xludf.DUMMYFUNCTION("IF(A4451="""","""",INDEX(SPLIT(A4451,"" ""),COUNTA(SPLIT(A4451,"" ""))))"),"Barga")</f>
        <v>Barga</v>
      </c>
      <c r="C4451" s="6"/>
      <c r="D4451" s="6" t="s">
        <v>4504</v>
      </c>
      <c r="E4451" s="13" t="s">
        <v>4505</v>
      </c>
    </row>
    <row r="4452">
      <c r="A4452" s="4" t="s">
        <v>4508</v>
      </c>
      <c r="B4452" s="5" t="str">
        <f>IFERROR(__xludf.DUMMYFUNCTION("IF(A4452="""","""",INDEX(SPLIT(A4452,"" ""),COUNTA(SPLIT(A4452,"" ""))))"),"Mozzano")</f>
        <v>Mozzano</v>
      </c>
      <c r="C4452" s="6"/>
      <c r="D4452" s="6" t="s">
        <v>4504</v>
      </c>
      <c r="E4452" s="13" t="s">
        <v>4505</v>
      </c>
    </row>
    <row r="4453">
      <c r="A4453" s="4" t="s">
        <v>4509</v>
      </c>
      <c r="B4453" s="5" t="str">
        <f>IFERROR(__xludf.DUMMYFUNCTION("IF(A4453="""","""",INDEX(SPLIT(A4453,"" ""),COUNTA(SPLIT(A4453,"" ""))))"),"Camaiore")</f>
        <v>Camaiore</v>
      </c>
      <c r="C4453" s="6"/>
      <c r="D4453" s="6" t="s">
        <v>4504</v>
      </c>
      <c r="E4453" s="13" t="s">
        <v>4505</v>
      </c>
    </row>
    <row r="4454">
      <c r="A4454" s="4" t="s">
        <v>4510</v>
      </c>
      <c r="B4454" s="5" t="str">
        <f>IFERROR(__xludf.DUMMYFUNCTION("IF(A4454="""","""",INDEX(SPLIT(A4454,"" ""),COUNTA(SPLIT(A4454,"" ""))))"),"Camporgiano")</f>
        <v>Camporgiano</v>
      </c>
      <c r="C4454" s="6"/>
      <c r="D4454" s="6" t="s">
        <v>4504</v>
      </c>
      <c r="E4454" s="13" t="s">
        <v>4505</v>
      </c>
    </row>
    <row r="4455">
      <c r="A4455" s="4" t="s">
        <v>4511</v>
      </c>
      <c r="B4455" s="5" t="str">
        <f>IFERROR(__xludf.DUMMYFUNCTION("IF(A4455="""","""",INDEX(SPLIT(A4455,"" ""),COUNTA(SPLIT(A4455,"" ""))))"),"Capannori")</f>
        <v>Capannori</v>
      </c>
      <c r="C4455" s="6"/>
      <c r="D4455" s="6" t="s">
        <v>4504</v>
      </c>
      <c r="E4455" s="13" t="s">
        <v>4505</v>
      </c>
    </row>
    <row r="4456">
      <c r="A4456" s="4" t="s">
        <v>4512</v>
      </c>
      <c r="B4456" s="5" t="str">
        <f>IFERROR(__xludf.DUMMYFUNCTION("IF(A4456="""","""",INDEX(SPLIT(A4456,"" ""),COUNTA(SPLIT(A4456,"" ""))))"),"Careggine")</f>
        <v>Careggine</v>
      </c>
      <c r="C4456" s="6"/>
      <c r="D4456" s="6" t="s">
        <v>4504</v>
      </c>
      <c r="E4456" s="13" t="s">
        <v>4505</v>
      </c>
    </row>
    <row r="4457">
      <c r="A4457" s="4" t="s">
        <v>4513</v>
      </c>
      <c r="B4457" s="5" t="str">
        <f>IFERROR(__xludf.DUMMYFUNCTION("IF(A4457="""","""",INDEX(SPLIT(A4457,"" ""),COUNTA(SPLIT(A4457,"" ""))))"),"Garfagnana")</f>
        <v>Garfagnana</v>
      </c>
      <c r="C4457" s="6"/>
      <c r="D4457" s="6" t="s">
        <v>4504</v>
      </c>
      <c r="E4457" s="13" t="s">
        <v>4505</v>
      </c>
    </row>
    <row r="4458">
      <c r="A4458" s="4" t="s">
        <v>4514</v>
      </c>
      <c r="B4458" s="5" t="str">
        <f>IFERROR(__xludf.DUMMYFUNCTION("IF(A4458="""","""",INDEX(SPLIT(A4458,"" ""),COUNTA(SPLIT(A4458,"" ""))))"),"Garfagnana")</f>
        <v>Garfagnana</v>
      </c>
      <c r="C4458" s="6"/>
      <c r="D4458" s="6" t="s">
        <v>4504</v>
      </c>
      <c r="E4458" s="13" t="s">
        <v>4505</v>
      </c>
    </row>
    <row r="4459">
      <c r="A4459" s="4" t="s">
        <v>4515</v>
      </c>
      <c r="B4459" s="5" t="str">
        <f>IFERROR(__xludf.DUMMYFUNCTION("IF(A4459="""","""",INDEX(SPLIT(A4459,"" ""),COUNTA(SPLIT(A4459,"" ""))))"),"Antelminelli")</f>
        <v>Antelminelli</v>
      </c>
      <c r="C4459" s="6"/>
      <c r="D4459" s="6" t="s">
        <v>4504</v>
      </c>
      <c r="E4459" s="13" t="s">
        <v>4505</v>
      </c>
    </row>
    <row r="4460">
      <c r="A4460" s="4" t="s">
        <v>4516</v>
      </c>
      <c r="B4460" s="5" t="str">
        <f>IFERROR(__xludf.DUMMYFUNCTION("IF(A4460="""","""",INDEX(SPLIT(A4460,"" ""),COUNTA(SPLIT(A4460,"" ""))))"),"Marmi")</f>
        <v>Marmi</v>
      </c>
      <c r="C4460" s="6"/>
      <c r="D4460" s="6" t="s">
        <v>4504</v>
      </c>
      <c r="E4460" s="13" t="s">
        <v>4505</v>
      </c>
    </row>
    <row r="4461">
      <c r="A4461" s="4" t="s">
        <v>4517</v>
      </c>
      <c r="B4461" s="5" t="str">
        <f>IFERROR(__xludf.DUMMYFUNCTION("IF(A4461="""","""",INDEX(SPLIT(A4461,"" ""),COUNTA(SPLIT(A4461,"" ""))))"),"Fosciandora")</f>
        <v>Fosciandora</v>
      </c>
      <c r="C4461" s="6"/>
      <c r="D4461" s="6" t="s">
        <v>4504</v>
      </c>
      <c r="E4461" s="13" t="s">
        <v>4505</v>
      </c>
    </row>
    <row r="4462">
      <c r="A4462" s="4" t="s">
        <v>4518</v>
      </c>
      <c r="B4462" s="5" t="str">
        <f>IFERROR(__xludf.DUMMYFUNCTION("IF(A4462="""","""",INDEX(SPLIT(A4462,"" ""),COUNTA(SPLIT(A4462,"" ""))))"),"Gallicano")</f>
        <v>Gallicano</v>
      </c>
      <c r="C4462" s="6"/>
      <c r="D4462" s="6" t="s">
        <v>4504</v>
      </c>
      <c r="E4462" s="13" t="s">
        <v>4505</v>
      </c>
    </row>
    <row r="4463">
      <c r="A4463" s="4" t="s">
        <v>4504</v>
      </c>
      <c r="B4463" s="5" t="str">
        <f>IFERROR(__xludf.DUMMYFUNCTION("IF(A4463="""","""",INDEX(SPLIT(A4463,"" ""),COUNTA(SPLIT(A4463,"" ""))))"),"Lucca")</f>
        <v>Lucca</v>
      </c>
      <c r="C4463" s="6"/>
      <c r="D4463" s="6" t="s">
        <v>4504</v>
      </c>
      <c r="E4463" s="13" t="s">
        <v>4505</v>
      </c>
    </row>
    <row r="4464">
      <c r="A4464" s="4" t="s">
        <v>4519</v>
      </c>
      <c r="B4464" s="5" t="str">
        <f>IFERROR(__xludf.DUMMYFUNCTION("IF(A4464="""","""",INDEX(SPLIT(A4464,"" ""),COUNTA(SPLIT(A4464,"" ""))))"),"Massarosa")</f>
        <v>Massarosa</v>
      </c>
      <c r="C4464" s="6"/>
      <c r="D4464" s="6" t="s">
        <v>4504</v>
      </c>
      <c r="E4464" s="13" t="s">
        <v>4505</v>
      </c>
    </row>
    <row r="4465">
      <c r="A4465" s="4" t="s">
        <v>4520</v>
      </c>
      <c r="B4465" s="5" t="str">
        <f>IFERROR(__xludf.DUMMYFUNCTION("IF(A4465="""","""",INDEX(SPLIT(A4465,"" ""),COUNTA(SPLIT(A4465,"" ""))))"),"Minucciano")</f>
        <v>Minucciano</v>
      </c>
      <c r="C4465" s="6"/>
      <c r="D4465" s="6" t="s">
        <v>4504</v>
      </c>
      <c r="E4465" s="13" t="s">
        <v>4505</v>
      </c>
    </row>
    <row r="4466">
      <c r="A4466" s="4" t="s">
        <v>4521</v>
      </c>
      <c r="B4466" s="5" t="str">
        <f>IFERROR(__xludf.DUMMYFUNCTION("IF(A4466="""","""",INDEX(SPLIT(A4466,"" ""),COUNTA(SPLIT(A4466,"" ""))))"),"Molazzana")</f>
        <v>Molazzana</v>
      </c>
      <c r="C4466" s="6"/>
      <c r="D4466" s="6" t="s">
        <v>4504</v>
      </c>
      <c r="E4466" s="13" t="s">
        <v>4505</v>
      </c>
    </row>
    <row r="4467">
      <c r="A4467" s="4" t="s">
        <v>4522</v>
      </c>
      <c r="B4467" s="5" t="str">
        <f>IFERROR(__xludf.DUMMYFUNCTION("IF(A4467="""","""",INDEX(SPLIT(A4467,"" ""),COUNTA(SPLIT(A4467,"" ""))))"),"Montecarlo")</f>
        <v>Montecarlo</v>
      </c>
      <c r="C4467" s="6"/>
      <c r="D4467" s="6" t="s">
        <v>4504</v>
      </c>
      <c r="E4467" s="13" t="s">
        <v>4505</v>
      </c>
    </row>
    <row r="4468">
      <c r="A4468" s="4" t="s">
        <v>4523</v>
      </c>
      <c r="B4468" s="5" t="str">
        <f>IFERROR(__xludf.DUMMYFUNCTION("IF(A4468="""","""",INDEX(SPLIT(A4468,"" ""),COUNTA(SPLIT(A4468,"" ""))))"),"Pescaglia")</f>
        <v>Pescaglia</v>
      </c>
      <c r="C4468" s="6"/>
      <c r="D4468" s="6" t="s">
        <v>4504</v>
      </c>
      <c r="E4468" s="13" t="s">
        <v>4505</v>
      </c>
    </row>
    <row r="4469">
      <c r="A4469" s="4" t="s">
        <v>4524</v>
      </c>
      <c r="B4469" s="5" t="str">
        <f>IFERROR(__xludf.DUMMYFUNCTION("IF(A4469="""","""",INDEX(SPLIT(A4469,"" ""),COUNTA(SPLIT(A4469,"" ""))))"),"Serchio")</f>
        <v>Serchio</v>
      </c>
      <c r="C4469" s="6"/>
      <c r="D4469" s="6" t="s">
        <v>4504</v>
      </c>
      <c r="E4469" s="13" t="s">
        <v>4505</v>
      </c>
    </row>
    <row r="4470">
      <c r="A4470" s="4" t="s">
        <v>4525</v>
      </c>
      <c r="B4470" s="5" t="str">
        <f>IFERROR(__xludf.DUMMYFUNCTION("IF(A4470="""","""",INDEX(SPLIT(A4470,"" ""),COUNTA(SPLIT(A4470,"" ""))))"),"Pietrasanta")</f>
        <v>Pietrasanta</v>
      </c>
      <c r="C4470" s="6"/>
      <c r="D4470" s="6" t="s">
        <v>4504</v>
      </c>
      <c r="E4470" s="13" t="s">
        <v>4505</v>
      </c>
    </row>
    <row r="4471">
      <c r="A4471" s="4" t="s">
        <v>4526</v>
      </c>
      <c r="B4471" s="5" t="str">
        <f>IFERROR(__xludf.DUMMYFUNCTION("IF(A4471="""","""",INDEX(SPLIT(A4471,"" ""),COUNTA(SPLIT(A4471,"" ""))))"),"Fosciana")</f>
        <v>Fosciana</v>
      </c>
      <c r="C4471" s="6"/>
      <c r="D4471" s="6" t="s">
        <v>4504</v>
      </c>
      <c r="E4471" s="13" t="s">
        <v>4505</v>
      </c>
    </row>
    <row r="4472">
      <c r="A4472" s="4" t="s">
        <v>4527</v>
      </c>
      <c r="B4472" s="5" t="str">
        <f>IFERROR(__xludf.DUMMYFUNCTION("IF(A4472="""","""",INDEX(SPLIT(A4472,"" ""),COUNTA(SPLIT(A4472,"" ""))))"),"Porcari")</f>
        <v>Porcari</v>
      </c>
      <c r="C4472" s="6"/>
      <c r="D4472" s="6" t="s">
        <v>4504</v>
      </c>
      <c r="E4472" s="13" t="s">
        <v>4505</v>
      </c>
    </row>
    <row r="4473">
      <c r="A4473" s="4" t="s">
        <v>4528</v>
      </c>
      <c r="B4473" s="5" t="str">
        <f>IFERROR(__xludf.DUMMYFUNCTION("IF(A4473="""","""",INDEX(SPLIT(A4473,"" ""),COUNTA(SPLIT(A4473,"" ""))))"),"Garfagnana")</f>
        <v>Garfagnana</v>
      </c>
      <c r="C4473" s="6"/>
      <c r="D4473" s="6" t="s">
        <v>4504</v>
      </c>
      <c r="E4473" s="13" t="s">
        <v>4505</v>
      </c>
    </row>
    <row r="4474">
      <c r="A4474" s="4" t="s">
        <v>4529</v>
      </c>
      <c r="B4474" s="5" t="str">
        <f>IFERROR(__xludf.DUMMYFUNCTION("IF(A4474="""","""",INDEX(SPLIT(A4474,"" ""),COUNTA(SPLIT(A4474,"" ""))))"),"Seravezza")</f>
        <v>Seravezza</v>
      </c>
      <c r="C4474" s="6"/>
      <c r="D4474" s="6" t="s">
        <v>4504</v>
      </c>
      <c r="E4474" s="13" t="s">
        <v>4505</v>
      </c>
    </row>
    <row r="4475">
      <c r="A4475" s="4" t="s">
        <v>4530</v>
      </c>
      <c r="B4475" s="5" t="str">
        <f>IFERROR(__xludf.DUMMYFUNCTION("IF(A4475="""","""",INDEX(SPLIT(A4475,"" ""),COUNTA(SPLIT(A4475,"" ""))))"),"Stazzema")</f>
        <v>Stazzema</v>
      </c>
      <c r="C4475" s="6"/>
      <c r="D4475" s="6" t="s">
        <v>4504</v>
      </c>
      <c r="E4475" s="13" t="s">
        <v>4505</v>
      </c>
    </row>
    <row r="4476">
      <c r="A4476" s="4" t="s">
        <v>4531</v>
      </c>
      <c r="B4476" s="5" t="str">
        <f>IFERROR(__xludf.DUMMYFUNCTION("IF(A4476="""","""",INDEX(SPLIT(A4476,"" ""),COUNTA(SPLIT(A4476,"" ""))))"),"Sotto")</f>
        <v>Sotto</v>
      </c>
      <c r="C4476" s="6"/>
      <c r="D4476" s="6" t="s">
        <v>4504</v>
      </c>
      <c r="E4476" s="13" t="s">
        <v>4505</v>
      </c>
    </row>
    <row r="4477">
      <c r="A4477" s="4" t="s">
        <v>4532</v>
      </c>
      <c r="B4477" s="5" t="str">
        <f>IFERROR(__xludf.DUMMYFUNCTION("IF(A4477="""","""",INDEX(SPLIT(A4477,"" ""),COUNTA(SPLIT(A4477,"" ""))))"),"Viareggio")</f>
        <v>Viareggio</v>
      </c>
      <c r="C4477" s="6"/>
      <c r="D4477" s="6" t="s">
        <v>4504</v>
      </c>
      <c r="E4477" s="13" t="s">
        <v>4505</v>
      </c>
    </row>
    <row r="4478">
      <c r="A4478" s="4" t="s">
        <v>4533</v>
      </c>
      <c r="B4478" s="5" t="str">
        <f>IFERROR(__xludf.DUMMYFUNCTION("IF(A4478="""","""",INDEX(SPLIT(A4478,"" ""),COUNTA(SPLIT(A4478,"" ""))))"),"Basilica")</f>
        <v>Basilica</v>
      </c>
      <c r="C4478" s="6"/>
      <c r="D4478" s="6" t="s">
        <v>4504</v>
      </c>
      <c r="E4478" s="13" t="s">
        <v>4505</v>
      </c>
    </row>
    <row r="4479">
      <c r="A4479" s="4" t="s">
        <v>4534</v>
      </c>
      <c r="B4479" s="5" t="str">
        <f>IFERROR(__xludf.DUMMYFUNCTION("IF(A4479="""","""",INDEX(SPLIT(A4479,"" ""),COUNTA(SPLIT(A4479,"" ""))))"),"Collemandina")</f>
        <v>Collemandina</v>
      </c>
      <c r="C4479" s="6"/>
      <c r="D4479" s="6" t="s">
        <v>4504</v>
      </c>
      <c r="E4479" s="13" t="s">
        <v>4505</v>
      </c>
    </row>
    <row r="4480">
      <c r="A4480" s="4" t="s">
        <v>4535</v>
      </c>
      <c r="B4480" s="5" t="str">
        <f>IFERROR(__xludf.DUMMYFUNCTION("IF(A4480="""","""",INDEX(SPLIT(A4480,"" ""),COUNTA(SPLIT(A4480,"" ""))))"),"Vergemoli")</f>
        <v>Vergemoli</v>
      </c>
      <c r="C4480" s="6"/>
      <c r="D4480" s="6" t="s">
        <v>4504</v>
      </c>
      <c r="E4480" s="13" t="s">
        <v>4505</v>
      </c>
    </row>
    <row r="4481">
      <c r="A4481" s="4" t="s">
        <v>4536</v>
      </c>
      <c r="B4481" s="5" t="str">
        <f>IFERROR(__xludf.DUMMYFUNCTION("IF(A4481="""","""",INDEX(SPLIT(A4481,"" ""),COUNTA(SPLIT(A4481,"" ""))))"),"Giuncugnano")</f>
        <v>Giuncugnano</v>
      </c>
      <c r="C4481" s="6"/>
      <c r="D4481" s="6" t="s">
        <v>4504</v>
      </c>
      <c r="E4481" s="13" t="s">
        <v>4505</v>
      </c>
    </row>
    <row r="4482">
      <c r="A4482" s="4" t="s">
        <v>4537</v>
      </c>
      <c r="B4482" s="5" t="str">
        <f>IFERROR(__xludf.DUMMYFUNCTION("IF(A4482="""","""",INDEX(SPLIT(A4482,"" ""),COUNTA(SPLIT(A4482,"" ""))))"),"Agliana")</f>
        <v>Agliana</v>
      </c>
      <c r="C4482" s="6"/>
      <c r="D4482" s="6" t="s">
        <v>4538</v>
      </c>
      <c r="E4482" s="13" t="s">
        <v>4539</v>
      </c>
    </row>
    <row r="4483">
      <c r="A4483" s="4" t="s">
        <v>4540</v>
      </c>
      <c r="B4483" s="5" t="str">
        <f>IFERROR(__xludf.DUMMYFUNCTION("IF(A4483="""","""",INDEX(SPLIT(A4483,"" ""),COUNTA(SPLIT(A4483,"" ""))))"),"Buggiano")</f>
        <v>Buggiano</v>
      </c>
      <c r="C4483" s="6"/>
      <c r="D4483" s="6" t="s">
        <v>4538</v>
      </c>
      <c r="E4483" s="13" t="s">
        <v>4539</v>
      </c>
    </row>
    <row r="4484">
      <c r="A4484" s="4" t="s">
        <v>4541</v>
      </c>
      <c r="B4484" s="5" t="str">
        <f>IFERROR(__xludf.DUMMYFUNCTION("IF(A4484="""","""",INDEX(SPLIT(A4484,"" ""),COUNTA(SPLIT(A4484,"" ""))))"),"Lamporecchio")</f>
        <v>Lamporecchio</v>
      </c>
      <c r="C4484" s="6"/>
      <c r="D4484" s="6" t="s">
        <v>4538</v>
      </c>
      <c r="E4484" s="13" t="s">
        <v>4539</v>
      </c>
    </row>
    <row r="4485">
      <c r="A4485" s="4" t="s">
        <v>4542</v>
      </c>
      <c r="B4485" s="5" t="str">
        <f>IFERROR(__xludf.DUMMYFUNCTION("IF(A4485="""","""",INDEX(SPLIT(A4485,"" ""),COUNTA(SPLIT(A4485,"" ""))))"),"Larciano")</f>
        <v>Larciano</v>
      </c>
      <c r="C4485" s="6"/>
      <c r="D4485" s="6" t="s">
        <v>4538</v>
      </c>
      <c r="E4485" s="13" t="s">
        <v>4539</v>
      </c>
    </row>
    <row r="4486">
      <c r="A4486" s="4" t="s">
        <v>4543</v>
      </c>
      <c r="B4486" s="5" t="str">
        <f>IFERROR(__xludf.DUMMYFUNCTION("IF(A4486="""","""",INDEX(SPLIT(A4486,"" ""),COUNTA(SPLIT(A4486,"" ""))))"),"Marliana")</f>
        <v>Marliana</v>
      </c>
      <c r="C4486" s="6"/>
      <c r="D4486" s="6" t="s">
        <v>4538</v>
      </c>
      <c r="E4486" s="13" t="s">
        <v>4539</v>
      </c>
    </row>
    <row r="4487">
      <c r="A4487" s="4" t="s">
        <v>4544</v>
      </c>
      <c r="B4487" s="5" t="str">
        <f>IFERROR(__xludf.DUMMYFUNCTION("IF(A4487="""","""",INDEX(SPLIT(A4487,"" ""),COUNTA(SPLIT(A4487,"" ""))))"),"Cozzile")</f>
        <v>Cozzile</v>
      </c>
      <c r="C4487" s="6"/>
      <c r="D4487" s="6" t="s">
        <v>4538</v>
      </c>
      <c r="E4487" s="13" t="s">
        <v>4539</v>
      </c>
    </row>
    <row r="4488">
      <c r="A4488" s="4" t="s">
        <v>4545</v>
      </c>
      <c r="B4488" s="5" t="str">
        <f>IFERROR(__xludf.DUMMYFUNCTION("IF(A4488="""","""",INDEX(SPLIT(A4488,"" ""),COUNTA(SPLIT(A4488,"" ""))))"),"Terme")</f>
        <v>Terme</v>
      </c>
      <c r="C4488" s="6"/>
      <c r="D4488" s="6" t="s">
        <v>4538</v>
      </c>
      <c r="E4488" s="13" t="s">
        <v>4539</v>
      </c>
    </row>
    <row r="4489">
      <c r="A4489" s="4" t="s">
        <v>4546</v>
      </c>
      <c r="B4489" s="5" t="str">
        <f>IFERROR(__xludf.DUMMYFUNCTION("IF(A4489="""","""",INDEX(SPLIT(A4489,"" ""),COUNTA(SPLIT(A4489,"" ""))))"),"Montale")</f>
        <v>Montale</v>
      </c>
      <c r="C4489" s="6"/>
      <c r="D4489" s="6" t="s">
        <v>4538</v>
      </c>
      <c r="E4489" s="13" t="s">
        <v>4539</v>
      </c>
    </row>
    <row r="4490">
      <c r="A4490" s="4" t="s">
        <v>4547</v>
      </c>
      <c r="B4490" s="5" t="str">
        <f>IFERROR(__xludf.DUMMYFUNCTION("IF(A4490="""","""",INDEX(SPLIT(A4490,"" ""),COUNTA(SPLIT(A4490,"" ""))))"),"MontecatiniTerme")</f>
        <v>MontecatiniTerme</v>
      </c>
      <c r="C4490" s="6"/>
      <c r="D4490" s="6" t="s">
        <v>4538</v>
      </c>
      <c r="E4490" s="13" t="s">
        <v>4539</v>
      </c>
    </row>
    <row r="4491">
      <c r="A4491" s="4" t="s">
        <v>4548</v>
      </c>
      <c r="B4491" s="5" t="str">
        <f>IFERROR(__xludf.DUMMYFUNCTION("IF(A4491="""","""",INDEX(SPLIT(A4491,"" ""),COUNTA(SPLIT(A4491,"" ""))))"),"Pescia")</f>
        <v>Pescia</v>
      </c>
      <c r="C4491" s="6"/>
      <c r="D4491" s="6" t="s">
        <v>4538</v>
      </c>
      <c r="E4491" s="13" t="s">
        <v>4539</v>
      </c>
    </row>
    <row r="4492">
      <c r="A4492" s="4" t="s">
        <v>4549</v>
      </c>
      <c r="B4492" s="5" t="str">
        <f>IFERROR(__xludf.DUMMYFUNCTION("IF(A4492="""","""",INDEX(SPLIT(A4492,"" ""),COUNTA(SPLIT(A4492,"" ""))))"),"Nievole")</f>
        <v>Nievole</v>
      </c>
      <c r="C4492" s="6"/>
      <c r="D4492" s="6" t="s">
        <v>4538</v>
      </c>
      <c r="E4492" s="13" t="s">
        <v>4539</v>
      </c>
    </row>
    <row r="4493">
      <c r="A4493" s="4" t="s">
        <v>4538</v>
      </c>
      <c r="B4493" s="5" t="str">
        <f>IFERROR(__xludf.DUMMYFUNCTION("IF(A4493="""","""",INDEX(SPLIT(A4493,"" ""),COUNTA(SPLIT(A4493,"" ""))))"),"Pistoia")</f>
        <v>Pistoia</v>
      </c>
      <c r="C4493" s="6"/>
      <c r="D4493" s="6" t="s">
        <v>4538</v>
      </c>
      <c r="E4493" s="13" t="s">
        <v>4539</v>
      </c>
    </row>
    <row r="4494">
      <c r="A4494" s="4" t="s">
        <v>4550</v>
      </c>
      <c r="B4494" s="5" t="str">
        <f>IFERROR(__xludf.DUMMYFUNCTION("IF(A4494="""","""",INDEX(SPLIT(A4494,"" ""),COUNTA(SPLIT(A4494,"" ""))))"),"Buggianese")</f>
        <v>Buggianese</v>
      </c>
      <c r="C4494" s="6"/>
      <c r="D4494" s="6" t="s">
        <v>4538</v>
      </c>
      <c r="E4494" s="13" t="s">
        <v>4539</v>
      </c>
    </row>
    <row r="4495">
      <c r="A4495" s="4" t="s">
        <v>4551</v>
      </c>
      <c r="B4495" s="5" t="str">
        <f>IFERROR(__xludf.DUMMYFUNCTION("IF(A4495="""","""",INDEX(SPLIT(A4495,"" ""),COUNTA(SPLIT(A4495,"" ""))))"),"Quarrata")</f>
        <v>Quarrata</v>
      </c>
      <c r="C4495" s="6"/>
      <c r="D4495" s="6" t="s">
        <v>4538</v>
      </c>
      <c r="E4495" s="13" t="s">
        <v>4539</v>
      </c>
    </row>
    <row r="4496">
      <c r="A4496" s="4" t="s">
        <v>4552</v>
      </c>
      <c r="B4496" s="5" t="str">
        <f>IFERROR(__xludf.DUMMYFUNCTION("IF(A4496="""","""",INDEX(SPLIT(A4496,"" ""),COUNTA(SPLIT(A4496,"" ""))))"),"Pistoiese")</f>
        <v>Pistoiese</v>
      </c>
      <c r="C4496" s="6"/>
      <c r="D4496" s="6" t="s">
        <v>4538</v>
      </c>
      <c r="E4496" s="13" t="s">
        <v>4539</v>
      </c>
    </row>
    <row r="4497">
      <c r="A4497" s="4" t="s">
        <v>4553</v>
      </c>
      <c r="B4497" s="5" t="str">
        <f>IFERROR(__xludf.DUMMYFUNCTION("IF(A4497="""","""",INDEX(SPLIT(A4497,"" ""),COUNTA(SPLIT(A4497,"" ""))))"),"Pistoiese")</f>
        <v>Pistoiese</v>
      </c>
      <c r="C4497" s="6"/>
      <c r="D4497" s="6" t="s">
        <v>4538</v>
      </c>
      <c r="E4497" s="13" t="s">
        <v>4539</v>
      </c>
    </row>
    <row r="4498">
      <c r="A4498" s="4" t="s">
        <v>4554</v>
      </c>
      <c r="B4498" s="5" t="str">
        <f>IFERROR(__xludf.DUMMYFUNCTION("IF(A4498="""","""",INDEX(SPLIT(A4498,"" ""),COUNTA(SPLIT(A4498,"" ""))))"),"Uzzano")</f>
        <v>Uzzano</v>
      </c>
      <c r="C4498" s="6"/>
      <c r="D4498" s="6" t="s">
        <v>4538</v>
      </c>
      <c r="E4498" s="13" t="s">
        <v>4539</v>
      </c>
    </row>
    <row r="4499">
      <c r="A4499" s="4" t="s">
        <v>4555</v>
      </c>
      <c r="B4499" s="5" t="str">
        <f>IFERROR(__xludf.DUMMYFUNCTION("IF(A4499="""","""",INDEX(SPLIT(A4499,"" ""),COUNTA(SPLIT(A4499,"" ""))))"),"Uzzanese")</f>
        <v>Uzzanese</v>
      </c>
      <c r="C4499" s="6"/>
      <c r="D4499" s="6" t="s">
        <v>4538</v>
      </c>
      <c r="E4499" s="13" t="s">
        <v>4539</v>
      </c>
    </row>
    <row r="4500">
      <c r="A4500" s="4" t="s">
        <v>4556</v>
      </c>
      <c r="B4500" s="5" t="str">
        <f>IFERROR(__xludf.DUMMYFUNCTION("IF(A4500="""","""",INDEX(SPLIT(A4500,"" ""),COUNTA(SPLIT(A4500,"" ""))))"),"Cutigliano")</f>
        <v>Cutigliano</v>
      </c>
      <c r="C4500" s="6"/>
      <c r="D4500" s="6" t="s">
        <v>4538</v>
      </c>
      <c r="E4500" s="13" t="s">
        <v>4539</v>
      </c>
    </row>
    <row r="4501">
      <c r="A4501" s="4" t="s">
        <v>4557</v>
      </c>
      <c r="B4501" s="5" t="str">
        <f>IFERROR(__xludf.DUMMYFUNCTION("IF(A4501="""","""",INDEX(SPLIT(A4501,"" ""),COUNTA(SPLIT(A4501,"" ""))))"),"Piteglio")</f>
        <v>Piteglio</v>
      </c>
      <c r="C4501" s="6"/>
      <c r="D4501" s="6" t="s">
        <v>4538</v>
      </c>
      <c r="E4501" s="13" t="s">
        <v>4539</v>
      </c>
    </row>
    <row r="4502">
      <c r="A4502" s="4" t="s">
        <v>4558</v>
      </c>
      <c r="B4502" s="5" t="str">
        <f>IFERROR(__xludf.DUMMYFUNCTION("IF(A4502="""","""",INDEX(SPLIT(A4502,"" ""),COUNTA(SPLIT(A4502,"" ""))))"),"Ripoli")</f>
        <v>Ripoli</v>
      </c>
      <c r="C4502" s="6" t="s">
        <v>4559</v>
      </c>
      <c r="D4502" s="6"/>
      <c r="E4502" s="13" t="s">
        <v>4560</v>
      </c>
    </row>
    <row r="4503">
      <c r="A4503" s="4" t="s">
        <v>4561</v>
      </c>
      <c r="B4503" s="5" t="str">
        <f>IFERROR(__xludf.DUMMYFUNCTION("IF(A4503="""","""",INDEX(SPLIT(A4503,"" ""),COUNTA(SPLIT(A4503,"" ""))))"),"Mugello")</f>
        <v>Mugello</v>
      </c>
      <c r="C4503" s="6" t="s">
        <v>4559</v>
      </c>
      <c r="D4503" s="6"/>
      <c r="E4503" s="13" t="s">
        <v>4560</v>
      </c>
    </row>
    <row r="4504">
      <c r="A4504" s="4" t="s">
        <v>4562</v>
      </c>
      <c r="B4504" s="5" t="str">
        <f>IFERROR(__xludf.DUMMYFUNCTION("IF(A4504="""","""",INDEX(SPLIT(A4504,"" ""),COUNTA(SPLIT(A4504,"" ""))))"),"d'Elsa")</f>
        <v>d'Elsa</v>
      </c>
      <c r="C4504" s="6" t="s">
        <v>4559</v>
      </c>
      <c r="D4504" s="6"/>
      <c r="E4504" s="13" t="s">
        <v>4560</v>
      </c>
    </row>
    <row r="4505">
      <c r="A4505" s="4" t="s">
        <v>4563</v>
      </c>
      <c r="B4505" s="5" t="str">
        <f>IFERROR(__xludf.DUMMYFUNCTION("IF(A4505="""","""",INDEX(SPLIT(A4505,"" ""),COUNTA(SPLIT(A4505,"" ""))))"),"Lorenzo")</f>
        <v>Lorenzo</v>
      </c>
      <c r="C4505" s="6" t="s">
        <v>4559</v>
      </c>
      <c r="D4505" s="6"/>
      <c r="E4505" s="13" t="s">
        <v>4560</v>
      </c>
    </row>
    <row r="4506">
      <c r="A4506" s="4" t="s">
        <v>4564</v>
      </c>
      <c r="B4506" s="5" t="str">
        <f>IFERROR(__xludf.DUMMYFUNCTION("IF(A4506="""","""",INDEX(SPLIT(A4506,"" ""),COUNTA(SPLIT(A4506,"" ""))))"),"Calenzano")</f>
        <v>Calenzano</v>
      </c>
      <c r="C4506" s="6" t="s">
        <v>4559</v>
      </c>
      <c r="D4506" s="6"/>
      <c r="E4506" s="13" t="s">
        <v>4560</v>
      </c>
    </row>
    <row r="4507">
      <c r="A4507" s="4" t="s">
        <v>4565</v>
      </c>
      <c r="B4507" s="5" t="str">
        <f>IFERROR(__xludf.DUMMYFUNCTION("IF(A4507="""","""",INDEX(SPLIT(A4507,"" ""),COUNTA(SPLIT(A4507,"" ""))))"),"Bisenzio")</f>
        <v>Bisenzio</v>
      </c>
      <c r="C4507" s="6" t="s">
        <v>4559</v>
      </c>
      <c r="D4507" s="6"/>
      <c r="E4507" s="13" t="s">
        <v>4560</v>
      </c>
    </row>
    <row r="4508">
      <c r="A4508" s="4" t="s">
        <v>4566</v>
      </c>
      <c r="B4508" s="5" t="str">
        <f>IFERROR(__xludf.DUMMYFUNCTION("IF(A4508="""","""",INDEX(SPLIT(A4508,"" ""),COUNTA(SPLIT(A4508,"" ""))))"),"Limite")</f>
        <v>Limite</v>
      </c>
      <c r="C4508" s="6" t="s">
        <v>4559</v>
      </c>
      <c r="D4508" s="6"/>
      <c r="E4508" s="13" t="s">
        <v>4560</v>
      </c>
    </row>
    <row r="4509">
      <c r="A4509" s="4" t="s">
        <v>4567</v>
      </c>
      <c r="B4509" s="5" t="str">
        <f>IFERROR(__xludf.DUMMYFUNCTION("IF(A4509="""","""",INDEX(SPLIT(A4509,"" ""),COUNTA(SPLIT(A4509,"" ""))))"),"Castelfiorentino")</f>
        <v>Castelfiorentino</v>
      </c>
      <c r="C4509" s="6" t="s">
        <v>4559</v>
      </c>
      <c r="D4509" s="6"/>
      <c r="E4509" s="13" t="s">
        <v>4560</v>
      </c>
    </row>
    <row r="4510">
      <c r="A4510" s="4" t="s">
        <v>4568</v>
      </c>
      <c r="B4510" s="5" t="str">
        <f>IFERROR(__xludf.DUMMYFUNCTION("IF(A4510="""","""",INDEX(SPLIT(A4510,"" ""),COUNTA(SPLIT(A4510,"" ""))))"),"Guidi")</f>
        <v>Guidi</v>
      </c>
      <c r="C4510" s="6" t="s">
        <v>4559</v>
      </c>
      <c r="D4510" s="6"/>
      <c r="E4510" s="13" t="s">
        <v>4560</v>
      </c>
    </row>
    <row r="4511">
      <c r="A4511" s="4" t="s">
        <v>4569</v>
      </c>
      <c r="B4511" s="5" t="str">
        <f>IFERROR(__xludf.DUMMYFUNCTION("IF(A4511="""","""",INDEX(SPLIT(A4511,"" ""),COUNTA(SPLIT(A4511,"" ""))))"),"Certaldo")</f>
        <v>Certaldo</v>
      </c>
      <c r="C4511" s="6" t="s">
        <v>4559</v>
      </c>
      <c r="D4511" s="6"/>
      <c r="E4511" s="13" t="s">
        <v>4560</v>
      </c>
    </row>
    <row r="4512">
      <c r="A4512" s="4" t="s">
        <v>4570</v>
      </c>
      <c r="B4512" s="5" t="str">
        <f>IFERROR(__xludf.DUMMYFUNCTION("IF(A4512="""","""",INDEX(SPLIT(A4512,"" ""),COUNTA(SPLIT(A4512,"" ""))))"),"Dicomano")</f>
        <v>Dicomano</v>
      </c>
      <c r="C4512" s="6" t="s">
        <v>4559</v>
      </c>
      <c r="D4512" s="6"/>
      <c r="E4512" s="13" t="s">
        <v>4560</v>
      </c>
    </row>
    <row r="4513">
      <c r="A4513" s="4" t="s">
        <v>4571</v>
      </c>
      <c r="B4513" s="5" t="str">
        <f>IFERROR(__xludf.DUMMYFUNCTION("IF(A4513="""","""",INDEX(SPLIT(A4513,"" ""),COUNTA(SPLIT(A4513,"" ""))))"),"Empoli")</f>
        <v>Empoli</v>
      </c>
      <c r="C4513" s="6" t="s">
        <v>4559</v>
      </c>
      <c r="D4513" s="6"/>
      <c r="E4513" s="13" t="s">
        <v>4560</v>
      </c>
    </row>
    <row r="4514">
      <c r="A4514" s="4" t="s">
        <v>4572</v>
      </c>
      <c r="B4514" s="5" t="str">
        <f>IFERROR(__xludf.DUMMYFUNCTION("IF(A4514="""","""",INDEX(SPLIT(A4514,"" ""),COUNTA(SPLIT(A4514,"" ""))))"),"Fiesole")</f>
        <v>Fiesole</v>
      </c>
      <c r="C4514" s="6" t="s">
        <v>4559</v>
      </c>
      <c r="D4514" s="6"/>
      <c r="E4514" s="13" t="s">
        <v>4560</v>
      </c>
    </row>
    <row r="4515">
      <c r="A4515" s="4" t="s">
        <v>4559</v>
      </c>
      <c r="B4515" s="5" t="str">
        <f>IFERROR(__xludf.DUMMYFUNCTION("IF(A4515="""","""",INDEX(SPLIT(A4515,"" ""),COUNTA(SPLIT(A4515,"" ""))))"),"Firenze")</f>
        <v>Firenze</v>
      </c>
      <c r="C4515" s="6" t="s">
        <v>4559</v>
      </c>
      <c r="D4515" s="6"/>
      <c r="E4515" s="13" t="s">
        <v>4560</v>
      </c>
    </row>
    <row r="4516">
      <c r="A4516" s="4" t="s">
        <v>4573</v>
      </c>
      <c r="B4516" s="5" t="str">
        <f>IFERROR(__xludf.DUMMYFUNCTION("IF(A4516="""","""",INDEX(SPLIT(A4516,"" ""),COUNTA(SPLIT(A4516,"" ""))))"),"Firenzuola")</f>
        <v>Firenzuola</v>
      </c>
      <c r="C4516" s="6" t="s">
        <v>4559</v>
      </c>
      <c r="D4516" s="6"/>
      <c r="E4516" s="13" t="s">
        <v>4560</v>
      </c>
    </row>
    <row r="4517">
      <c r="A4517" s="4" t="s">
        <v>4574</v>
      </c>
      <c r="B4517" s="5" t="str">
        <f>IFERROR(__xludf.DUMMYFUNCTION("IF(A4517="""","""",INDEX(SPLIT(A4517,"" ""),COUNTA(SPLIT(A4517,"" ""))))"),"Fucecchio")</f>
        <v>Fucecchio</v>
      </c>
      <c r="C4517" s="6" t="s">
        <v>4559</v>
      </c>
      <c r="D4517" s="6"/>
      <c r="E4517" s="13" t="s">
        <v>4560</v>
      </c>
    </row>
    <row r="4518">
      <c r="A4518" s="4" t="s">
        <v>4575</v>
      </c>
      <c r="B4518" s="5" t="str">
        <f>IFERROR(__xludf.DUMMYFUNCTION("IF(A4518="""","""",INDEX(SPLIT(A4518,"" ""),COUNTA(SPLIT(A4518,"" ""))))"),"Terme")</f>
        <v>Terme</v>
      </c>
      <c r="C4518" s="6" t="s">
        <v>4559</v>
      </c>
      <c r="D4518" s="6"/>
      <c r="E4518" s="13" t="s">
        <v>4560</v>
      </c>
    </row>
    <row r="4519">
      <c r="A4519" s="4" t="s">
        <v>4576</v>
      </c>
      <c r="B4519" s="5" t="str">
        <f>IFERROR(__xludf.DUMMYFUNCTION("IF(A4519="""","""",INDEX(SPLIT(A4519,"" ""),COUNTA(SPLIT(A4519,"" ""))))"),"Chianti")</f>
        <v>Chianti</v>
      </c>
      <c r="C4519" s="6" t="s">
        <v>4559</v>
      </c>
      <c r="D4519" s="6"/>
      <c r="E4519" s="13" t="s">
        <v>4560</v>
      </c>
    </row>
    <row r="4520">
      <c r="A4520" s="4" t="s">
        <v>4577</v>
      </c>
      <c r="B4520" s="5" t="str">
        <f>IFERROR(__xludf.DUMMYFUNCTION("IF(A4520="""","""",INDEX(SPLIT(A4520,"" ""),COUNTA(SPLIT(A4520,"" ""))))"),"Impruneta")</f>
        <v>Impruneta</v>
      </c>
      <c r="C4520" s="6" t="s">
        <v>4559</v>
      </c>
      <c r="D4520" s="6"/>
      <c r="E4520" s="13" t="s">
        <v>4560</v>
      </c>
    </row>
    <row r="4521">
      <c r="A4521" s="4" t="s">
        <v>4578</v>
      </c>
      <c r="B4521" s="5" t="str">
        <f>IFERROR(__xludf.DUMMYFUNCTION("IF(A4521="""","""",INDEX(SPLIT(A4521,"" ""),COUNTA(SPLIT(A4521,"" ""))))"),"Signa")</f>
        <v>Signa</v>
      </c>
      <c r="C4521" s="6" t="s">
        <v>4559</v>
      </c>
      <c r="D4521" s="6"/>
      <c r="E4521" s="13" t="s">
        <v>4560</v>
      </c>
    </row>
    <row r="4522">
      <c r="A4522" s="4" t="s">
        <v>4579</v>
      </c>
      <c r="B4522" s="5" t="str">
        <f>IFERROR(__xludf.DUMMYFUNCTION("IF(A4522="""","""",INDEX(SPLIT(A4522,"" ""),COUNTA(SPLIT(A4522,"" ""))))"),"Londa")</f>
        <v>Londa</v>
      </c>
      <c r="C4522" s="6" t="s">
        <v>4559</v>
      </c>
      <c r="D4522" s="6"/>
      <c r="E4522" s="13" t="s">
        <v>4560</v>
      </c>
    </row>
    <row r="4523">
      <c r="A4523" s="4" t="s">
        <v>4580</v>
      </c>
      <c r="B4523" s="5" t="str">
        <f>IFERROR(__xludf.DUMMYFUNCTION("IF(A4523="""","""",INDEX(SPLIT(A4523,"" ""),COUNTA(SPLIT(A4523,"" ""))))"),"Marradi")</f>
        <v>Marradi</v>
      </c>
      <c r="C4523" s="6" t="s">
        <v>4559</v>
      </c>
      <c r="D4523" s="6"/>
      <c r="E4523" s="13" t="s">
        <v>4560</v>
      </c>
    </row>
    <row r="4524">
      <c r="A4524" s="4" t="s">
        <v>4581</v>
      </c>
      <c r="B4524" s="5" t="str">
        <f>IFERROR(__xludf.DUMMYFUNCTION("IF(A4524="""","""",INDEX(SPLIT(A4524,"" ""),COUNTA(SPLIT(A4524,"" ""))))"),"Montaione")</f>
        <v>Montaione</v>
      </c>
      <c r="C4524" s="6" t="s">
        <v>4559</v>
      </c>
      <c r="D4524" s="6"/>
      <c r="E4524" s="13" t="s">
        <v>4560</v>
      </c>
    </row>
    <row r="4525">
      <c r="A4525" s="4" t="s">
        <v>4582</v>
      </c>
      <c r="B4525" s="5" t="str">
        <f>IFERROR(__xludf.DUMMYFUNCTION("IF(A4525="""","""",INDEX(SPLIT(A4525,"" ""),COUNTA(SPLIT(A4525,"" ""))))"),"Fiorentino")</f>
        <v>Fiorentino</v>
      </c>
      <c r="C4525" s="6" t="s">
        <v>4559</v>
      </c>
      <c r="D4525" s="6"/>
      <c r="E4525" s="13" t="s">
        <v>4560</v>
      </c>
    </row>
    <row r="4526">
      <c r="A4526" s="4" t="s">
        <v>4583</v>
      </c>
      <c r="B4526" s="5" t="str">
        <f>IFERROR(__xludf.DUMMYFUNCTION("IF(A4526="""","""",INDEX(SPLIT(A4526,"" ""),COUNTA(SPLIT(A4526,"" ""))))"),"Montespertoli")</f>
        <v>Montespertoli</v>
      </c>
      <c r="C4526" s="6" t="s">
        <v>4559</v>
      </c>
      <c r="D4526" s="6"/>
      <c r="E4526" s="13" t="s">
        <v>4560</v>
      </c>
    </row>
    <row r="4527">
      <c r="A4527" s="4" t="s">
        <v>4584</v>
      </c>
      <c r="B4527" s="5" t="str">
        <f>IFERROR(__xludf.DUMMYFUNCTION("IF(A4527="""","""",INDEX(SPLIT(A4527,"" ""),COUNTA(SPLIT(A4527,"" ""))))"),"Senio")</f>
        <v>Senio</v>
      </c>
      <c r="C4527" s="6" t="s">
        <v>4559</v>
      </c>
      <c r="D4527" s="6"/>
      <c r="E4527" s="13" t="s">
        <v>4560</v>
      </c>
    </row>
    <row r="4528">
      <c r="A4528" s="4" t="s">
        <v>4585</v>
      </c>
      <c r="B4528" s="5" t="str">
        <f>IFERROR(__xludf.DUMMYFUNCTION("IF(A4528="""","""",INDEX(SPLIT(A4528,"" ""),COUNTA(SPLIT(A4528,"" ""))))"),"Pelago")</f>
        <v>Pelago</v>
      </c>
      <c r="C4528" s="6" t="s">
        <v>4559</v>
      </c>
      <c r="D4528" s="6"/>
      <c r="E4528" s="13" t="s">
        <v>4560</v>
      </c>
    </row>
    <row r="4529">
      <c r="A4529" s="4" t="s">
        <v>4586</v>
      </c>
      <c r="B4529" s="5" t="str">
        <f>IFERROR(__xludf.DUMMYFUNCTION("IF(A4529="""","""",INDEX(SPLIT(A4529,"" ""),COUNTA(SPLIT(A4529,"" ""))))"),"Pontassieve")</f>
        <v>Pontassieve</v>
      </c>
      <c r="C4529" s="6" t="s">
        <v>4559</v>
      </c>
      <c r="D4529" s="6"/>
      <c r="E4529" s="13" t="s">
        <v>4560</v>
      </c>
    </row>
    <row r="4530">
      <c r="A4530" s="4" t="s">
        <v>4587</v>
      </c>
      <c r="B4530" s="5" t="str">
        <f>IFERROR(__xludf.DUMMYFUNCTION("IF(A4530="""","""",INDEX(SPLIT(A4530,"" ""),COUNTA(SPLIT(A4530,"" ""))))"),"Reggello")</f>
        <v>Reggello</v>
      </c>
      <c r="C4530" s="6" t="s">
        <v>4559</v>
      </c>
      <c r="D4530" s="6"/>
      <c r="E4530" s="13" t="s">
        <v>4560</v>
      </c>
    </row>
    <row r="4531">
      <c r="A4531" s="4" t="s">
        <v>4588</v>
      </c>
      <c r="B4531" s="5" t="str">
        <f>IFERROR(__xludf.DUMMYFUNCTION("IF(A4531="""","""",INDEX(SPLIT(A4531,"" ""),COUNTA(SPLIT(A4531,"" ""))))"),"sull'Arno")</f>
        <v>sull'Arno</v>
      </c>
      <c r="C4531" s="6" t="s">
        <v>4559</v>
      </c>
      <c r="D4531" s="6"/>
      <c r="E4531" s="13" t="s">
        <v>4560</v>
      </c>
    </row>
    <row r="4532">
      <c r="A4532" s="4" t="s">
        <v>4589</v>
      </c>
      <c r="B4532" s="5" t="str">
        <f>IFERROR(__xludf.DUMMYFUNCTION("IF(A4532="""","""",INDEX(SPLIT(A4532,"" ""),COUNTA(SPLIT(A4532,"" ""))))"),"Rufina")</f>
        <v>Rufina</v>
      </c>
      <c r="C4532" s="6" t="s">
        <v>4559</v>
      </c>
      <c r="D4532" s="6"/>
      <c r="E4532" s="13" t="s">
        <v>4560</v>
      </c>
    </row>
    <row r="4533">
      <c r="A4533" s="4" t="s">
        <v>4590</v>
      </c>
      <c r="B4533" s="5" t="str">
        <f>IFERROR(__xludf.DUMMYFUNCTION("IF(A4533="""","""",INDEX(SPLIT(A4533,"" ""),COUNTA(SPLIT(A4533,"" ""))))"),"Pesa")</f>
        <v>Pesa</v>
      </c>
      <c r="C4533" s="6" t="s">
        <v>4559</v>
      </c>
      <c r="D4533" s="6"/>
      <c r="E4533" s="13" t="s">
        <v>4560</v>
      </c>
    </row>
    <row r="4534">
      <c r="A4534" s="4" t="s">
        <v>4591</v>
      </c>
      <c r="B4534" s="5" t="str">
        <f>IFERROR(__xludf.DUMMYFUNCTION("IF(A4534="""","""",INDEX(SPLIT(A4534,"" ""),COUNTA(SPLIT(A4534,"" ""))))"),"Godenzo")</f>
        <v>Godenzo</v>
      </c>
      <c r="C4534" s="6" t="s">
        <v>4559</v>
      </c>
      <c r="D4534" s="6"/>
      <c r="E4534" s="13" t="s">
        <v>4560</v>
      </c>
    </row>
    <row r="4535">
      <c r="A4535" s="4" t="s">
        <v>4592</v>
      </c>
      <c r="B4535" s="5" t="str">
        <f>IFERROR(__xludf.DUMMYFUNCTION("IF(A4535="""","""",INDEX(SPLIT(A4535,"" ""),COUNTA(SPLIT(A4535,"" ""))))"),"Scandicci")</f>
        <v>Scandicci</v>
      </c>
      <c r="C4535" s="6" t="s">
        <v>4559</v>
      </c>
      <c r="D4535" s="6"/>
      <c r="E4535" s="13" t="s">
        <v>4560</v>
      </c>
    </row>
    <row r="4536">
      <c r="A4536" s="4" t="s">
        <v>4593</v>
      </c>
      <c r="B4536" s="5" t="str">
        <f>IFERROR(__xludf.DUMMYFUNCTION("IF(A4536="""","""",INDEX(SPLIT(A4536,"" ""),COUNTA(SPLIT(A4536,"" ""))))"),"Fiorentino")</f>
        <v>Fiorentino</v>
      </c>
      <c r="C4536" s="6" t="s">
        <v>4559</v>
      </c>
      <c r="D4536" s="6"/>
      <c r="E4536" s="13" t="s">
        <v>4560</v>
      </c>
    </row>
    <row r="4537">
      <c r="A4537" s="4" t="s">
        <v>4594</v>
      </c>
      <c r="B4537" s="5" t="str">
        <f>IFERROR(__xludf.DUMMYFUNCTION("IF(A4537="""","""",INDEX(SPLIT(A4537,"" ""),COUNTA(SPLIT(A4537,"" ""))))"),"Signa")</f>
        <v>Signa</v>
      </c>
      <c r="C4537" s="6" t="s">
        <v>4559</v>
      </c>
      <c r="D4537" s="6"/>
      <c r="E4537" s="13" t="s">
        <v>4560</v>
      </c>
    </row>
    <row r="4538">
      <c r="A4538" s="4" t="s">
        <v>4595</v>
      </c>
      <c r="B4538" s="5" t="str">
        <f>IFERROR(__xludf.DUMMYFUNCTION("IF(A4538="""","""",INDEX(SPLIT(A4538,"" ""),COUNTA(SPLIT(A4538,"" ""))))"),"Pesa")</f>
        <v>Pesa</v>
      </c>
      <c r="C4538" s="6" t="s">
        <v>4559</v>
      </c>
      <c r="D4538" s="6"/>
      <c r="E4538" s="13" t="s">
        <v>4560</v>
      </c>
    </row>
    <row r="4539">
      <c r="A4539" s="4" t="s">
        <v>4596</v>
      </c>
      <c r="B4539" s="5" t="str">
        <f>IFERROR(__xludf.DUMMYFUNCTION("IF(A4539="""","""",INDEX(SPLIT(A4539,"" ""),COUNTA(SPLIT(A4539,"" ""))))"),"Vaglia")</f>
        <v>Vaglia</v>
      </c>
      <c r="C4539" s="6" t="s">
        <v>4559</v>
      </c>
      <c r="D4539" s="6"/>
      <c r="E4539" s="13" t="s">
        <v>4560</v>
      </c>
    </row>
    <row r="4540">
      <c r="A4540" s="4" t="s">
        <v>4597</v>
      </c>
      <c r="B4540" s="5" t="str">
        <f>IFERROR(__xludf.DUMMYFUNCTION("IF(A4540="""","""",INDEX(SPLIT(A4540,"" ""),COUNTA(SPLIT(A4540,"" ""))))"),"Vicchio")</f>
        <v>Vicchio</v>
      </c>
      <c r="C4540" s="6" t="s">
        <v>4559</v>
      </c>
      <c r="D4540" s="6"/>
      <c r="E4540" s="13" t="s">
        <v>4560</v>
      </c>
    </row>
    <row r="4541">
      <c r="A4541" s="4" t="s">
        <v>4598</v>
      </c>
      <c r="B4541" s="5" t="str">
        <f>IFERROR(__xludf.DUMMYFUNCTION("IF(A4541="""","""",INDEX(SPLIT(A4541,"" ""),COUNTA(SPLIT(A4541,"" ""))))"),"Vinci")</f>
        <v>Vinci</v>
      </c>
      <c r="C4541" s="6" t="s">
        <v>4559</v>
      </c>
      <c r="D4541" s="6"/>
      <c r="E4541" s="13" t="s">
        <v>4560</v>
      </c>
    </row>
    <row r="4542">
      <c r="A4542" s="4" t="s">
        <v>4599</v>
      </c>
      <c r="B4542" s="5" t="str">
        <f>IFERROR(__xludf.DUMMYFUNCTION("IF(A4542="""","""",INDEX(SPLIT(A4542,"" ""),COUNTA(SPLIT(A4542,"" ""))))"),"Valdarno")</f>
        <v>Valdarno</v>
      </c>
      <c r="C4542" s="6" t="s">
        <v>4559</v>
      </c>
      <c r="D4542" s="6"/>
      <c r="E4542" s="13" t="s">
        <v>4560</v>
      </c>
    </row>
    <row r="4543">
      <c r="A4543" s="4" t="s">
        <v>4600</v>
      </c>
      <c r="B4543" s="5" t="str">
        <f>IFERROR(__xludf.DUMMYFUNCTION("IF(A4543="""","""",INDEX(SPLIT(A4543,"" ""),COUNTA(SPLIT(A4543,"" ""))))"),"Piero")</f>
        <v>Piero</v>
      </c>
      <c r="C4543" s="6" t="s">
        <v>4559</v>
      </c>
      <c r="D4543" s="6"/>
      <c r="E4543" s="13" t="s">
        <v>4560</v>
      </c>
    </row>
    <row r="4544">
      <c r="A4544" s="4" t="s">
        <v>4601</v>
      </c>
      <c r="B4544" s="5" t="str">
        <f>IFERROR(__xludf.DUMMYFUNCTION("IF(A4544="""","""",INDEX(SPLIT(A4544,"" ""),COUNTA(SPLIT(A4544,"" ""))))"),"Bibbona")</f>
        <v>Bibbona</v>
      </c>
      <c r="C4544" s="6"/>
      <c r="D4544" s="6" t="s">
        <v>4602</v>
      </c>
      <c r="E4544" s="13" t="s">
        <v>4603</v>
      </c>
    </row>
    <row r="4545">
      <c r="A4545" s="4" t="s">
        <v>4604</v>
      </c>
      <c r="B4545" s="5" t="str">
        <f>IFERROR(__xludf.DUMMYFUNCTION("IF(A4545="""","""",INDEX(SPLIT(A4545,"" ""),COUNTA(SPLIT(A4545,"" ""))))"),"Marittima")</f>
        <v>Marittima</v>
      </c>
      <c r="C4545" s="6"/>
      <c r="D4545" s="6" t="s">
        <v>4602</v>
      </c>
      <c r="E4545" s="13" t="s">
        <v>4603</v>
      </c>
    </row>
    <row r="4546">
      <c r="A4546" s="4" t="s">
        <v>4605</v>
      </c>
      <c r="B4546" s="5" t="str">
        <f>IFERROR(__xludf.DUMMYFUNCTION("IF(A4546="""","""",INDEX(SPLIT(A4546,"" ""),COUNTA(SPLIT(A4546,"" ""))))"),"nell'Elba")</f>
        <v>nell'Elba</v>
      </c>
      <c r="C4546" s="6"/>
      <c r="D4546" s="6" t="s">
        <v>4602</v>
      </c>
      <c r="E4546" s="13" t="s">
        <v>4603</v>
      </c>
    </row>
    <row r="4547">
      <c r="A4547" s="4" t="s">
        <v>4606</v>
      </c>
      <c r="B4547" s="5" t="str">
        <f>IFERROR(__xludf.DUMMYFUNCTION("IF(A4547="""","""",INDEX(SPLIT(A4547,"" ""),COUNTA(SPLIT(A4547,"" ""))))"),"Capoliveri")</f>
        <v>Capoliveri</v>
      </c>
      <c r="C4547" s="6"/>
      <c r="D4547" s="6" t="s">
        <v>4602</v>
      </c>
      <c r="E4547" s="13" t="s">
        <v>4603</v>
      </c>
    </row>
    <row r="4548">
      <c r="A4548" s="4" t="s">
        <v>4607</v>
      </c>
      <c r="B4548" s="5" t="str">
        <f>IFERROR(__xludf.DUMMYFUNCTION("IF(A4548="""","""",INDEX(SPLIT(A4548,"" ""),COUNTA(SPLIT(A4548,"" ""))))"),"Isola")</f>
        <v>Isola</v>
      </c>
      <c r="C4548" s="6"/>
      <c r="D4548" s="6" t="s">
        <v>4602</v>
      </c>
      <c r="E4548" s="13" t="s">
        <v>4603</v>
      </c>
    </row>
    <row r="4549">
      <c r="A4549" s="4" t="s">
        <v>4608</v>
      </c>
      <c r="B4549" s="5" t="str">
        <f>IFERROR(__xludf.DUMMYFUNCTION("IF(A4549="""","""",INDEX(SPLIT(A4549,"" ""),COUNTA(SPLIT(A4549,"" ""))))"),"Carducci")</f>
        <v>Carducci</v>
      </c>
      <c r="C4549" s="6"/>
      <c r="D4549" s="6" t="s">
        <v>4602</v>
      </c>
      <c r="E4549" s="13" t="s">
        <v>4603</v>
      </c>
    </row>
    <row r="4550">
      <c r="A4550" s="4" t="s">
        <v>4609</v>
      </c>
      <c r="B4550" s="5" t="str">
        <f>IFERROR(__xludf.DUMMYFUNCTION("IF(A4550="""","""",INDEX(SPLIT(A4550,"" ""),COUNTA(SPLIT(A4550,"" ""))))"),"Cecina")</f>
        <v>Cecina</v>
      </c>
      <c r="C4550" s="6"/>
      <c r="D4550" s="6" t="s">
        <v>4602</v>
      </c>
      <c r="E4550" s="13" t="s">
        <v>4603</v>
      </c>
    </row>
    <row r="4551">
      <c r="A4551" s="4" t="s">
        <v>4610</v>
      </c>
      <c r="B4551" s="5" t="str">
        <f>IFERROR(__xludf.DUMMYFUNCTION("IF(A4551="""","""",INDEX(SPLIT(A4551,"" ""),COUNTA(SPLIT(A4551,"" ""))))"),"Collesalvetti")</f>
        <v>Collesalvetti</v>
      </c>
      <c r="C4551" s="6"/>
      <c r="D4551" s="6" t="s">
        <v>4602</v>
      </c>
      <c r="E4551" s="13" t="s">
        <v>4603</v>
      </c>
    </row>
    <row r="4552">
      <c r="A4552" s="4" t="s">
        <v>4602</v>
      </c>
      <c r="B4552" s="5" t="str">
        <f>IFERROR(__xludf.DUMMYFUNCTION("IF(A4552="""","""",INDEX(SPLIT(A4552,"" ""),COUNTA(SPLIT(A4552,"" ""))))"),"Livorno")</f>
        <v>Livorno</v>
      </c>
      <c r="C4552" s="6"/>
      <c r="D4552" s="6" t="s">
        <v>4602</v>
      </c>
      <c r="E4552" s="13" t="s">
        <v>4603</v>
      </c>
    </row>
    <row r="4553">
      <c r="A4553" s="4" t="s">
        <v>4611</v>
      </c>
      <c r="B4553" s="5" t="str">
        <f>IFERROR(__xludf.DUMMYFUNCTION("IF(A4553="""","""",INDEX(SPLIT(A4553,"" ""),COUNTA(SPLIT(A4553,"" ""))))"),"Marciana")</f>
        <v>Marciana</v>
      </c>
      <c r="C4553" s="6"/>
      <c r="D4553" s="6" t="s">
        <v>4602</v>
      </c>
      <c r="E4553" s="13" t="s">
        <v>4603</v>
      </c>
    </row>
    <row r="4554">
      <c r="A4554" s="4" t="s">
        <v>4612</v>
      </c>
      <c r="B4554" s="5" t="str">
        <f>IFERROR(__xludf.DUMMYFUNCTION("IF(A4554="""","""",INDEX(SPLIT(A4554,"" ""),COUNTA(SPLIT(A4554,"" ""))))"),"Marina")</f>
        <v>Marina</v>
      </c>
      <c r="C4554" s="6"/>
      <c r="D4554" s="6" t="s">
        <v>4602</v>
      </c>
      <c r="E4554" s="13" t="s">
        <v>4603</v>
      </c>
    </row>
    <row r="4555">
      <c r="A4555" s="4" t="s">
        <v>4613</v>
      </c>
      <c r="B4555" s="5" t="str">
        <f>IFERROR(__xludf.DUMMYFUNCTION("IF(A4555="""","""",INDEX(SPLIT(A4555,"" ""),COUNTA(SPLIT(A4555,"" ""))))"),"Piombino")</f>
        <v>Piombino</v>
      </c>
      <c r="C4555" s="6"/>
      <c r="D4555" s="6" t="s">
        <v>4602</v>
      </c>
      <c r="E4555" s="13" t="s">
        <v>4603</v>
      </c>
    </row>
    <row r="4556">
      <c r="A4556" s="4" t="s">
        <v>4614</v>
      </c>
      <c r="B4556" s="5" t="str">
        <f>IFERROR(__xludf.DUMMYFUNCTION("IF(A4556="""","""",INDEX(SPLIT(A4556,"" ""),COUNTA(SPLIT(A4556,"" ""))))"),"Azzurro")</f>
        <v>Azzurro</v>
      </c>
      <c r="C4556" s="6"/>
      <c r="D4556" s="6" t="s">
        <v>4602</v>
      </c>
      <c r="E4556" s="13" t="s">
        <v>4603</v>
      </c>
    </row>
    <row r="4557">
      <c r="A4557" s="4" t="s">
        <v>4615</v>
      </c>
      <c r="B4557" s="5" t="str">
        <f>IFERROR(__xludf.DUMMYFUNCTION("IF(A4557="""","""",INDEX(SPLIT(A4557,"" ""),COUNTA(SPLIT(A4557,"" ""))))"),"Portoferraio")</f>
        <v>Portoferraio</v>
      </c>
      <c r="C4557" s="6"/>
      <c r="D4557" s="6" t="s">
        <v>4602</v>
      </c>
      <c r="E4557" s="13" t="s">
        <v>4603</v>
      </c>
    </row>
    <row r="4558">
      <c r="A4558" s="4" t="s">
        <v>4616</v>
      </c>
      <c r="B4558" s="5" t="str">
        <f>IFERROR(__xludf.DUMMYFUNCTION("IF(A4558="""","""",INDEX(SPLIT(A4558,"" ""),COUNTA(SPLIT(A4558,"" ""))))"),"Marittimo")</f>
        <v>Marittimo</v>
      </c>
      <c r="C4558" s="6"/>
      <c r="D4558" s="6" t="s">
        <v>4602</v>
      </c>
      <c r="E4558" s="13" t="s">
        <v>4603</v>
      </c>
    </row>
    <row r="4559">
      <c r="A4559" s="4" t="s">
        <v>4617</v>
      </c>
      <c r="B4559" s="5" t="str">
        <f>IFERROR(__xludf.DUMMYFUNCTION("IF(A4559="""","""",INDEX(SPLIT(A4559,"" ""),COUNTA(SPLIT(A4559,"" ""))))"),"Vincenzo")</f>
        <v>Vincenzo</v>
      </c>
      <c r="C4559" s="6"/>
      <c r="D4559" s="6" t="s">
        <v>4602</v>
      </c>
      <c r="E4559" s="13" t="s">
        <v>4603</v>
      </c>
    </row>
    <row r="4560">
      <c r="A4560" s="4" t="s">
        <v>4618</v>
      </c>
      <c r="B4560" s="5" t="str">
        <f>IFERROR(__xludf.DUMMYFUNCTION("IF(A4560="""","""",INDEX(SPLIT(A4560,"" ""),COUNTA(SPLIT(A4560,"" ""))))"),"Sassetta")</f>
        <v>Sassetta</v>
      </c>
      <c r="C4560" s="6"/>
      <c r="D4560" s="6" t="s">
        <v>4602</v>
      </c>
      <c r="E4560" s="13" t="s">
        <v>4603</v>
      </c>
    </row>
    <row r="4561">
      <c r="A4561" s="4" t="s">
        <v>4619</v>
      </c>
      <c r="B4561" s="5" t="str">
        <f>IFERROR(__xludf.DUMMYFUNCTION("IF(A4561="""","""",INDEX(SPLIT(A4561,"" ""),COUNTA(SPLIT(A4561,"" ""))))"),"Suvereto")</f>
        <v>Suvereto</v>
      </c>
      <c r="C4561" s="6"/>
      <c r="D4561" s="6" t="s">
        <v>4602</v>
      </c>
      <c r="E4561" s="13" t="s">
        <v>4603</v>
      </c>
    </row>
    <row r="4562">
      <c r="A4562" s="4" t="s">
        <v>4620</v>
      </c>
      <c r="B4562" s="5" t="str">
        <f>IFERROR(__xludf.DUMMYFUNCTION("IF(A4562="""","""",INDEX(SPLIT(A4562,"" ""),COUNTA(SPLIT(A4562,"" ""))))"),"Rio")</f>
        <v>Rio</v>
      </c>
      <c r="C4562" s="6"/>
      <c r="D4562" s="6" t="s">
        <v>4602</v>
      </c>
      <c r="E4562" s="13" t="s">
        <v>4603</v>
      </c>
    </row>
    <row r="4563">
      <c r="A4563" s="4" t="s">
        <v>4621</v>
      </c>
      <c r="B4563" s="5" t="str">
        <f>IFERROR(__xludf.DUMMYFUNCTION("IF(A4563="""","""",INDEX(SPLIT(A4563,"" ""),COUNTA(SPLIT(A4563,"" ""))))"),"Bientina")</f>
        <v>Bientina</v>
      </c>
      <c r="C4563" s="6"/>
      <c r="D4563" s="6" t="s">
        <v>4622</v>
      </c>
      <c r="E4563" s="13" t="s">
        <v>4623</v>
      </c>
    </row>
    <row r="4564">
      <c r="A4564" s="4" t="s">
        <v>4624</v>
      </c>
      <c r="B4564" s="5" t="str">
        <f>IFERROR(__xludf.DUMMYFUNCTION("IF(A4564="""","""",INDEX(SPLIT(A4564,"" ""),COUNTA(SPLIT(A4564,"" ""))))"),"Buti")</f>
        <v>Buti</v>
      </c>
      <c r="C4564" s="6"/>
      <c r="D4564" s="6" t="s">
        <v>4622</v>
      </c>
      <c r="E4564" s="13" t="s">
        <v>4623</v>
      </c>
    </row>
    <row r="4565">
      <c r="A4565" s="4" t="s">
        <v>4625</v>
      </c>
      <c r="B4565" s="5" t="str">
        <f>IFERROR(__xludf.DUMMYFUNCTION("IF(A4565="""","""",INDEX(SPLIT(A4565,"" ""),COUNTA(SPLIT(A4565,"" ""))))"),"Calci")</f>
        <v>Calci</v>
      </c>
      <c r="C4565" s="6"/>
      <c r="D4565" s="6" t="s">
        <v>4622</v>
      </c>
      <c r="E4565" s="13" t="s">
        <v>4623</v>
      </c>
    </row>
    <row r="4566">
      <c r="A4566" s="4" t="s">
        <v>4626</v>
      </c>
      <c r="B4566" s="5" t="str">
        <f>IFERROR(__xludf.DUMMYFUNCTION("IF(A4566="""","""",INDEX(SPLIT(A4566,"" ""),COUNTA(SPLIT(A4566,"" ""))))"),"Calcinaia")</f>
        <v>Calcinaia</v>
      </c>
      <c r="C4566" s="6"/>
      <c r="D4566" s="6" t="s">
        <v>4622</v>
      </c>
      <c r="E4566" s="13" t="s">
        <v>4623</v>
      </c>
    </row>
    <row r="4567">
      <c r="A4567" s="4" t="s">
        <v>4627</v>
      </c>
      <c r="B4567" s="5" t="str">
        <f>IFERROR(__xludf.DUMMYFUNCTION("IF(A4567="""","""",INDEX(SPLIT(A4567,"" ""),COUNTA(SPLIT(A4567,"" ""))))"),"Capannoli")</f>
        <v>Capannoli</v>
      </c>
      <c r="C4567" s="6"/>
      <c r="D4567" s="6" t="s">
        <v>4622</v>
      </c>
      <c r="E4567" s="13" t="s">
        <v>4623</v>
      </c>
    </row>
    <row r="4568">
      <c r="A4568" s="4" t="s">
        <v>4628</v>
      </c>
      <c r="B4568" s="5" t="str">
        <f>IFERROR(__xludf.DUMMYFUNCTION("IF(A4568="""","""",INDEX(SPLIT(A4568,"" ""),COUNTA(SPLIT(A4568,"" ""))))"),"Marittimo")</f>
        <v>Marittimo</v>
      </c>
      <c r="C4568" s="6"/>
      <c r="D4568" s="6" t="s">
        <v>4622</v>
      </c>
      <c r="E4568" s="13" t="s">
        <v>4623</v>
      </c>
    </row>
    <row r="4569">
      <c r="A4569" s="4" t="s">
        <v>4629</v>
      </c>
      <c r="B4569" s="5" t="str">
        <f>IFERROR(__xludf.DUMMYFUNCTION("IF(A4569="""","""",INDEX(SPLIT(A4569,"" ""),COUNTA(SPLIT(A4569,"" ""))))"),"Cascina")</f>
        <v>Cascina</v>
      </c>
      <c r="C4569" s="6"/>
      <c r="D4569" s="6" t="s">
        <v>4622</v>
      </c>
      <c r="E4569" s="13" t="s">
        <v>4623</v>
      </c>
    </row>
    <row r="4570">
      <c r="A4570" s="4" t="s">
        <v>4630</v>
      </c>
      <c r="B4570" s="5" t="str">
        <f>IFERROR(__xludf.DUMMYFUNCTION("IF(A4570="""","""",INDEX(SPLIT(A4570,"" ""),COUNTA(SPLIT(A4570,"" ""))))"),"Sotto")</f>
        <v>Sotto</v>
      </c>
      <c r="C4570" s="6"/>
      <c r="D4570" s="6" t="s">
        <v>4622</v>
      </c>
      <c r="E4570" s="13" t="s">
        <v>4623</v>
      </c>
    </row>
    <row r="4571">
      <c r="A4571" s="4" t="s">
        <v>4631</v>
      </c>
      <c r="B4571" s="5" t="str">
        <f>IFERROR(__xludf.DUMMYFUNCTION("IF(A4571="""","""",INDEX(SPLIT(A4571,"" ""),COUNTA(SPLIT(A4571,"" ""))))"),"Marittima")</f>
        <v>Marittima</v>
      </c>
      <c r="C4571" s="6"/>
      <c r="D4571" s="6" t="s">
        <v>4622</v>
      </c>
      <c r="E4571" s="13" t="s">
        <v>4623</v>
      </c>
    </row>
    <row r="4572">
      <c r="A4572" s="4" t="s">
        <v>4632</v>
      </c>
      <c r="B4572" s="5" t="str">
        <f>IFERROR(__xludf.DUMMYFUNCTION("IF(A4572="""","""",INDEX(SPLIT(A4572,"" ""),COUNTA(SPLIT(A4572,"" ""))))"),"Cecina")</f>
        <v>Cecina</v>
      </c>
      <c r="C4572" s="6"/>
      <c r="D4572" s="6" t="s">
        <v>4622</v>
      </c>
      <c r="E4572" s="13" t="s">
        <v>4623</v>
      </c>
    </row>
    <row r="4573">
      <c r="A4573" s="4" t="s">
        <v>4633</v>
      </c>
      <c r="B4573" s="5" t="str">
        <f>IFERROR(__xludf.DUMMYFUNCTION("IF(A4573="""","""",INDEX(SPLIT(A4573,"" ""),COUNTA(SPLIT(A4573,"" ""))))"),"Chianni")</f>
        <v>Chianni</v>
      </c>
      <c r="C4573" s="6"/>
      <c r="D4573" s="6" t="s">
        <v>4622</v>
      </c>
      <c r="E4573" s="13" t="s">
        <v>4623</v>
      </c>
    </row>
    <row r="4574">
      <c r="A4574" s="4" t="s">
        <v>4634</v>
      </c>
      <c r="B4574" s="5" t="str">
        <f>IFERROR(__xludf.DUMMYFUNCTION("IF(A4574="""","""",INDEX(SPLIT(A4574,"" ""),COUNTA(SPLIT(A4574,"" ""))))"),"Fauglia")</f>
        <v>Fauglia</v>
      </c>
      <c r="C4574" s="6"/>
      <c r="D4574" s="6" t="s">
        <v>4622</v>
      </c>
      <c r="E4574" s="13" t="s">
        <v>4623</v>
      </c>
    </row>
    <row r="4575">
      <c r="A4575" s="4" t="s">
        <v>4635</v>
      </c>
      <c r="B4575" s="5" t="str">
        <f>IFERROR(__xludf.DUMMYFUNCTION("IF(A4575="""","""",INDEX(SPLIT(A4575,"" ""),COUNTA(SPLIT(A4575,"" ""))))"),"Guardistallo")</f>
        <v>Guardistallo</v>
      </c>
      <c r="C4575" s="6"/>
      <c r="D4575" s="6" t="s">
        <v>4622</v>
      </c>
      <c r="E4575" s="13" t="s">
        <v>4623</v>
      </c>
    </row>
    <row r="4576">
      <c r="A4576" s="4" t="s">
        <v>4636</v>
      </c>
      <c r="B4576" s="5" t="str">
        <f>IFERROR(__xludf.DUMMYFUNCTION("IF(A4576="""","""",INDEX(SPLIT(A4576,"" ""),COUNTA(SPLIT(A4576,"" ""))))"),"Lajatico")</f>
        <v>Lajatico</v>
      </c>
      <c r="C4576" s="6"/>
      <c r="D4576" s="6" t="s">
        <v>4622</v>
      </c>
      <c r="E4576" s="13" t="s">
        <v>4623</v>
      </c>
    </row>
    <row r="4577">
      <c r="A4577" s="4" t="s">
        <v>4637</v>
      </c>
      <c r="B4577" s="5" t="str">
        <f>IFERROR(__xludf.DUMMYFUNCTION("IF(A4577="""","""",INDEX(SPLIT(A4577,"" ""),COUNTA(SPLIT(A4577,"" ""))))"),"Cecina")</f>
        <v>Cecina</v>
      </c>
      <c r="C4577" s="6"/>
      <c r="D4577" s="6" t="s">
        <v>4622</v>
      </c>
      <c r="E4577" s="13" t="s">
        <v>4623</v>
      </c>
    </row>
    <row r="4578">
      <c r="A4578" s="4" t="s">
        <v>4638</v>
      </c>
      <c r="B4578" s="5" t="str">
        <f>IFERROR(__xludf.DUMMYFUNCTION("IF(A4578="""","""",INDEX(SPLIT(A4578,"" ""),COUNTA(SPLIT(A4578,"" ""))))"),"Montescudaio")</f>
        <v>Montescudaio</v>
      </c>
      <c r="C4578" s="6"/>
      <c r="D4578" s="6" t="s">
        <v>4622</v>
      </c>
      <c r="E4578" s="13" t="s">
        <v>4623</v>
      </c>
    </row>
    <row r="4579">
      <c r="A4579" s="4" t="s">
        <v>4639</v>
      </c>
      <c r="B4579" s="5" t="str">
        <f>IFERROR(__xludf.DUMMYFUNCTION("IF(A4579="""","""",INDEX(SPLIT(A4579,"" ""),COUNTA(SPLIT(A4579,"" ""))))"),"Marittimo")</f>
        <v>Marittimo</v>
      </c>
      <c r="C4579" s="6"/>
      <c r="D4579" s="6" t="s">
        <v>4622</v>
      </c>
      <c r="E4579" s="13" t="s">
        <v>4623</v>
      </c>
    </row>
    <row r="4580">
      <c r="A4580" s="4" t="s">
        <v>4640</v>
      </c>
      <c r="B4580" s="5" t="str">
        <f>IFERROR(__xludf.DUMMYFUNCTION("IF(A4580="""","""",INDEX(SPLIT(A4580,"" ""),COUNTA(SPLIT(A4580,"" ""))))"),"d'Arno")</f>
        <v>d'Arno</v>
      </c>
      <c r="C4580" s="6"/>
      <c r="D4580" s="6" t="s">
        <v>4622</v>
      </c>
      <c r="E4580" s="13" t="s">
        <v>4623</v>
      </c>
    </row>
    <row r="4581">
      <c r="A4581" s="4" t="s">
        <v>4641</v>
      </c>
      <c r="B4581" s="5" t="str">
        <f>IFERROR(__xludf.DUMMYFUNCTION("IF(A4581="""","""",INDEX(SPLIT(A4581,"" ""),COUNTA(SPLIT(A4581,"" ""))))"),"Pisano")</f>
        <v>Pisano</v>
      </c>
      <c r="C4581" s="6"/>
      <c r="D4581" s="6" t="s">
        <v>4622</v>
      </c>
      <c r="E4581" s="13" t="s">
        <v>4623</v>
      </c>
    </row>
    <row r="4582">
      <c r="A4582" s="4" t="s">
        <v>4642</v>
      </c>
      <c r="B4582" s="5" t="str">
        <f>IFERROR(__xludf.DUMMYFUNCTION("IF(A4582="""","""",INDEX(SPLIT(A4582,"" ""),COUNTA(SPLIT(A4582,"" ""))))"),"Palaia")</f>
        <v>Palaia</v>
      </c>
      <c r="C4582" s="6"/>
      <c r="D4582" s="6" t="s">
        <v>4622</v>
      </c>
      <c r="E4582" s="13" t="s">
        <v>4623</v>
      </c>
    </row>
    <row r="4583">
      <c r="A4583" s="4" t="s">
        <v>4643</v>
      </c>
      <c r="B4583" s="5" t="str">
        <f>IFERROR(__xludf.DUMMYFUNCTION("IF(A4583="""","""",INDEX(SPLIT(A4583,"" ""),COUNTA(SPLIT(A4583,"" ""))))"),"Peccioli")</f>
        <v>Peccioli</v>
      </c>
      <c r="C4583" s="6"/>
      <c r="D4583" s="6" t="s">
        <v>4622</v>
      </c>
      <c r="E4583" s="13" t="s">
        <v>4623</v>
      </c>
    </row>
    <row r="4584">
      <c r="A4584" s="4" t="s">
        <v>4622</v>
      </c>
      <c r="B4584" s="5" t="str">
        <f>IFERROR(__xludf.DUMMYFUNCTION("IF(A4584="""","""",INDEX(SPLIT(A4584,"" ""),COUNTA(SPLIT(A4584,"" ""))))"),"Pisa")</f>
        <v>Pisa</v>
      </c>
      <c r="C4584" s="6"/>
      <c r="D4584" s="6" t="s">
        <v>4622</v>
      </c>
      <c r="E4584" s="13" t="s">
        <v>4623</v>
      </c>
    </row>
    <row r="4585">
      <c r="A4585" s="4" t="s">
        <v>4644</v>
      </c>
      <c r="B4585" s="5" t="str">
        <f>IFERROR(__xludf.DUMMYFUNCTION("IF(A4585="""","""",INDEX(SPLIT(A4585,"" ""),COUNTA(SPLIT(A4585,"" ""))))"),"Pomarance")</f>
        <v>Pomarance</v>
      </c>
      <c r="C4585" s="6"/>
      <c r="D4585" s="6" t="s">
        <v>4622</v>
      </c>
      <c r="E4585" s="13" t="s">
        <v>4623</v>
      </c>
    </row>
    <row r="4586">
      <c r="A4586" s="4" t="s">
        <v>4645</v>
      </c>
      <c r="B4586" s="5" t="str">
        <f>IFERROR(__xludf.DUMMYFUNCTION("IF(A4586="""","""",INDEX(SPLIT(A4586,"" ""),COUNTA(SPLIT(A4586,"" ""))))"),"Ponsacco")</f>
        <v>Ponsacco</v>
      </c>
      <c r="C4586" s="6"/>
      <c r="D4586" s="6" t="s">
        <v>4622</v>
      </c>
      <c r="E4586" s="13" t="s">
        <v>4623</v>
      </c>
    </row>
    <row r="4587">
      <c r="A4587" s="4" t="s">
        <v>4646</v>
      </c>
      <c r="B4587" s="5" t="str">
        <f>IFERROR(__xludf.DUMMYFUNCTION("IF(A4587="""","""",INDEX(SPLIT(A4587,"" ""),COUNTA(SPLIT(A4587,"" ""))))"),"Pontedera")</f>
        <v>Pontedera</v>
      </c>
      <c r="C4587" s="6"/>
      <c r="D4587" s="6" t="s">
        <v>4622</v>
      </c>
      <c r="E4587" s="13" t="s">
        <v>4623</v>
      </c>
    </row>
    <row r="4588">
      <c r="A4588" s="4" t="s">
        <v>4647</v>
      </c>
      <c r="B4588" s="5" t="str">
        <f>IFERROR(__xludf.DUMMYFUNCTION("IF(A4588="""","""",INDEX(SPLIT(A4588,"" ""),COUNTA(SPLIT(A4588,"" ""))))"),"Riparbella")</f>
        <v>Riparbella</v>
      </c>
      <c r="C4588" s="6"/>
      <c r="D4588" s="6" t="s">
        <v>4622</v>
      </c>
      <c r="E4588" s="13" t="s">
        <v>4623</v>
      </c>
    </row>
    <row r="4589">
      <c r="A4589" s="4" t="s">
        <v>4648</v>
      </c>
      <c r="B4589" s="5" t="str">
        <f>IFERROR(__xludf.DUMMYFUNCTION("IF(A4589="""","""",INDEX(SPLIT(A4589,"" ""),COUNTA(SPLIT(A4589,"" ""))))"),"Terme")</f>
        <v>Terme</v>
      </c>
      <c r="C4589" s="6"/>
      <c r="D4589" s="6" t="s">
        <v>4622</v>
      </c>
      <c r="E4589" s="13" t="s">
        <v>4623</v>
      </c>
    </row>
    <row r="4590">
      <c r="A4590" s="4" t="s">
        <v>4649</v>
      </c>
      <c r="B4590" s="5" t="str">
        <f>IFERROR(__xludf.DUMMYFUNCTION("IF(A4590="""","""",INDEX(SPLIT(A4590,"" ""),COUNTA(SPLIT(A4590,"" ""))))"),"Miniato")</f>
        <v>Miniato</v>
      </c>
      <c r="C4590" s="6"/>
      <c r="D4590" s="6" t="s">
        <v>4622</v>
      </c>
      <c r="E4590" s="13" t="s">
        <v>4623</v>
      </c>
    </row>
    <row r="4591">
      <c r="A4591" s="4" t="s">
        <v>4650</v>
      </c>
      <c r="B4591" s="5" t="str">
        <f>IFERROR(__xludf.DUMMYFUNCTION("IF(A4591="""","""",INDEX(SPLIT(A4591,"" ""),COUNTA(SPLIT(A4591,"" ""))))"),"sull'Arno")</f>
        <v>sull'Arno</v>
      </c>
      <c r="C4591" s="6"/>
      <c r="D4591" s="6" t="s">
        <v>4622</v>
      </c>
      <c r="E4591" s="13" t="s">
        <v>4623</v>
      </c>
    </row>
    <row r="4592">
      <c r="A4592" s="4" t="s">
        <v>4651</v>
      </c>
      <c r="B4592" s="5" t="str">
        <f>IFERROR(__xludf.DUMMYFUNCTION("IF(A4592="""","""",INDEX(SPLIT(A4592,"" ""),COUNTA(SPLIT(A4592,"" ""))))"),"Luce")</f>
        <v>Luce</v>
      </c>
      <c r="C4592" s="6"/>
      <c r="D4592" s="6" t="s">
        <v>4622</v>
      </c>
      <c r="E4592" s="13" t="s">
        <v>4623</v>
      </c>
    </row>
    <row r="4593">
      <c r="A4593" s="4" t="s">
        <v>4652</v>
      </c>
      <c r="B4593" s="5" t="str">
        <f>IFERROR(__xludf.DUMMYFUNCTION("IF(A4593="""","""",INDEX(SPLIT(A4593,"" ""),COUNTA(SPLIT(A4593,"" ""))))"),"Monte")</f>
        <v>Monte</v>
      </c>
      <c r="C4593" s="6"/>
      <c r="D4593" s="6" t="s">
        <v>4622</v>
      </c>
      <c r="E4593" s="13" t="s">
        <v>4623</v>
      </c>
    </row>
    <row r="4594">
      <c r="A4594" s="4" t="s">
        <v>4653</v>
      </c>
      <c r="B4594" s="5" t="str">
        <f>IFERROR(__xludf.DUMMYFUNCTION("IF(A4594="""","""",INDEX(SPLIT(A4594,"" ""),COUNTA(SPLIT(A4594,"" ""))))"),"Terricciola")</f>
        <v>Terricciola</v>
      </c>
      <c r="C4594" s="6"/>
      <c r="D4594" s="6" t="s">
        <v>4622</v>
      </c>
      <c r="E4594" s="13" t="s">
        <v>4623</v>
      </c>
    </row>
    <row r="4595">
      <c r="A4595" s="4" t="s">
        <v>4654</v>
      </c>
      <c r="B4595" s="5" t="str">
        <f>IFERROR(__xludf.DUMMYFUNCTION("IF(A4595="""","""",INDEX(SPLIT(A4595,"" ""),COUNTA(SPLIT(A4595,"" ""))))"),"Vecchiano")</f>
        <v>Vecchiano</v>
      </c>
      <c r="C4595" s="6"/>
      <c r="D4595" s="6" t="s">
        <v>4622</v>
      </c>
      <c r="E4595" s="13" t="s">
        <v>4623</v>
      </c>
    </row>
    <row r="4596">
      <c r="A4596" s="4" t="s">
        <v>4655</v>
      </c>
      <c r="B4596" s="5" t="str">
        <f>IFERROR(__xludf.DUMMYFUNCTION("IF(A4596="""","""",INDEX(SPLIT(A4596,"" ""),COUNTA(SPLIT(A4596,"" ""))))"),"Vicopisano")</f>
        <v>Vicopisano</v>
      </c>
      <c r="C4596" s="6"/>
      <c r="D4596" s="6" t="s">
        <v>4622</v>
      </c>
      <c r="E4596" s="13" t="s">
        <v>4623</v>
      </c>
    </row>
    <row r="4597">
      <c r="A4597" s="4" t="s">
        <v>4656</v>
      </c>
      <c r="B4597" s="5" t="str">
        <f>IFERROR(__xludf.DUMMYFUNCTION("IF(A4597="""","""",INDEX(SPLIT(A4597,"" ""),COUNTA(SPLIT(A4597,"" ""))))"),"Volterra")</f>
        <v>Volterra</v>
      </c>
      <c r="C4597" s="6"/>
      <c r="D4597" s="6" t="s">
        <v>4622</v>
      </c>
      <c r="E4597" s="13" t="s">
        <v>4623</v>
      </c>
    </row>
    <row r="4598">
      <c r="A4598" s="4" t="s">
        <v>4657</v>
      </c>
      <c r="B4598" s="5" t="str">
        <f>IFERROR(__xludf.DUMMYFUNCTION("IF(A4598="""","""",INDEX(SPLIT(A4598,"" ""),COUNTA(SPLIT(A4598,"" ""))))"),"Lari")</f>
        <v>Lari</v>
      </c>
      <c r="C4598" s="6"/>
      <c r="D4598" s="6" t="s">
        <v>4622</v>
      </c>
      <c r="E4598" s="13" t="s">
        <v>4623</v>
      </c>
    </row>
    <row r="4599">
      <c r="A4599" s="4" t="s">
        <v>4658</v>
      </c>
      <c r="B4599" s="5" t="str">
        <f>IFERROR(__xludf.DUMMYFUNCTION("IF(A4599="""","""",INDEX(SPLIT(A4599,"" ""),COUNTA(SPLIT(A4599,"" ""))))"),"Lorenzana")</f>
        <v>Lorenzana</v>
      </c>
      <c r="C4599" s="6"/>
      <c r="D4599" s="6" t="s">
        <v>4622</v>
      </c>
      <c r="E4599" s="13" t="s">
        <v>4623</v>
      </c>
    </row>
    <row r="4600">
      <c r="A4600" s="4" t="s">
        <v>4659</v>
      </c>
      <c r="B4600" s="5" t="str">
        <f>IFERROR(__xludf.DUMMYFUNCTION("IF(A4600="""","""",INDEX(SPLIT(A4600,"" ""),COUNTA(SPLIT(A4600,"" ""))))"),"Anghiari")</f>
        <v>Anghiari</v>
      </c>
      <c r="C4600" s="6"/>
      <c r="D4600" s="6" t="s">
        <v>4660</v>
      </c>
      <c r="E4600" s="13" t="s">
        <v>4661</v>
      </c>
    </row>
    <row r="4601">
      <c r="A4601" s="4" t="s">
        <v>4660</v>
      </c>
      <c r="B4601" s="5" t="str">
        <f>IFERROR(__xludf.DUMMYFUNCTION("IF(A4601="""","""",INDEX(SPLIT(A4601,"" ""),COUNTA(SPLIT(A4601,"" ""))))"),"Arezzo")</f>
        <v>Arezzo</v>
      </c>
      <c r="C4601" s="6"/>
      <c r="D4601" s="6" t="s">
        <v>4660</v>
      </c>
      <c r="E4601" s="13" t="s">
        <v>4661</v>
      </c>
    </row>
    <row r="4602">
      <c r="A4602" s="4" t="s">
        <v>4662</v>
      </c>
      <c r="B4602" s="5" t="str">
        <f>IFERROR(__xludf.DUMMYFUNCTION("IF(A4602="""","""",INDEX(SPLIT(A4602,"" ""),COUNTA(SPLIT(A4602,"" ""))))"),"Tedalda")</f>
        <v>Tedalda</v>
      </c>
      <c r="C4602" s="6"/>
      <c r="D4602" s="6" t="s">
        <v>4660</v>
      </c>
      <c r="E4602" s="13" t="s">
        <v>4661</v>
      </c>
    </row>
    <row r="4603">
      <c r="A4603" s="4" t="s">
        <v>4663</v>
      </c>
      <c r="B4603" s="5" t="str">
        <f>IFERROR(__xludf.DUMMYFUNCTION("IF(A4603="""","""",INDEX(SPLIT(A4603,"" ""),COUNTA(SPLIT(A4603,"" ""))))"),"Bibbiena")</f>
        <v>Bibbiena</v>
      </c>
      <c r="C4603" s="6"/>
      <c r="D4603" s="6" t="s">
        <v>4660</v>
      </c>
      <c r="E4603" s="13" t="s">
        <v>4661</v>
      </c>
    </row>
    <row r="4604">
      <c r="A4604" s="4" t="s">
        <v>4664</v>
      </c>
      <c r="B4604" s="5" t="str">
        <f>IFERROR(__xludf.DUMMYFUNCTION("IF(A4604="""","""",INDEX(SPLIT(A4604,"" ""),COUNTA(SPLIT(A4604,"" ""))))"),"Bucine")</f>
        <v>Bucine</v>
      </c>
      <c r="C4604" s="6"/>
      <c r="D4604" s="6" t="s">
        <v>4660</v>
      </c>
      <c r="E4604" s="13" t="s">
        <v>4661</v>
      </c>
    </row>
    <row r="4605">
      <c r="A4605" s="4" t="s">
        <v>4665</v>
      </c>
      <c r="B4605" s="5" t="str">
        <f>IFERROR(__xludf.DUMMYFUNCTION("IF(A4605="""","""",INDEX(SPLIT(A4605,"" ""),COUNTA(SPLIT(A4605,"" ""))))"),"Capolona")</f>
        <v>Capolona</v>
      </c>
      <c r="C4605" s="6"/>
      <c r="D4605" s="6" t="s">
        <v>4660</v>
      </c>
      <c r="E4605" s="13" t="s">
        <v>4661</v>
      </c>
    </row>
    <row r="4606">
      <c r="A4606" s="4" t="s">
        <v>4666</v>
      </c>
      <c r="B4606" s="5" t="str">
        <f>IFERROR(__xludf.DUMMYFUNCTION("IF(A4606="""","""",INDEX(SPLIT(A4606,"" ""),COUNTA(SPLIT(A4606,"" ""))))"),"Michelangelo")</f>
        <v>Michelangelo</v>
      </c>
      <c r="C4606" s="6"/>
      <c r="D4606" s="6" t="s">
        <v>4660</v>
      </c>
      <c r="E4606" s="13" t="s">
        <v>4661</v>
      </c>
    </row>
    <row r="4607">
      <c r="A4607" s="4" t="s">
        <v>4667</v>
      </c>
      <c r="B4607" s="5" t="str">
        <f>IFERROR(__xludf.DUMMYFUNCTION("IF(A4607="""","""",INDEX(SPLIT(A4607,"" ""),COUNTA(SPLIT(A4607,"" ""))))"),"Focognano")</f>
        <v>Focognano</v>
      </c>
      <c r="C4607" s="6"/>
      <c r="D4607" s="6" t="s">
        <v>4660</v>
      </c>
      <c r="E4607" s="13" t="s">
        <v>4661</v>
      </c>
    </row>
    <row r="4608">
      <c r="A4608" s="4" t="s">
        <v>4668</v>
      </c>
      <c r="B4608" s="5" t="str">
        <f>IFERROR(__xludf.DUMMYFUNCTION("IF(A4608="""","""",INDEX(SPLIT(A4608,"" ""),COUNTA(SPLIT(A4608,"" ""))))"),"Niccolò")</f>
        <v>Niccolò</v>
      </c>
      <c r="C4608" s="6"/>
      <c r="D4608" s="6" t="s">
        <v>4660</v>
      </c>
      <c r="E4608" s="13" t="s">
        <v>4661</v>
      </c>
    </row>
    <row r="4609">
      <c r="A4609" s="4" t="s">
        <v>4669</v>
      </c>
      <c r="B4609" s="5" t="str">
        <f>IFERROR(__xludf.DUMMYFUNCTION("IF(A4609="""","""",INDEX(SPLIT(A4609,"" ""),COUNTA(SPLIT(A4609,"" ""))))"),"Fibocchi")</f>
        <v>Fibocchi</v>
      </c>
      <c r="C4609" s="6"/>
      <c r="D4609" s="6" t="s">
        <v>4660</v>
      </c>
      <c r="E4609" s="13" t="s">
        <v>4661</v>
      </c>
    </row>
    <row r="4610">
      <c r="A4610" s="4" t="s">
        <v>4670</v>
      </c>
      <c r="B4610" s="5" t="str">
        <f>IFERROR(__xludf.DUMMYFUNCTION("IF(A4610="""","""",INDEX(SPLIT(A4610,"" ""),COUNTA(SPLIT(A4610,"" ""))))"),"Fiorentino")</f>
        <v>Fiorentino</v>
      </c>
      <c r="C4610" s="6"/>
      <c r="D4610" s="6" t="s">
        <v>4660</v>
      </c>
      <c r="E4610" s="13" t="s">
        <v>4661</v>
      </c>
    </row>
    <row r="4611">
      <c r="A4611" s="4" t="s">
        <v>4671</v>
      </c>
      <c r="B4611" s="5" t="str">
        <f>IFERROR(__xludf.DUMMYFUNCTION("IF(A4611="""","""",INDEX(SPLIT(A4611,"" ""),COUNTA(SPLIT(A4611,"" ""))))"),"Cavriglia")</f>
        <v>Cavriglia</v>
      </c>
      <c r="C4611" s="6"/>
      <c r="D4611" s="6" t="s">
        <v>4660</v>
      </c>
      <c r="E4611" s="13" t="s">
        <v>4661</v>
      </c>
    </row>
    <row r="4612">
      <c r="A4612" s="4" t="s">
        <v>4672</v>
      </c>
      <c r="B4612" s="5" t="str">
        <f>IFERROR(__xludf.DUMMYFUNCTION("IF(A4612="""","""",INDEX(SPLIT(A4612,"" ""),COUNTA(SPLIT(A4612,"" ""))))"),"Chitignano")</f>
        <v>Chitignano</v>
      </c>
      <c r="C4612" s="6"/>
      <c r="D4612" s="6" t="s">
        <v>4660</v>
      </c>
      <c r="E4612" s="13" t="s">
        <v>4661</v>
      </c>
    </row>
    <row r="4613">
      <c r="A4613" s="4" t="s">
        <v>4673</v>
      </c>
      <c r="B4613" s="5" t="str">
        <f>IFERROR(__xludf.DUMMYFUNCTION("IF(A4613="""","""",INDEX(SPLIT(A4613,"" ""),COUNTA(SPLIT(A4613,"" ""))))"),"Verna")</f>
        <v>Verna</v>
      </c>
      <c r="C4613" s="6"/>
      <c r="D4613" s="6" t="s">
        <v>4660</v>
      </c>
      <c r="E4613" s="13" t="s">
        <v>4661</v>
      </c>
    </row>
    <row r="4614">
      <c r="A4614" s="4" t="s">
        <v>4674</v>
      </c>
      <c r="B4614" s="5" t="str">
        <f>IFERROR(__xludf.DUMMYFUNCTION("IF(A4614="""","""",INDEX(SPLIT(A4614,"" ""),COUNTA(SPLIT(A4614,"" ""))))"),"Chiana")</f>
        <v>Chiana</v>
      </c>
      <c r="C4614" s="6"/>
      <c r="D4614" s="6" t="s">
        <v>4660</v>
      </c>
      <c r="E4614" s="13" t="s">
        <v>4661</v>
      </c>
    </row>
    <row r="4615">
      <c r="A4615" s="4" t="s">
        <v>4675</v>
      </c>
      <c r="B4615" s="5" t="str">
        <f>IFERROR(__xludf.DUMMYFUNCTION("IF(A4615="""","""",INDEX(SPLIT(A4615,"" ""),COUNTA(SPLIT(A4615,"" ""))))"),"Cortona")</f>
        <v>Cortona</v>
      </c>
      <c r="C4615" s="6"/>
      <c r="D4615" s="6" t="s">
        <v>4660</v>
      </c>
      <c r="E4615" s="13" t="s">
        <v>4661</v>
      </c>
    </row>
    <row r="4616">
      <c r="A4616" s="4" t="s">
        <v>4676</v>
      </c>
      <c r="B4616" s="5" t="str">
        <f>IFERROR(__xludf.DUMMYFUNCTION("IF(A4616="""","""",INDEX(SPLIT(A4616,"" ""),COUNTA(SPLIT(A4616,"" ""))))"),"Chiana")</f>
        <v>Chiana</v>
      </c>
      <c r="C4616" s="6"/>
      <c r="D4616" s="6" t="s">
        <v>4660</v>
      </c>
      <c r="E4616" s="13" t="s">
        <v>4661</v>
      </c>
    </row>
    <row r="4617">
      <c r="A4617" s="4" t="s">
        <v>4677</v>
      </c>
      <c r="B4617" s="5" t="str">
        <f>IFERROR(__xludf.DUMMYFUNCTION("IF(A4617="""","""",INDEX(SPLIT(A4617,"" ""),COUNTA(SPLIT(A4617,"" ""))))"),"Ciuffenna")</f>
        <v>Ciuffenna</v>
      </c>
      <c r="C4617" s="6"/>
      <c r="D4617" s="6" t="s">
        <v>4660</v>
      </c>
      <c r="E4617" s="13" t="s">
        <v>4661</v>
      </c>
    </row>
    <row r="4618">
      <c r="A4618" s="4" t="s">
        <v>4678</v>
      </c>
      <c r="B4618" s="5" t="str">
        <f>IFERROR(__xludf.DUMMYFUNCTION("IF(A4618="""","""",INDEX(SPLIT(A4618,"" ""),COUNTA(SPLIT(A4618,"" ""))))"),"Lucignano")</f>
        <v>Lucignano</v>
      </c>
      <c r="C4618" s="6"/>
      <c r="D4618" s="6" t="s">
        <v>4660</v>
      </c>
      <c r="E4618" s="13" t="s">
        <v>4661</v>
      </c>
    </row>
    <row r="4619">
      <c r="A4619" s="4" t="s">
        <v>4679</v>
      </c>
      <c r="B4619" s="5" t="str">
        <f>IFERROR(__xludf.DUMMYFUNCTION("IF(A4619="""","""",INDEX(SPLIT(A4619,"" ""),COUNTA(SPLIT(A4619,"" ""))))"),"Chiana")</f>
        <v>Chiana</v>
      </c>
      <c r="C4619" s="6"/>
      <c r="D4619" s="6" t="s">
        <v>4660</v>
      </c>
      <c r="E4619" s="13" t="s">
        <v>4661</v>
      </c>
    </row>
    <row r="4620">
      <c r="A4620" s="4" t="s">
        <v>4680</v>
      </c>
      <c r="B4620" s="5" t="str">
        <f>IFERROR(__xludf.DUMMYFUNCTION("IF(A4620="""","""",INDEX(SPLIT(A4620,"" ""),COUNTA(SPLIT(A4620,"" ""))))"),"Montemignaio")</f>
        <v>Montemignaio</v>
      </c>
      <c r="C4620" s="6"/>
      <c r="D4620" s="6" t="s">
        <v>4660</v>
      </c>
      <c r="E4620" s="13" t="s">
        <v>4661</v>
      </c>
    </row>
    <row r="4621">
      <c r="A4621" s="4" t="s">
        <v>4681</v>
      </c>
      <c r="B4621" s="5" t="str">
        <f>IFERROR(__xludf.DUMMYFUNCTION("IF(A4621="""","""",INDEX(SPLIT(A4621,"" ""),COUNTA(SPLIT(A4621,"" ""))))"),"Monterchi")</f>
        <v>Monterchi</v>
      </c>
      <c r="C4621" s="6"/>
      <c r="D4621" s="6" t="s">
        <v>4660</v>
      </c>
      <c r="E4621" s="13" t="s">
        <v>4661</v>
      </c>
    </row>
    <row r="4622">
      <c r="A4622" s="4" t="s">
        <v>4682</v>
      </c>
      <c r="B4622" s="5" t="str">
        <f>IFERROR(__xludf.DUMMYFUNCTION("IF(A4622="""","""",INDEX(SPLIT(A4622,"" ""),COUNTA(SPLIT(A4622,"" ""))))"),"Savino")</f>
        <v>Savino</v>
      </c>
      <c r="C4622" s="6"/>
      <c r="D4622" s="6" t="s">
        <v>4660</v>
      </c>
      <c r="E4622" s="13" t="s">
        <v>4661</v>
      </c>
    </row>
    <row r="4623">
      <c r="A4623" s="4" t="s">
        <v>4683</v>
      </c>
      <c r="B4623" s="5" t="str">
        <f>IFERROR(__xludf.DUMMYFUNCTION("IF(A4623="""","""",INDEX(SPLIT(A4623,"" ""),COUNTA(SPLIT(A4623,"" ""))))"),"Montevarchi")</f>
        <v>Montevarchi</v>
      </c>
      <c r="C4623" s="6"/>
      <c r="D4623" s="6" t="s">
        <v>4660</v>
      </c>
      <c r="E4623" s="13" t="s">
        <v>4661</v>
      </c>
    </row>
    <row r="4624">
      <c r="A4624" s="4" t="s">
        <v>4684</v>
      </c>
      <c r="B4624" s="5" t="str">
        <f>IFERROR(__xludf.DUMMYFUNCTION("IF(A4624="""","""",INDEX(SPLIT(A4624,"" ""),COUNTA(SPLIT(A4624,"" ""))))"),"Raggiolo")</f>
        <v>Raggiolo</v>
      </c>
      <c r="C4624" s="6"/>
      <c r="D4624" s="6" t="s">
        <v>4660</v>
      </c>
      <c r="E4624" s="13" t="s">
        <v>4661</v>
      </c>
    </row>
    <row r="4625">
      <c r="A4625" s="4" t="s">
        <v>4685</v>
      </c>
      <c r="B4625" s="5" t="str">
        <f>IFERROR(__xludf.DUMMYFUNCTION("IF(A4625="""","""",INDEX(SPLIT(A4625,"" ""),COUNTA(SPLIT(A4625,"" ""))))"),"Stefano")</f>
        <v>Stefano</v>
      </c>
      <c r="C4625" s="6"/>
      <c r="D4625" s="6" t="s">
        <v>4660</v>
      </c>
      <c r="E4625" s="13" t="s">
        <v>4661</v>
      </c>
    </row>
    <row r="4626">
      <c r="A4626" s="4" t="s">
        <v>4686</v>
      </c>
      <c r="B4626" s="5" t="str">
        <f>IFERROR(__xludf.DUMMYFUNCTION("IF(A4626="""","""",INDEX(SPLIT(A4626,"" ""),COUNTA(SPLIT(A4626,"" ""))))"),"Poppi")</f>
        <v>Poppi</v>
      </c>
      <c r="C4626" s="6"/>
      <c r="D4626" s="6" t="s">
        <v>4660</v>
      </c>
      <c r="E4626" s="13" t="s">
        <v>4661</v>
      </c>
    </row>
    <row r="4627">
      <c r="A4627" s="4" t="s">
        <v>4687</v>
      </c>
      <c r="B4627" s="5" t="str">
        <f>IFERROR(__xludf.DUMMYFUNCTION("IF(A4627="""","""",INDEX(SPLIT(A4627,"" ""),COUNTA(SPLIT(A4627,"" ""))))"),"Valdarno")</f>
        <v>Valdarno</v>
      </c>
      <c r="C4627" s="6"/>
      <c r="D4627" s="6" t="s">
        <v>4660</v>
      </c>
      <c r="E4627" s="13" t="s">
        <v>4661</v>
      </c>
    </row>
    <row r="4628">
      <c r="A4628" s="4" t="s">
        <v>4688</v>
      </c>
      <c r="B4628" s="5" t="str">
        <f>IFERROR(__xludf.DUMMYFUNCTION("IF(A4628="""","""",INDEX(SPLIT(A4628,"" ""),COUNTA(SPLIT(A4628,"" ""))))"),"Sansepolcro")</f>
        <v>Sansepolcro</v>
      </c>
      <c r="C4628" s="6"/>
      <c r="D4628" s="6" t="s">
        <v>4660</v>
      </c>
      <c r="E4628" s="13" t="s">
        <v>4661</v>
      </c>
    </row>
    <row r="4629">
      <c r="A4629" s="4" t="s">
        <v>4689</v>
      </c>
      <c r="B4629" s="5" t="str">
        <f>IFERROR(__xludf.DUMMYFUNCTION("IF(A4629="""","""",INDEX(SPLIT(A4629,"" ""),COUNTA(SPLIT(A4629,"" ""))))"),"Sestino")</f>
        <v>Sestino</v>
      </c>
      <c r="C4629" s="6"/>
      <c r="D4629" s="6" t="s">
        <v>4660</v>
      </c>
      <c r="E4629" s="13" t="s">
        <v>4661</v>
      </c>
    </row>
    <row r="4630">
      <c r="A4630" s="4" t="s">
        <v>4690</v>
      </c>
      <c r="B4630" s="5" t="str">
        <f>IFERROR(__xludf.DUMMYFUNCTION("IF(A4630="""","""",INDEX(SPLIT(A4630,"" ""),COUNTA(SPLIT(A4630,"" ""))))"),"Subbiano")</f>
        <v>Subbiano</v>
      </c>
      <c r="C4630" s="6"/>
      <c r="D4630" s="6" t="s">
        <v>4660</v>
      </c>
      <c r="E4630" s="13" t="s">
        <v>4661</v>
      </c>
    </row>
    <row r="4631">
      <c r="A4631" s="4" t="s">
        <v>4691</v>
      </c>
      <c r="B4631" s="5" t="str">
        <f>IFERROR(__xludf.DUMMYFUNCTION("IF(A4631="""","""",INDEX(SPLIT(A4631,"" ""),COUNTA(SPLIT(A4631,"" ""))))"),"Talla")</f>
        <v>Talla</v>
      </c>
      <c r="C4631" s="6"/>
      <c r="D4631" s="6" t="s">
        <v>4660</v>
      </c>
      <c r="E4631" s="13" t="s">
        <v>4661</v>
      </c>
    </row>
    <row r="4632">
      <c r="A4632" s="4" t="s">
        <v>4692</v>
      </c>
      <c r="B4632" s="5" t="str">
        <f>IFERROR(__xludf.DUMMYFUNCTION("IF(A4632="""","""",INDEX(SPLIT(A4632,"" ""),COUNTA(SPLIT(A4632,"" ""))))"),"Bracciolini")</f>
        <v>Bracciolini</v>
      </c>
      <c r="C4632" s="6"/>
      <c r="D4632" s="6" t="s">
        <v>4660</v>
      </c>
      <c r="E4632" s="13" t="s">
        <v>4661</v>
      </c>
    </row>
    <row r="4633">
      <c r="A4633" s="4" t="s">
        <v>4693</v>
      </c>
      <c r="B4633" s="5" t="str">
        <f>IFERROR(__xludf.DUMMYFUNCTION("IF(A4633="""","""",INDEX(SPLIT(A4633,"" ""),COUNTA(SPLIT(A4633,"" ""))))"),"Piandiscò")</f>
        <v>Piandiscò</v>
      </c>
      <c r="C4633" s="6"/>
      <c r="D4633" s="6" t="s">
        <v>4660</v>
      </c>
      <c r="E4633" s="13" t="s">
        <v>4661</v>
      </c>
    </row>
    <row r="4634">
      <c r="A4634" s="4" t="s">
        <v>4694</v>
      </c>
      <c r="B4634" s="5" t="str">
        <f>IFERROR(__xludf.DUMMYFUNCTION("IF(A4634="""","""",INDEX(SPLIT(A4634,"" ""),COUNTA(SPLIT(A4634,"" ""))))"),"Stia")</f>
        <v>Stia</v>
      </c>
      <c r="C4634" s="6"/>
      <c r="D4634" s="6" t="s">
        <v>4660</v>
      </c>
      <c r="E4634" s="13" t="s">
        <v>4661</v>
      </c>
    </row>
    <row r="4635">
      <c r="A4635" s="4" t="s">
        <v>4695</v>
      </c>
      <c r="B4635" s="5" t="str">
        <f>IFERROR(__xludf.DUMMYFUNCTION("IF(A4635="""","""",INDEX(SPLIT(A4635,"" ""),COUNTA(SPLIT(A4635,"" ""))))"),"Valdarno")</f>
        <v>Valdarno</v>
      </c>
      <c r="C4635" s="6"/>
      <c r="D4635" s="6" t="s">
        <v>4660</v>
      </c>
      <c r="E4635" s="13" t="s">
        <v>4661</v>
      </c>
    </row>
    <row r="4636">
      <c r="A4636" s="4" t="s">
        <v>4696</v>
      </c>
      <c r="B4636" s="5" t="str">
        <f>IFERROR(__xludf.DUMMYFUNCTION("IF(A4636="""","""",INDEX(SPLIT(A4636,"" ""),COUNTA(SPLIT(A4636,"" ""))))"),"Salvatore")</f>
        <v>Salvatore</v>
      </c>
      <c r="C4636" s="6"/>
      <c r="D4636" s="6" t="s">
        <v>4697</v>
      </c>
      <c r="E4636" s="13" t="s">
        <v>4698</v>
      </c>
    </row>
    <row r="4637">
      <c r="A4637" s="4" t="s">
        <v>4699</v>
      </c>
      <c r="B4637" s="5" t="str">
        <f>IFERROR(__xludf.DUMMYFUNCTION("IF(A4637="""","""",INDEX(SPLIT(A4637,"" ""),COUNTA(SPLIT(A4637,"" ""))))"),"Asciano")</f>
        <v>Asciano</v>
      </c>
      <c r="C4637" s="6"/>
      <c r="D4637" s="6" t="s">
        <v>4697</v>
      </c>
      <c r="E4637" s="13" t="s">
        <v>4698</v>
      </c>
    </row>
    <row r="4638">
      <c r="A4638" s="4" t="s">
        <v>4700</v>
      </c>
      <c r="B4638" s="5" t="str">
        <f>IFERROR(__xludf.DUMMYFUNCTION("IF(A4638="""","""",INDEX(SPLIT(A4638,"" ""),COUNTA(SPLIT(A4638,"" ""))))"),"Buonconvento")</f>
        <v>Buonconvento</v>
      </c>
      <c r="C4638" s="6"/>
      <c r="D4638" s="6" t="s">
        <v>4697</v>
      </c>
      <c r="E4638" s="13" t="s">
        <v>4698</v>
      </c>
    </row>
    <row r="4639">
      <c r="A4639" s="4" t="s">
        <v>4701</v>
      </c>
      <c r="B4639" s="5" t="str">
        <f>IFERROR(__xludf.DUMMYFUNCTION("IF(A4639="""","""",INDEX(SPLIT(A4639,"" ""),COUNTA(SPLIT(A4639,"" ""))))"),"d'Elsa")</f>
        <v>d'Elsa</v>
      </c>
      <c r="C4639" s="6"/>
      <c r="D4639" s="6" t="s">
        <v>4697</v>
      </c>
      <c r="E4639" s="13" t="s">
        <v>4698</v>
      </c>
    </row>
    <row r="4640">
      <c r="A4640" s="4" t="s">
        <v>4702</v>
      </c>
      <c r="B4640" s="5" t="str">
        <f>IFERROR(__xludf.DUMMYFUNCTION("IF(A4640="""","""",INDEX(SPLIT(A4640,"" ""),COUNTA(SPLIT(A4640,"" ""))))"),"Chianti")</f>
        <v>Chianti</v>
      </c>
      <c r="C4640" s="6"/>
      <c r="D4640" s="6" t="s">
        <v>4697</v>
      </c>
      <c r="E4640" s="13" t="s">
        <v>4698</v>
      </c>
    </row>
    <row r="4641">
      <c r="A4641" s="4" t="s">
        <v>4703</v>
      </c>
      <c r="B4641" s="5" t="str">
        <f>IFERROR(__xludf.DUMMYFUNCTION("IF(A4641="""","""",INDEX(SPLIT(A4641,"" ""),COUNTA(SPLIT(A4641,"" ""))))"),"Berardenga")</f>
        <v>Berardenga</v>
      </c>
      <c r="C4641" s="6"/>
      <c r="D4641" s="6" t="s">
        <v>4697</v>
      </c>
      <c r="E4641" s="13" t="s">
        <v>4698</v>
      </c>
    </row>
    <row r="4642">
      <c r="A4642" s="4" t="s">
        <v>4704</v>
      </c>
      <c r="B4642" s="5" t="str">
        <f>IFERROR(__xludf.DUMMYFUNCTION("IF(A4642="""","""",INDEX(SPLIT(A4642,"" ""),COUNTA(SPLIT(A4642,"" ""))))"),"d'Orcia")</f>
        <v>d'Orcia</v>
      </c>
      <c r="C4642" s="6"/>
      <c r="D4642" s="6" t="s">
        <v>4697</v>
      </c>
      <c r="E4642" s="13" t="s">
        <v>4698</v>
      </c>
    </row>
    <row r="4643">
      <c r="A4643" s="4" t="s">
        <v>4705</v>
      </c>
      <c r="B4643" s="5" t="str">
        <f>IFERROR(__xludf.DUMMYFUNCTION("IF(A4643="""","""",INDEX(SPLIT(A4643,"" ""),COUNTA(SPLIT(A4643,"" ""))))"),"Cetona")</f>
        <v>Cetona</v>
      </c>
      <c r="C4643" s="6"/>
      <c r="D4643" s="6" t="s">
        <v>4697</v>
      </c>
      <c r="E4643" s="13" t="s">
        <v>4698</v>
      </c>
    </row>
    <row r="4644">
      <c r="A4644" s="4" t="s">
        <v>4706</v>
      </c>
      <c r="B4644" s="5" t="str">
        <f>IFERROR(__xludf.DUMMYFUNCTION("IF(A4644="""","""",INDEX(SPLIT(A4644,"" ""),COUNTA(SPLIT(A4644,"" ""))))"),"Terme")</f>
        <v>Terme</v>
      </c>
      <c r="C4644" s="6"/>
      <c r="D4644" s="6" t="s">
        <v>4697</v>
      </c>
      <c r="E4644" s="13" t="s">
        <v>4698</v>
      </c>
    </row>
    <row r="4645">
      <c r="A4645" s="4" t="s">
        <v>4707</v>
      </c>
      <c r="B4645" s="5" t="str">
        <f>IFERROR(__xludf.DUMMYFUNCTION("IF(A4645="""","""",INDEX(SPLIT(A4645,"" ""),COUNTA(SPLIT(A4645,"" ""))))"),"Chiusdino")</f>
        <v>Chiusdino</v>
      </c>
      <c r="C4645" s="6"/>
      <c r="D4645" s="6" t="s">
        <v>4697</v>
      </c>
      <c r="E4645" s="13" t="s">
        <v>4698</v>
      </c>
    </row>
    <row r="4646">
      <c r="A4646" s="4" t="s">
        <v>4708</v>
      </c>
      <c r="B4646" s="5" t="str">
        <f>IFERROR(__xludf.DUMMYFUNCTION("IF(A4646="""","""",INDEX(SPLIT(A4646,"" ""),COUNTA(SPLIT(A4646,"" ""))))"),"Chiusi")</f>
        <v>Chiusi</v>
      </c>
      <c r="C4646" s="6"/>
      <c r="D4646" s="6" t="s">
        <v>4697</v>
      </c>
      <c r="E4646" s="13" t="s">
        <v>4698</v>
      </c>
    </row>
    <row r="4647">
      <c r="A4647" s="4" t="s">
        <v>4709</v>
      </c>
      <c r="B4647" s="5" t="str">
        <f>IFERROR(__xludf.DUMMYFUNCTION("IF(A4647="""","""",INDEX(SPLIT(A4647,"" ""),COUNTA(SPLIT(A4647,"" ""))))"),"d'Elsa")</f>
        <v>d'Elsa</v>
      </c>
      <c r="C4647" s="6"/>
      <c r="D4647" s="6" t="s">
        <v>4697</v>
      </c>
      <c r="E4647" s="13" t="s">
        <v>4698</v>
      </c>
    </row>
    <row r="4648">
      <c r="A4648" s="4" t="s">
        <v>4710</v>
      </c>
      <c r="B4648" s="5" t="str">
        <f>IFERROR(__xludf.DUMMYFUNCTION("IF(A4648="""","""",INDEX(SPLIT(A4648,"" ""),COUNTA(SPLIT(A4648,"" ""))))"),"Chianti")</f>
        <v>Chianti</v>
      </c>
      <c r="C4648" s="6"/>
      <c r="D4648" s="6" t="s">
        <v>4697</v>
      </c>
      <c r="E4648" s="13" t="s">
        <v>4698</v>
      </c>
    </row>
    <row r="4649">
      <c r="A4649" s="4" t="s">
        <v>4711</v>
      </c>
      <c r="B4649" s="5" t="str">
        <f>IFERROR(__xludf.DUMMYFUNCTION("IF(A4649="""","""",INDEX(SPLIT(A4649,"" ""),COUNTA(SPLIT(A4649,"" ""))))"),"Montepulciano")</f>
        <v>Montepulciano</v>
      </c>
      <c r="C4649" s="6"/>
      <c r="D4649" s="6" t="s">
        <v>4697</v>
      </c>
      <c r="E4649" s="13" t="s">
        <v>4698</v>
      </c>
    </row>
    <row r="4650">
      <c r="A4650" s="4" t="s">
        <v>4712</v>
      </c>
      <c r="B4650" s="5" t="str">
        <f>IFERROR(__xludf.DUMMYFUNCTION("IF(A4650="""","""",INDEX(SPLIT(A4650,"" ""),COUNTA(SPLIT(A4650,"" ""))))"),"Monteriggioni")</f>
        <v>Monteriggioni</v>
      </c>
      <c r="C4650" s="6"/>
      <c r="D4650" s="6" t="s">
        <v>4697</v>
      </c>
      <c r="E4650" s="13" t="s">
        <v>4698</v>
      </c>
    </row>
    <row r="4651">
      <c r="A4651" s="4" t="s">
        <v>4713</v>
      </c>
      <c r="B4651" s="5" t="str">
        <f>IFERROR(__xludf.DUMMYFUNCTION("IF(A4651="""","""",INDEX(SPLIT(A4651,"" ""),COUNTA(SPLIT(A4651,"" ""))))"),"d'Arbia")</f>
        <v>d'Arbia</v>
      </c>
      <c r="C4651" s="6"/>
      <c r="D4651" s="6" t="s">
        <v>4697</v>
      </c>
      <c r="E4651" s="13" t="s">
        <v>4698</v>
      </c>
    </row>
    <row r="4652">
      <c r="A4652" s="4" t="s">
        <v>4714</v>
      </c>
      <c r="B4652" s="5" t="str">
        <f>IFERROR(__xludf.DUMMYFUNCTION("IF(A4652="""","""",INDEX(SPLIT(A4652,"" ""),COUNTA(SPLIT(A4652,"" ""))))"),"Monticiano")</f>
        <v>Monticiano</v>
      </c>
      <c r="C4652" s="6"/>
      <c r="D4652" s="6" t="s">
        <v>4697</v>
      </c>
      <c r="E4652" s="13" t="s">
        <v>4698</v>
      </c>
    </row>
    <row r="4653">
      <c r="A4653" s="4" t="s">
        <v>4715</v>
      </c>
      <c r="B4653" s="5" t="str">
        <f>IFERROR(__xludf.DUMMYFUNCTION("IF(A4653="""","""",INDEX(SPLIT(A4653,"" ""),COUNTA(SPLIT(A4653,"" ""))))"),"Murlo")</f>
        <v>Murlo</v>
      </c>
      <c r="C4653" s="6"/>
      <c r="D4653" s="6" t="s">
        <v>4697</v>
      </c>
      <c r="E4653" s="13" t="s">
        <v>4698</v>
      </c>
    </row>
    <row r="4654">
      <c r="A4654" s="4" t="s">
        <v>4716</v>
      </c>
      <c r="B4654" s="5" t="str">
        <f>IFERROR(__xludf.DUMMYFUNCTION("IF(A4654="""","""",INDEX(SPLIT(A4654,"" ""),COUNTA(SPLIT(A4654,"" ""))))"),"Piancastagnaio")</f>
        <v>Piancastagnaio</v>
      </c>
      <c r="C4654" s="6"/>
      <c r="D4654" s="6" t="s">
        <v>4697</v>
      </c>
      <c r="E4654" s="13" t="s">
        <v>4698</v>
      </c>
    </row>
    <row r="4655">
      <c r="A4655" s="4" t="s">
        <v>4717</v>
      </c>
      <c r="B4655" s="5" t="str">
        <f>IFERROR(__xludf.DUMMYFUNCTION("IF(A4655="""","""",INDEX(SPLIT(A4655,"" ""),COUNTA(SPLIT(A4655,"" ""))))"),"Pienza")</f>
        <v>Pienza</v>
      </c>
      <c r="C4655" s="6"/>
      <c r="D4655" s="6" t="s">
        <v>4697</v>
      </c>
      <c r="E4655" s="13" t="s">
        <v>4698</v>
      </c>
    </row>
    <row r="4656">
      <c r="A4656" s="4" t="s">
        <v>4718</v>
      </c>
      <c r="B4656" s="5" t="str">
        <f>IFERROR(__xludf.DUMMYFUNCTION("IF(A4656="""","""",INDEX(SPLIT(A4656,"" ""),COUNTA(SPLIT(A4656,"" ""))))"),"Poggibonsi")</f>
        <v>Poggibonsi</v>
      </c>
      <c r="C4656" s="6"/>
      <c r="D4656" s="6" t="s">
        <v>4697</v>
      </c>
      <c r="E4656" s="13" t="s">
        <v>4698</v>
      </c>
    </row>
    <row r="4657">
      <c r="A4657" s="4" t="s">
        <v>4719</v>
      </c>
      <c r="B4657" s="5" t="str">
        <f>IFERROR(__xludf.DUMMYFUNCTION("IF(A4657="""","""",INDEX(SPLIT(A4657,"" ""),COUNTA(SPLIT(A4657,"" ""))))"),"Chianti")</f>
        <v>Chianti</v>
      </c>
      <c r="C4657" s="6"/>
      <c r="D4657" s="6" t="s">
        <v>4697</v>
      </c>
      <c r="E4657" s="13" t="s">
        <v>4698</v>
      </c>
    </row>
    <row r="4658">
      <c r="A4658" s="4" t="s">
        <v>4720</v>
      </c>
      <c r="B4658" s="5" t="str">
        <f>IFERROR(__xludf.DUMMYFUNCTION("IF(A4658="""","""",INDEX(SPLIT(A4658,"" ""),COUNTA(SPLIT(A4658,"" ""))))"),"Radicofani")</f>
        <v>Radicofani</v>
      </c>
      <c r="C4658" s="6"/>
      <c r="D4658" s="6" t="s">
        <v>4697</v>
      </c>
      <c r="E4658" s="13" t="s">
        <v>4698</v>
      </c>
    </row>
    <row r="4659">
      <c r="A4659" s="4" t="s">
        <v>4721</v>
      </c>
      <c r="B4659" s="5" t="str">
        <f>IFERROR(__xludf.DUMMYFUNCTION("IF(A4659="""","""",INDEX(SPLIT(A4659,"" ""),COUNTA(SPLIT(A4659,"" ""))))"),"Radicondoli")</f>
        <v>Radicondoli</v>
      </c>
      <c r="C4659" s="6"/>
      <c r="D4659" s="6" t="s">
        <v>4697</v>
      </c>
      <c r="E4659" s="13" t="s">
        <v>4698</v>
      </c>
    </row>
    <row r="4660">
      <c r="A4660" s="4" t="s">
        <v>4722</v>
      </c>
      <c r="B4660" s="5" t="str">
        <f>IFERROR(__xludf.DUMMYFUNCTION("IF(A4660="""","""",INDEX(SPLIT(A4660,"" ""),COUNTA(SPLIT(A4660,"" ""))))"),"Terme")</f>
        <v>Terme</v>
      </c>
      <c r="C4660" s="6"/>
      <c r="D4660" s="6" t="s">
        <v>4697</v>
      </c>
      <c r="E4660" s="13" t="s">
        <v>4698</v>
      </c>
    </row>
    <row r="4661">
      <c r="A4661" s="4" t="s">
        <v>4723</v>
      </c>
      <c r="B4661" s="5" t="str">
        <f>IFERROR(__xludf.DUMMYFUNCTION("IF(A4661="""","""",INDEX(SPLIT(A4661,"" ""),COUNTA(SPLIT(A4661,"" ""))))"),"Bagni")</f>
        <v>Bagni</v>
      </c>
      <c r="C4661" s="6"/>
      <c r="D4661" s="6" t="s">
        <v>4697</v>
      </c>
      <c r="E4661" s="13" t="s">
        <v>4698</v>
      </c>
    </row>
    <row r="4662">
      <c r="A4662" s="4" t="s">
        <v>4724</v>
      </c>
      <c r="B4662" s="5" t="str">
        <f>IFERROR(__xludf.DUMMYFUNCTION("IF(A4662="""","""",INDEX(SPLIT(A4662,"" ""),COUNTA(SPLIT(A4662,"" ""))))"),"Gimignano")</f>
        <v>Gimignano</v>
      </c>
      <c r="C4662" s="6"/>
      <c r="D4662" s="6" t="s">
        <v>4697</v>
      </c>
      <c r="E4662" s="13" t="s">
        <v>4698</v>
      </c>
    </row>
    <row r="4663">
      <c r="A4663" s="4" t="s">
        <v>4725</v>
      </c>
      <c r="B4663" s="5" t="str">
        <f>IFERROR(__xludf.DUMMYFUNCTION("IF(A4663="""","""",INDEX(SPLIT(A4663,"" ""),COUNTA(SPLIT(A4663,"" ""))))"),"d'Orcia")</f>
        <v>d'Orcia</v>
      </c>
      <c r="C4663" s="6"/>
      <c r="D4663" s="6" t="s">
        <v>4697</v>
      </c>
      <c r="E4663" s="13" t="s">
        <v>4698</v>
      </c>
    </row>
    <row r="4664">
      <c r="A4664" s="4" t="s">
        <v>4726</v>
      </c>
      <c r="B4664" s="5" t="str">
        <f>IFERROR(__xludf.DUMMYFUNCTION("IF(A4664="""","""",INDEX(SPLIT(A4664,"" ""),COUNTA(SPLIT(A4664,"" ""))))"),"Sarteano")</f>
        <v>Sarteano</v>
      </c>
      <c r="C4664" s="6"/>
      <c r="D4664" s="6" t="s">
        <v>4697</v>
      </c>
      <c r="E4664" s="13" t="s">
        <v>4698</v>
      </c>
    </row>
    <row r="4665">
      <c r="A4665" s="4" t="s">
        <v>4697</v>
      </c>
      <c r="B4665" s="5" t="str">
        <f>IFERROR(__xludf.DUMMYFUNCTION("IF(A4665="""","""",INDEX(SPLIT(A4665,"" ""),COUNTA(SPLIT(A4665,"" ""))))"),"Siena")</f>
        <v>Siena</v>
      </c>
      <c r="C4665" s="6"/>
      <c r="D4665" s="6" t="s">
        <v>4697</v>
      </c>
      <c r="E4665" s="13" t="s">
        <v>4698</v>
      </c>
    </row>
    <row r="4666">
      <c r="A4666" s="4" t="s">
        <v>4727</v>
      </c>
      <c r="B4666" s="5" t="str">
        <f>IFERROR(__xludf.DUMMYFUNCTION("IF(A4666="""","""",INDEX(SPLIT(A4666,"" ""),COUNTA(SPLIT(A4666,"" ""))))"),"Sinalunga")</f>
        <v>Sinalunga</v>
      </c>
      <c r="C4666" s="6"/>
      <c r="D4666" s="6" t="s">
        <v>4697</v>
      </c>
      <c r="E4666" s="13" t="s">
        <v>4698</v>
      </c>
    </row>
    <row r="4667">
      <c r="A4667" s="4" t="s">
        <v>4728</v>
      </c>
      <c r="B4667" s="5" t="str">
        <f>IFERROR(__xludf.DUMMYFUNCTION("IF(A4667="""","""",INDEX(SPLIT(A4667,"" ""),COUNTA(SPLIT(A4667,"" ""))))"),"Sovicille")</f>
        <v>Sovicille</v>
      </c>
      <c r="C4667" s="6"/>
      <c r="D4667" s="6" t="s">
        <v>4697</v>
      </c>
      <c r="E4667" s="13" t="s">
        <v>4698</v>
      </c>
    </row>
    <row r="4668">
      <c r="A4668" s="4" t="s">
        <v>4729</v>
      </c>
      <c r="B4668" s="5" t="str">
        <f>IFERROR(__xludf.DUMMYFUNCTION("IF(A4668="""","""",INDEX(SPLIT(A4668,"" ""),COUNTA(SPLIT(A4668,"" ""))))"),"Siena")</f>
        <v>Siena</v>
      </c>
      <c r="C4668" s="6"/>
      <c r="D4668" s="6" t="s">
        <v>4697</v>
      </c>
      <c r="E4668" s="13" t="s">
        <v>4698</v>
      </c>
    </row>
    <row r="4669">
      <c r="A4669" s="4" t="s">
        <v>4730</v>
      </c>
      <c r="B4669" s="5" t="str">
        <f>IFERROR(__xludf.DUMMYFUNCTION("IF(A4669="""","""",INDEX(SPLIT(A4669,"" ""),COUNTA(SPLIT(A4669,"" ""))))"),"Trequanda")</f>
        <v>Trequanda</v>
      </c>
      <c r="C4669" s="6"/>
      <c r="D4669" s="6" t="s">
        <v>4697</v>
      </c>
      <c r="E4669" s="13" t="s">
        <v>4698</v>
      </c>
    </row>
    <row r="4670">
      <c r="A4670" s="4" t="s">
        <v>4731</v>
      </c>
      <c r="B4670" s="5" t="str">
        <f>IFERROR(__xludf.DUMMYFUNCTION("IF(A4670="""","""",INDEX(SPLIT(A4670,"" ""),COUNTA(SPLIT(A4670,"" ""))))"),"Montalcino")</f>
        <v>Montalcino</v>
      </c>
      <c r="C4670" s="6"/>
      <c r="D4670" s="6" t="s">
        <v>4697</v>
      </c>
      <c r="E4670" s="13" t="s">
        <v>4698</v>
      </c>
    </row>
    <row r="4671">
      <c r="A4671" s="4" t="s">
        <v>4732</v>
      </c>
      <c r="B4671" s="5" t="str">
        <f>IFERROR(__xludf.DUMMYFUNCTION("IF(A4671="""","""",INDEX(SPLIT(A4671,"" ""),COUNTA(SPLIT(A4671,"" ""))))"),"Arcidosso")</f>
        <v>Arcidosso</v>
      </c>
      <c r="C4671" s="6"/>
      <c r="D4671" s="6" t="s">
        <v>4733</v>
      </c>
      <c r="E4671" s="13" t="s">
        <v>4734</v>
      </c>
    </row>
    <row r="4672">
      <c r="A4672" s="4" t="s">
        <v>4735</v>
      </c>
      <c r="B4672" s="5" t="str">
        <f>IFERROR(__xludf.DUMMYFUNCTION("IF(A4672="""","""",INDEX(SPLIT(A4672,"" ""),COUNTA(SPLIT(A4672,"" ""))))"),"Campagnatico")</f>
        <v>Campagnatico</v>
      </c>
      <c r="C4672" s="6"/>
      <c r="D4672" s="6" t="s">
        <v>4733</v>
      </c>
      <c r="E4672" s="13" t="s">
        <v>4734</v>
      </c>
    </row>
    <row r="4673">
      <c r="A4673" s="4" t="s">
        <v>4736</v>
      </c>
      <c r="B4673" s="5" t="str">
        <f>IFERROR(__xludf.DUMMYFUNCTION("IF(A4673="""","""",INDEX(SPLIT(A4673,"" ""),COUNTA(SPLIT(A4673,"" ""))))"),"Capalbio")</f>
        <v>Capalbio</v>
      </c>
      <c r="C4673" s="6"/>
      <c r="D4673" s="6" t="s">
        <v>4733</v>
      </c>
      <c r="E4673" s="13" t="s">
        <v>4734</v>
      </c>
    </row>
    <row r="4674">
      <c r="A4674" s="4" t="s">
        <v>4737</v>
      </c>
      <c r="B4674" s="5" t="str">
        <f>IFERROR(__xludf.DUMMYFUNCTION("IF(A4674="""","""",INDEX(SPLIT(A4674,"" ""),COUNTA(SPLIT(A4674,"" ""))))"),"Piano")</f>
        <v>Piano</v>
      </c>
      <c r="C4674" s="6"/>
      <c r="D4674" s="6" t="s">
        <v>4733</v>
      </c>
      <c r="E4674" s="13" t="s">
        <v>4734</v>
      </c>
    </row>
    <row r="4675">
      <c r="A4675" s="4" t="s">
        <v>4738</v>
      </c>
      <c r="B4675" s="5" t="str">
        <f>IFERROR(__xludf.DUMMYFUNCTION("IF(A4675="""","""",INDEX(SPLIT(A4675,"" ""),COUNTA(SPLIT(A4675,"" ""))))"),"Castell'Azzara")</f>
        <v>Castell'Azzara</v>
      </c>
      <c r="C4675" s="6"/>
      <c r="D4675" s="6" t="s">
        <v>4733</v>
      </c>
      <c r="E4675" s="13" t="s">
        <v>4734</v>
      </c>
    </row>
    <row r="4676">
      <c r="A4676" s="4" t="s">
        <v>4739</v>
      </c>
      <c r="B4676" s="5" t="str">
        <f>IFERROR(__xludf.DUMMYFUNCTION("IF(A4676="""","""",INDEX(SPLIT(A4676,"" ""),COUNTA(SPLIT(A4676,"" ""))))"),"Pescaia")</f>
        <v>Pescaia</v>
      </c>
      <c r="C4676" s="6"/>
      <c r="D4676" s="6" t="s">
        <v>4733</v>
      </c>
      <c r="E4676" s="13" t="s">
        <v>4734</v>
      </c>
    </row>
    <row r="4677">
      <c r="A4677" s="4" t="s">
        <v>4740</v>
      </c>
      <c r="B4677" s="5" t="str">
        <f>IFERROR(__xludf.DUMMYFUNCTION("IF(A4677="""","""",INDEX(SPLIT(A4677,"" ""),COUNTA(SPLIT(A4677,"" ""))))"),"Cinigiano")</f>
        <v>Cinigiano</v>
      </c>
      <c r="C4677" s="6"/>
      <c r="D4677" s="6" t="s">
        <v>4733</v>
      </c>
      <c r="E4677" s="13" t="s">
        <v>4734</v>
      </c>
    </row>
    <row r="4678">
      <c r="A4678" s="4" t="s">
        <v>4741</v>
      </c>
      <c r="B4678" s="5" t="str">
        <f>IFERROR(__xludf.DUMMYFUNCTION("IF(A4678="""","""",INDEX(SPLIT(A4678,"" ""),COUNTA(SPLIT(A4678,"" ""))))"),"Paganico")</f>
        <v>Paganico</v>
      </c>
      <c r="C4678" s="6"/>
      <c r="D4678" s="6" t="s">
        <v>4733</v>
      </c>
      <c r="E4678" s="13" t="s">
        <v>4734</v>
      </c>
    </row>
    <row r="4679">
      <c r="A4679" s="4" t="s">
        <v>4742</v>
      </c>
      <c r="B4679" s="5" t="str">
        <f>IFERROR(__xludf.DUMMYFUNCTION("IF(A4679="""","""",INDEX(SPLIT(A4679,"" ""),COUNTA(SPLIT(A4679,"" ""))))"),"Follonica")</f>
        <v>Follonica</v>
      </c>
      <c r="C4679" s="6"/>
      <c r="D4679" s="6" t="s">
        <v>4733</v>
      </c>
      <c r="E4679" s="13" t="s">
        <v>4734</v>
      </c>
    </row>
    <row r="4680">
      <c r="A4680" s="4" t="s">
        <v>4743</v>
      </c>
      <c r="B4680" s="5" t="str">
        <f>IFERROR(__xludf.DUMMYFUNCTION("IF(A4680="""","""",INDEX(SPLIT(A4680,"" ""),COUNTA(SPLIT(A4680,"" ""))))"),"Gavorrano")</f>
        <v>Gavorrano</v>
      </c>
      <c r="C4680" s="6"/>
      <c r="D4680" s="6" t="s">
        <v>4733</v>
      </c>
      <c r="E4680" s="13" t="s">
        <v>4734</v>
      </c>
    </row>
    <row r="4681">
      <c r="A4681" s="4" t="s">
        <v>4733</v>
      </c>
      <c r="B4681" s="5" t="str">
        <f>IFERROR(__xludf.DUMMYFUNCTION("IF(A4681="""","""",INDEX(SPLIT(A4681,"" ""),COUNTA(SPLIT(A4681,"" ""))))"),"Grosseto")</f>
        <v>Grosseto</v>
      </c>
      <c r="C4681" s="6"/>
      <c r="D4681" s="6" t="s">
        <v>4733</v>
      </c>
      <c r="E4681" s="13" t="s">
        <v>4734</v>
      </c>
    </row>
    <row r="4682">
      <c r="A4682" s="4" t="s">
        <v>4744</v>
      </c>
      <c r="B4682" s="5" t="str">
        <f>IFERROR(__xludf.DUMMYFUNCTION("IF(A4682="""","""",INDEX(SPLIT(A4682,"" ""),COUNTA(SPLIT(A4682,"" ""))))"),"Giglio")</f>
        <v>Giglio</v>
      </c>
      <c r="C4682" s="6"/>
      <c r="D4682" s="6" t="s">
        <v>4733</v>
      </c>
      <c r="E4682" s="13" t="s">
        <v>4734</v>
      </c>
    </row>
    <row r="4683">
      <c r="A4683" s="4" t="s">
        <v>4745</v>
      </c>
      <c r="B4683" s="5" t="str">
        <f>IFERROR(__xludf.DUMMYFUNCTION("IF(A4683="""","""",INDEX(SPLIT(A4683,"" ""),COUNTA(SPLIT(A4683,"" ""))))"),"Toscana")</f>
        <v>Toscana</v>
      </c>
      <c r="C4683" s="6"/>
      <c r="D4683" s="6" t="s">
        <v>4733</v>
      </c>
      <c r="E4683" s="13" t="s">
        <v>4734</v>
      </c>
    </row>
    <row r="4684">
      <c r="A4684" s="4" t="s">
        <v>4746</v>
      </c>
      <c r="B4684" s="5" t="str">
        <f>IFERROR(__xludf.DUMMYFUNCTION("IF(A4684="""","""",INDEX(SPLIT(A4684,"" ""),COUNTA(SPLIT(A4684,"" ""))))"),"Manciano")</f>
        <v>Manciano</v>
      </c>
      <c r="C4684" s="6"/>
      <c r="D4684" s="6" t="s">
        <v>4733</v>
      </c>
      <c r="E4684" s="13" t="s">
        <v>4734</v>
      </c>
    </row>
    <row r="4685">
      <c r="A4685" s="4" t="s">
        <v>4747</v>
      </c>
      <c r="B4685" s="5" t="str">
        <f>IFERROR(__xludf.DUMMYFUNCTION("IF(A4685="""","""",INDEX(SPLIT(A4685,"" ""),COUNTA(SPLIT(A4685,"" ""))))"),"Marittima")</f>
        <v>Marittima</v>
      </c>
      <c r="C4685" s="6"/>
      <c r="D4685" s="6" t="s">
        <v>4733</v>
      </c>
      <c r="E4685" s="13" t="s">
        <v>4734</v>
      </c>
    </row>
    <row r="4686">
      <c r="A4686" s="4" t="s">
        <v>4748</v>
      </c>
      <c r="B4686" s="5" t="str">
        <f>IFERROR(__xludf.DUMMYFUNCTION("IF(A4686="""","""",INDEX(SPLIT(A4686,"" ""),COUNTA(SPLIT(A4686,"" ""))))"),"Argentario")</f>
        <v>Argentario</v>
      </c>
      <c r="C4686" s="6"/>
      <c r="D4686" s="6" t="s">
        <v>4733</v>
      </c>
      <c r="E4686" s="13" t="s">
        <v>4734</v>
      </c>
    </row>
    <row r="4687">
      <c r="A4687" s="4" t="s">
        <v>4749</v>
      </c>
      <c r="B4687" s="5" t="str">
        <f>IFERROR(__xludf.DUMMYFUNCTION("IF(A4687="""","""",INDEX(SPLIT(A4687,"" ""),COUNTA(SPLIT(A4687,"" ""))))"),"Montieri")</f>
        <v>Montieri</v>
      </c>
      <c r="C4687" s="6"/>
      <c r="D4687" s="6" t="s">
        <v>4733</v>
      </c>
      <c r="E4687" s="13" t="s">
        <v>4734</v>
      </c>
    </row>
    <row r="4688">
      <c r="A4688" s="4" t="s">
        <v>4750</v>
      </c>
      <c r="B4688" s="5" t="str">
        <f>IFERROR(__xludf.DUMMYFUNCTION("IF(A4688="""","""",INDEX(SPLIT(A4688,"" ""),COUNTA(SPLIT(A4688,"" ""))))"),"Orbetello")</f>
        <v>Orbetello</v>
      </c>
      <c r="C4688" s="6"/>
      <c r="D4688" s="6" t="s">
        <v>4733</v>
      </c>
      <c r="E4688" s="13" t="s">
        <v>4734</v>
      </c>
    </row>
    <row r="4689">
      <c r="A4689" s="4" t="s">
        <v>4751</v>
      </c>
      <c r="B4689" s="5" t="str">
        <f>IFERROR(__xludf.DUMMYFUNCTION("IF(A4689="""","""",INDEX(SPLIT(A4689,"" ""),COUNTA(SPLIT(A4689,"" ""))))"),"Pitigliano")</f>
        <v>Pitigliano</v>
      </c>
      <c r="C4689" s="6"/>
      <c r="D4689" s="6" t="s">
        <v>4733</v>
      </c>
      <c r="E4689" s="13" t="s">
        <v>4734</v>
      </c>
    </row>
    <row r="4690">
      <c r="A4690" s="4" t="s">
        <v>4752</v>
      </c>
      <c r="B4690" s="5" t="str">
        <f>IFERROR(__xludf.DUMMYFUNCTION("IF(A4690="""","""",INDEX(SPLIT(A4690,"" ""),COUNTA(SPLIT(A4690,"" ""))))"),"Roccalbegna")</f>
        <v>Roccalbegna</v>
      </c>
      <c r="C4690" s="6"/>
      <c r="D4690" s="6" t="s">
        <v>4733</v>
      </c>
      <c r="E4690" s="13" t="s">
        <v>4734</v>
      </c>
    </row>
    <row r="4691">
      <c r="A4691" s="4" t="s">
        <v>4753</v>
      </c>
      <c r="B4691" s="5" t="str">
        <f>IFERROR(__xludf.DUMMYFUNCTION("IF(A4691="""","""",INDEX(SPLIT(A4691,"" ""),COUNTA(SPLIT(A4691,"" ""))))"),"Roccastrada")</f>
        <v>Roccastrada</v>
      </c>
      <c r="C4691" s="6"/>
      <c r="D4691" s="6" t="s">
        <v>4733</v>
      </c>
      <c r="E4691" s="13" t="s">
        <v>4734</v>
      </c>
    </row>
    <row r="4692">
      <c r="A4692" s="4" t="s">
        <v>4754</v>
      </c>
      <c r="B4692" s="5" t="str">
        <f>IFERROR(__xludf.DUMMYFUNCTION("IF(A4692="""","""",INDEX(SPLIT(A4692,"" ""),COUNTA(SPLIT(A4692,"" ""))))"),"Fiora")</f>
        <v>Fiora</v>
      </c>
      <c r="C4692" s="6"/>
      <c r="D4692" s="6" t="s">
        <v>4733</v>
      </c>
      <c r="E4692" s="13" t="s">
        <v>4734</v>
      </c>
    </row>
    <row r="4693">
      <c r="A4693" s="4" t="s">
        <v>4755</v>
      </c>
      <c r="B4693" s="5" t="str">
        <f>IFERROR(__xludf.DUMMYFUNCTION("IF(A4693="""","""",INDEX(SPLIT(A4693,"" ""),COUNTA(SPLIT(A4693,"" ""))))"),"Scansano")</f>
        <v>Scansano</v>
      </c>
      <c r="C4693" s="6"/>
      <c r="D4693" s="6" t="s">
        <v>4733</v>
      </c>
      <c r="E4693" s="13" t="s">
        <v>4734</v>
      </c>
    </row>
    <row r="4694">
      <c r="A4694" s="4" t="s">
        <v>4756</v>
      </c>
      <c r="B4694" s="5" t="str">
        <f>IFERROR(__xludf.DUMMYFUNCTION("IF(A4694="""","""",INDEX(SPLIT(A4694,"" ""),COUNTA(SPLIT(A4694,"" ""))))"),"Scarlino")</f>
        <v>Scarlino</v>
      </c>
      <c r="C4694" s="6"/>
      <c r="D4694" s="6" t="s">
        <v>4733</v>
      </c>
      <c r="E4694" s="13" t="s">
        <v>4734</v>
      </c>
    </row>
    <row r="4695">
      <c r="A4695" s="4" t="s">
        <v>4757</v>
      </c>
      <c r="B4695" s="5" t="str">
        <f>IFERROR(__xludf.DUMMYFUNCTION("IF(A4695="""","""",INDEX(SPLIT(A4695,"" ""),COUNTA(SPLIT(A4695,"" ""))))"),"Seggiano")</f>
        <v>Seggiano</v>
      </c>
      <c r="C4695" s="6"/>
      <c r="D4695" s="6" t="s">
        <v>4733</v>
      </c>
      <c r="E4695" s="13" t="s">
        <v>4734</v>
      </c>
    </row>
    <row r="4696">
      <c r="A4696" s="4" t="s">
        <v>4758</v>
      </c>
      <c r="B4696" s="5" t="str">
        <f>IFERROR(__xludf.DUMMYFUNCTION("IF(A4696="""","""",INDEX(SPLIT(A4696,"" ""),COUNTA(SPLIT(A4696,"" ""))))"),"Sorano")</f>
        <v>Sorano</v>
      </c>
      <c r="C4696" s="6"/>
      <c r="D4696" s="6" t="s">
        <v>4733</v>
      </c>
      <c r="E4696" s="13" t="s">
        <v>4734</v>
      </c>
    </row>
    <row r="4697">
      <c r="A4697" s="4" t="s">
        <v>4759</v>
      </c>
      <c r="B4697" s="5" t="str">
        <f>IFERROR(__xludf.DUMMYFUNCTION("IF(A4697="""","""",INDEX(SPLIT(A4697,"" ""),COUNTA(SPLIT(A4697,"" ""))))"),"Marittimo")</f>
        <v>Marittimo</v>
      </c>
      <c r="C4697" s="6"/>
      <c r="D4697" s="6" t="s">
        <v>4733</v>
      </c>
      <c r="E4697" s="13" t="s">
        <v>4734</v>
      </c>
    </row>
    <row r="4698">
      <c r="A4698" s="4" t="s">
        <v>4760</v>
      </c>
      <c r="B4698" s="5" t="str">
        <f>IFERROR(__xludf.DUMMYFUNCTION("IF(A4698="""","""",INDEX(SPLIT(A4698,"" ""),COUNTA(SPLIT(A4698,"" ""))))"),"Semproniano")</f>
        <v>Semproniano</v>
      </c>
      <c r="C4698" s="6"/>
      <c r="D4698" s="6" t="s">
        <v>4733</v>
      </c>
      <c r="E4698" s="13" t="s">
        <v>4734</v>
      </c>
    </row>
    <row r="4699">
      <c r="A4699" s="4" t="s">
        <v>4761</v>
      </c>
      <c r="B4699" s="5" t="str">
        <f>IFERROR(__xludf.DUMMYFUNCTION("IF(A4699="""","""",INDEX(SPLIT(A4699,"" ""),COUNTA(SPLIT(A4699,"" ""))))"),"Cantagallo")</f>
        <v>Cantagallo</v>
      </c>
      <c r="C4699" s="6"/>
      <c r="D4699" s="6" t="s">
        <v>4762</v>
      </c>
      <c r="E4699" s="13" t="s">
        <v>4763</v>
      </c>
    </row>
    <row r="4700">
      <c r="A4700" s="4" t="s">
        <v>4764</v>
      </c>
      <c r="B4700" s="5" t="str">
        <f>IFERROR(__xludf.DUMMYFUNCTION("IF(A4700="""","""",INDEX(SPLIT(A4700,"" ""),COUNTA(SPLIT(A4700,"" ""))))"),"Carmignano")</f>
        <v>Carmignano</v>
      </c>
      <c r="C4700" s="6"/>
      <c r="D4700" s="6" t="s">
        <v>4762</v>
      </c>
      <c r="E4700" s="13" t="s">
        <v>4763</v>
      </c>
    </row>
    <row r="4701">
      <c r="A4701" s="4" t="s">
        <v>4765</v>
      </c>
      <c r="B4701" s="5" t="str">
        <f>IFERROR(__xludf.DUMMYFUNCTION("IF(A4701="""","""",INDEX(SPLIT(A4701,"" ""),COUNTA(SPLIT(A4701,"" ""))))"),"Montemurlo")</f>
        <v>Montemurlo</v>
      </c>
      <c r="C4701" s="6"/>
      <c r="D4701" s="6" t="s">
        <v>4762</v>
      </c>
      <c r="E4701" s="13" t="s">
        <v>4763</v>
      </c>
    </row>
    <row r="4702">
      <c r="A4702" s="4" t="s">
        <v>4766</v>
      </c>
      <c r="B4702" s="5" t="str">
        <f>IFERROR(__xludf.DUMMYFUNCTION("IF(A4702="""","""",INDEX(SPLIT(A4702,"" ""),COUNTA(SPLIT(A4702,"" ""))))"),"Caiano")</f>
        <v>Caiano</v>
      </c>
      <c r="C4702" s="6"/>
      <c r="D4702" s="6" t="s">
        <v>4762</v>
      </c>
      <c r="E4702" s="13" t="s">
        <v>4763</v>
      </c>
    </row>
    <row r="4703">
      <c r="A4703" s="4" t="s">
        <v>4762</v>
      </c>
      <c r="B4703" s="5" t="str">
        <f>IFERROR(__xludf.DUMMYFUNCTION("IF(A4703="""","""",INDEX(SPLIT(A4703,"" ""),COUNTA(SPLIT(A4703,"" ""))))"),"Prato")</f>
        <v>Prato</v>
      </c>
      <c r="C4703" s="6"/>
      <c r="D4703" s="6" t="s">
        <v>4762</v>
      </c>
      <c r="E4703" s="13" t="s">
        <v>4763</v>
      </c>
    </row>
    <row r="4704">
      <c r="A4704" s="4" t="s">
        <v>4767</v>
      </c>
      <c r="B4704" s="5" t="str">
        <f>IFERROR(__xludf.DUMMYFUNCTION("IF(A4704="""","""",INDEX(SPLIT(A4704,"" ""),COUNTA(SPLIT(A4704,"" ""))))"),"Vaiano")</f>
        <v>Vaiano</v>
      </c>
      <c r="C4704" s="6"/>
      <c r="D4704" s="6" t="s">
        <v>4762</v>
      </c>
      <c r="E4704" s="13" t="s">
        <v>4763</v>
      </c>
    </row>
    <row r="4705">
      <c r="A4705" s="4" t="s">
        <v>4768</v>
      </c>
      <c r="B4705" s="5" t="str">
        <f>IFERROR(__xludf.DUMMYFUNCTION("IF(A4705="""","""",INDEX(SPLIT(A4705,"" ""),COUNTA(SPLIT(A4705,"" ""))))"),"Vernio")</f>
        <v>Vernio</v>
      </c>
      <c r="C4705" s="6"/>
      <c r="D4705" s="6" t="s">
        <v>4762</v>
      </c>
      <c r="E4705" s="13" t="s">
        <v>4763</v>
      </c>
    </row>
    <row r="4706">
      <c r="A4706" s="4" t="s">
        <v>4769</v>
      </c>
      <c r="B4706" s="5" t="str">
        <f>IFERROR(__xludf.DUMMYFUNCTION("IF(A4706="""","""",INDEX(SPLIT(A4706,"" ""),COUNTA(SPLIT(A4706,"" ""))))"),"Assisi")</f>
        <v>Assisi</v>
      </c>
      <c r="C4706" s="6"/>
      <c r="D4706" s="6" t="s">
        <v>4770</v>
      </c>
      <c r="E4706" s="13" t="s">
        <v>4771</v>
      </c>
    </row>
    <row r="4707">
      <c r="A4707" s="4" t="s">
        <v>4772</v>
      </c>
      <c r="B4707" s="5" t="str">
        <f>IFERROR(__xludf.DUMMYFUNCTION("IF(A4707="""","""",INDEX(SPLIT(A4707,"" ""),COUNTA(SPLIT(A4707,"" ""))))"),"Umbra")</f>
        <v>Umbra</v>
      </c>
      <c r="C4707" s="6"/>
      <c r="D4707" s="6" t="s">
        <v>4770</v>
      </c>
      <c r="E4707" s="13" t="s">
        <v>4771</v>
      </c>
    </row>
    <row r="4708">
      <c r="A4708" s="4" t="s">
        <v>4773</v>
      </c>
      <c r="B4708" s="5" t="str">
        <f>IFERROR(__xludf.DUMMYFUNCTION("IF(A4708="""","""",INDEX(SPLIT(A4708,"" ""),COUNTA(SPLIT(A4708,"" ""))))"),"Bettona")</f>
        <v>Bettona</v>
      </c>
      <c r="C4708" s="6"/>
      <c r="D4708" s="6" t="s">
        <v>4770</v>
      </c>
      <c r="E4708" s="13" t="s">
        <v>4771</v>
      </c>
    </row>
    <row r="4709">
      <c r="A4709" s="4" t="s">
        <v>4774</v>
      </c>
      <c r="B4709" s="5" t="str">
        <f>IFERROR(__xludf.DUMMYFUNCTION("IF(A4709="""","""",INDEX(SPLIT(A4709,"" ""),COUNTA(SPLIT(A4709,"" ""))))"),"Bevagna")</f>
        <v>Bevagna</v>
      </c>
      <c r="C4709" s="6"/>
      <c r="D4709" s="6" t="s">
        <v>4770</v>
      </c>
      <c r="E4709" s="13" t="s">
        <v>4771</v>
      </c>
    </row>
    <row r="4710">
      <c r="A4710" s="4" t="s">
        <v>4775</v>
      </c>
      <c r="B4710" s="5" t="str">
        <f>IFERROR(__xludf.DUMMYFUNCTION("IF(A4710="""","""",INDEX(SPLIT(A4710,"" ""),COUNTA(SPLIT(A4710,"" ""))))"),"Clitunno")</f>
        <v>Clitunno</v>
      </c>
      <c r="C4710" s="6"/>
      <c r="D4710" s="6" t="s">
        <v>4770</v>
      </c>
      <c r="E4710" s="13" t="s">
        <v>4771</v>
      </c>
    </row>
    <row r="4711">
      <c r="A4711" s="4" t="s">
        <v>4776</v>
      </c>
      <c r="B4711" s="5" t="str">
        <f>IFERROR(__xludf.DUMMYFUNCTION("IF(A4711="""","""",INDEX(SPLIT(A4711,"" ""),COUNTA(SPLIT(A4711,"" ""))))"),"Cannara")</f>
        <v>Cannara</v>
      </c>
      <c r="C4711" s="6"/>
      <c r="D4711" s="6" t="s">
        <v>4770</v>
      </c>
      <c r="E4711" s="13" t="s">
        <v>4771</v>
      </c>
    </row>
    <row r="4712">
      <c r="A4712" s="4" t="s">
        <v>4777</v>
      </c>
      <c r="B4712" s="5" t="str">
        <f>IFERROR(__xludf.DUMMYFUNCTION("IF(A4712="""","""",INDEX(SPLIT(A4712,"" ""),COUNTA(SPLIT(A4712,"" ""))))"),"Cascia")</f>
        <v>Cascia</v>
      </c>
      <c r="C4712" s="6"/>
      <c r="D4712" s="6" t="s">
        <v>4770</v>
      </c>
      <c r="E4712" s="13" t="s">
        <v>4771</v>
      </c>
    </row>
    <row r="4713">
      <c r="A4713" s="4" t="s">
        <v>4778</v>
      </c>
      <c r="B4713" s="5" t="str">
        <f>IFERROR(__xludf.DUMMYFUNCTION("IF(A4713="""","""",INDEX(SPLIT(A4713,"" ""),COUNTA(SPLIT(A4713,"" ""))))"),"Ritaldi")</f>
        <v>Ritaldi</v>
      </c>
      <c r="C4713" s="6"/>
      <c r="D4713" s="6" t="s">
        <v>4770</v>
      </c>
      <c r="E4713" s="13" t="s">
        <v>4771</v>
      </c>
    </row>
    <row r="4714">
      <c r="A4714" s="4" t="s">
        <v>4779</v>
      </c>
      <c r="B4714" s="5" t="str">
        <f>IFERROR(__xludf.DUMMYFUNCTION("IF(A4714="""","""",INDEX(SPLIT(A4714,"" ""),COUNTA(SPLIT(A4714,"" ""))))"),"Lago")</f>
        <v>Lago</v>
      </c>
      <c r="C4714" s="6"/>
      <c r="D4714" s="6" t="s">
        <v>4770</v>
      </c>
      <c r="E4714" s="13" t="s">
        <v>4771</v>
      </c>
    </row>
    <row r="4715">
      <c r="A4715" s="4" t="s">
        <v>4780</v>
      </c>
      <c r="B4715" s="5" t="str">
        <f>IFERROR(__xludf.DUMMYFUNCTION("IF(A4715="""","""",INDEX(SPLIT(A4715,"" ""),COUNTA(SPLIT(A4715,"" ""))))"),"Spoleto")</f>
        <v>Spoleto</v>
      </c>
      <c r="C4715" s="6"/>
      <c r="D4715" s="6" t="s">
        <v>4770</v>
      </c>
      <c r="E4715" s="13" t="s">
        <v>4771</v>
      </c>
    </row>
    <row r="4716">
      <c r="A4716" s="4" t="s">
        <v>4781</v>
      </c>
      <c r="B4716" s="5" t="str">
        <f>IFERROR(__xludf.DUMMYFUNCTION("IF(A4716="""","""",INDEX(SPLIT(A4716,"" ""),COUNTA(SPLIT(A4716,"" ""))))"),"Citerna")</f>
        <v>Citerna</v>
      </c>
      <c r="C4716" s="6"/>
      <c r="D4716" s="6" t="s">
        <v>4770</v>
      </c>
      <c r="E4716" s="13" t="s">
        <v>4771</v>
      </c>
    </row>
    <row r="4717">
      <c r="A4717" s="4" t="s">
        <v>4782</v>
      </c>
      <c r="B4717" s="5" t="str">
        <f>IFERROR(__xludf.DUMMYFUNCTION("IF(A4717="""","""",INDEX(SPLIT(A4717,"" ""),COUNTA(SPLIT(A4717,"" ""))))"),"Pieve")</f>
        <v>Pieve</v>
      </c>
      <c r="C4717" s="6"/>
      <c r="D4717" s="6" t="s">
        <v>4770</v>
      </c>
      <c r="E4717" s="13" t="s">
        <v>4771</v>
      </c>
    </row>
    <row r="4718">
      <c r="A4718" s="4" t="s">
        <v>4783</v>
      </c>
      <c r="B4718" s="5" t="str">
        <f>IFERROR(__xludf.DUMMYFUNCTION("IF(A4718="""","""",INDEX(SPLIT(A4718,"" ""),COUNTA(SPLIT(A4718,"" ""))))"),"Castello")</f>
        <v>Castello</v>
      </c>
      <c r="C4718" s="6"/>
      <c r="D4718" s="6" t="s">
        <v>4770</v>
      </c>
      <c r="E4718" s="13" t="s">
        <v>4771</v>
      </c>
    </row>
    <row r="4719">
      <c r="A4719" s="4" t="s">
        <v>4784</v>
      </c>
      <c r="B4719" s="5" t="str">
        <f>IFERROR(__xludf.DUMMYFUNCTION("IF(A4719="""","""",INDEX(SPLIT(A4719,"" ""),COUNTA(SPLIT(A4719,"" ""))))"),"Collazzone")</f>
        <v>Collazzone</v>
      </c>
      <c r="C4719" s="6"/>
      <c r="D4719" s="6" t="s">
        <v>4770</v>
      </c>
      <c r="E4719" s="13" t="s">
        <v>4771</v>
      </c>
    </row>
    <row r="4720">
      <c r="A4720" s="4" t="s">
        <v>4785</v>
      </c>
      <c r="B4720" s="5" t="str">
        <f>IFERROR(__xludf.DUMMYFUNCTION("IF(A4720="""","""",INDEX(SPLIT(A4720,"" ""),COUNTA(SPLIT(A4720,"" ""))))"),"Corciano")</f>
        <v>Corciano</v>
      </c>
      <c r="C4720" s="6"/>
      <c r="D4720" s="6" t="s">
        <v>4770</v>
      </c>
      <c r="E4720" s="13" t="s">
        <v>4771</v>
      </c>
    </row>
    <row r="4721">
      <c r="A4721" s="4" t="s">
        <v>4786</v>
      </c>
      <c r="B4721" s="5" t="str">
        <f>IFERROR(__xludf.DUMMYFUNCTION("IF(A4721="""","""",INDEX(SPLIT(A4721,"" ""),COUNTA(SPLIT(A4721,"" ""))))"),"Costacciaro")</f>
        <v>Costacciaro</v>
      </c>
      <c r="C4721" s="6"/>
      <c r="D4721" s="6" t="s">
        <v>4770</v>
      </c>
      <c r="E4721" s="13" t="s">
        <v>4771</v>
      </c>
    </row>
    <row r="4722">
      <c r="A4722" s="4" t="s">
        <v>4787</v>
      </c>
      <c r="B4722" s="5" t="str">
        <f>IFERROR(__xludf.DUMMYFUNCTION("IF(A4722="""","""",INDEX(SPLIT(A4722,"" ""),COUNTA(SPLIT(A4722,"" ""))))"),"Deruta")</f>
        <v>Deruta</v>
      </c>
      <c r="C4722" s="6"/>
      <c r="D4722" s="6" t="s">
        <v>4770</v>
      </c>
      <c r="E4722" s="13" t="s">
        <v>4771</v>
      </c>
    </row>
    <row r="4723">
      <c r="A4723" s="4" t="s">
        <v>4788</v>
      </c>
      <c r="B4723" s="5" t="str">
        <f>IFERROR(__xludf.DUMMYFUNCTION("IF(A4723="""","""",INDEX(SPLIT(A4723,"" ""),COUNTA(SPLIT(A4723,"" ""))))"),"Foligno")</f>
        <v>Foligno</v>
      </c>
      <c r="C4723" s="6"/>
      <c r="D4723" s="6" t="s">
        <v>4770</v>
      </c>
      <c r="E4723" s="13" t="s">
        <v>4771</v>
      </c>
    </row>
    <row r="4724">
      <c r="A4724" s="4" t="s">
        <v>4789</v>
      </c>
      <c r="B4724" s="5" t="str">
        <f>IFERROR(__xludf.DUMMYFUNCTION("IF(A4724="""","""",INDEX(SPLIT(A4724,"" ""),COUNTA(SPLIT(A4724,"" ""))))"),"Vico")</f>
        <v>Vico</v>
      </c>
      <c r="C4724" s="6"/>
      <c r="D4724" s="6" t="s">
        <v>4770</v>
      </c>
      <c r="E4724" s="13" t="s">
        <v>4771</v>
      </c>
    </row>
    <row r="4725">
      <c r="A4725" s="4" t="s">
        <v>4790</v>
      </c>
      <c r="B4725" s="5" t="str">
        <f>IFERROR(__xludf.DUMMYFUNCTION("IF(A4725="""","""",INDEX(SPLIT(A4725,"" ""),COUNTA(SPLIT(A4725,"" ""))))"),"Todina")</f>
        <v>Todina</v>
      </c>
      <c r="C4725" s="6"/>
      <c r="D4725" s="6" t="s">
        <v>4770</v>
      </c>
      <c r="E4725" s="13" t="s">
        <v>4771</v>
      </c>
    </row>
    <row r="4726">
      <c r="A4726" s="4" t="s">
        <v>4791</v>
      </c>
      <c r="B4726" s="5" t="str">
        <f>IFERROR(__xludf.DUMMYFUNCTION("IF(A4726="""","""",INDEX(SPLIT(A4726,"" ""),COUNTA(SPLIT(A4726,"" ""))))"),"dell'Umbria")</f>
        <v>dell'Umbria</v>
      </c>
      <c r="C4726" s="6"/>
      <c r="D4726" s="6" t="s">
        <v>4770</v>
      </c>
      <c r="E4726" s="13" t="s">
        <v>4771</v>
      </c>
    </row>
    <row r="4727">
      <c r="A4727" s="4" t="s">
        <v>4792</v>
      </c>
      <c r="B4727" s="5" t="str">
        <f>IFERROR(__xludf.DUMMYFUNCTION("IF(A4727="""","""",INDEX(SPLIT(A4727,"" ""),COUNTA(SPLIT(A4727,"" ""))))"),"Cattaneo")</f>
        <v>Cattaneo</v>
      </c>
      <c r="C4727" s="6"/>
      <c r="D4727" s="6" t="s">
        <v>4770</v>
      </c>
      <c r="E4727" s="13" t="s">
        <v>4771</v>
      </c>
    </row>
    <row r="4728">
      <c r="A4728" s="4" t="s">
        <v>4793</v>
      </c>
      <c r="B4728" s="5" t="str">
        <f>IFERROR(__xludf.DUMMYFUNCTION("IF(A4728="""","""",INDEX(SPLIT(A4728,"" ""),COUNTA(SPLIT(A4728,"" ""))))"),"Tadino")</f>
        <v>Tadino</v>
      </c>
      <c r="C4728" s="6"/>
      <c r="D4728" s="6" t="s">
        <v>4770</v>
      </c>
      <c r="E4728" s="13" t="s">
        <v>4771</v>
      </c>
    </row>
    <row r="4729">
      <c r="A4729" s="4" t="s">
        <v>4794</v>
      </c>
      <c r="B4729" s="5" t="str">
        <f>IFERROR(__xludf.DUMMYFUNCTION("IF(A4729="""","""",INDEX(SPLIT(A4729,"" ""),COUNTA(SPLIT(A4729,"" ""))))"),"Gubbio")</f>
        <v>Gubbio</v>
      </c>
      <c r="C4729" s="6"/>
      <c r="D4729" s="6" t="s">
        <v>4770</v>
      </c>
      <c r="E4729" s="13" t="s">
        <v>4771</v>
      </c>
    </row>
    <row r="4730">
      <c r="A4730" s="4" t="s">
        <v>4795</v>
      </c>
      <c r="B4730" s="5" t="str">
        <f>IFERROR(__xludf.DUMMYFUNCTION("IF(A4730="""","""",INDEX(SPLIT(A4730,"" ""),COUNTA(SPLIT(A4730,"" ""))))"),"Niccone")</f>
        <v>Niccone</v>
      </c>
      <c r="C4730" s="6"/>
      <c r="D4730" s="6" t="s">
        <v>4770</v>
      </c>
      <c r="E4730" s="13" t="s">
        <v>4771</v>
      </c>
    </row>
    <row r="4731">
      <c r="A4731" s="4" t="s">
        <v>4796</v>
      </c>
      <c r="B4731" s="5" t="str">
        <f>IFERROR(__xludf.DUMMYFUNCTION("IF(A4731="""","""",INDEX(SPLIT(A4731,"" ""),COUNTA(SPLIT(A4731,"" ""))))"),"Magione")</f>
        <v>Magione</v>
      </c>
      <c r="C4731" s="6"/>
      <c r="D4731" s="6" t="s">
        <v>4770</v>
      </c>
      <c r="E4731" s="13" t="s">
        <v>4771</v>
      </c>
    </row>
    <row r="4732">
      <c r="A4732" s="4" t="s">
        <v>4797</v>
      </c>
      <c r="B4732" s="5" t="str">
        <f>IFERROR(__xludf.DUMMYFUNCTION("IF(A4732="""","""",INDEX(SPLIT(A4732,"" ""),COUNTA(SPLIT(A4732,"" ""))))"),"Marsciano")</f>
        <v>Marsciano</v>
      </c>
      <c r="C4732" s="6"/>
      <c r="D4732" s="6" t="s">
        <v>4770</v>
      </c>
      <c r="E4732" s="13" t="s">
        <v>4771</v>
      </c>
    </row>
    <row r="4733">
      <c r="A4733" s="4" t="s">
        <v>4798</v>
      </c>
      <c r="B4733" s="5" t="str">
        <f>IFERROR(__xludf.DUMMYFUNCTION("IF(A4733="""","""",INDEX(SPLIT(A4733,"" ""),COUNTA(SPLIT(A4733,"" ""))))"),"Martana")</f>
        <v>Martana</v>
      </c>
      <c r="C4733" s="6"/>
      <c r="D4733" s="6" t="s">
        <v>4770</v>
      </c>
      <c r="E4733" s="13" t="s">
        <v>4771</v>
      </c>
    </row>
    <row r="4734">
      <c r="A4734" s="4" t="s">
        <v>4799</v>
      </c>
      <c r="B4734" s="5" t="str">
        <f>IFERROR(__xludf.DUMMYFUNCTION("IF(A4734="""","""",INDEX(SPLIT(A4734,"" ""),COUNTA(SPLIT(A4734,"" ""))))"),"Vibio")</f>
        <v>Vibio</v>
      </c>
      <c r="C4734" s="6"/>
      <c r="D4734" s="6" t="s">
        <v>4770</v>
      </c>
      <c r="E4734" s="13" t="s">
        <v>4771</v>
      </c>
    </row>
    <row r="4735">
      <c r="A4735" s="4" t="s">
        <v>4800</v>
      </c>
      <c r="B4735" s="5" t="str">
        <f>IFERROR(__xludf.DUMMYFUNCTION("IF(A4735="""","""",INDEX(SPLIT(A4735,"" ""),COUNTA(SPLIT(A4735,"" ""))))"),"Montefalco")</f>
        <v>Montefalco</v>
      </c>
      <c r="C4735" s="6"/>
      <c r="D4735" s="6" t="s">
        <v>4770</v>
      </c>
      <c r="E4735" s="13" t="s">
        <v>4771</v>
      </c>
    </row>
    <row r="4736">
      <c r="A4736" s="4" t="s">
        <v>4801</v>
      </c>
      <c r="B4736" s="5" t="str">
        <f>IFERROR(__xludf.DUMMYFUNCTION("IF(A4736="""","""",INDEX(SPLIT(A4736,"" ""),COUNTA(SPLIT(A4736,"" ""))))"),"Spoleto")</f>
        <v>Spoleto</v>
      </c>
      <c r="C4736" s="6"/>
      <c r="D4736" s="6" t="s">
        <v>4770</v>
      </c>
      <c r="E4736" s="13" t="s">
        <v>4771</v>
      </c>
    </row>
    <row r="4737">
      <c r="A4737" s="4" t="s">
        <v>4802</v>
      </c>
      <c r="B4737" s="5" t="str">
        <f>IFERROR(__xludf.DUMMYFUNCTION("IF(A4737="""","""",INDEX(SPLIT(A4737,"" ""),COUNTA(SPLIT(A4737,"" ""))))"),"Tiberina")</f>
        <v>Tiberina</v>
      </c>
      <c r="C4737" s="6"/>
      <c r="D4737" s="6" t="s">
        <v>4770</v>
      </c>
      <c r="E4737" s="13" t="s">
        <v>4771</v>
      </c>
    </row>
    <row r="4738">
      <c r="A4738" s="4" t="s">
        <v>4803</v>
      </c>
      <c r="B4738" s="5" t="str">
        <f>IFERROR(__xludf.DUMMYFUNCTION("IF(A4738="""","""",INDEX(SPLIT(A4738,"" ""),COUNTA(SPLIT(A4738,"" ""))))"),"Montone")</f>
        <v>Montone</v>
      </c>
      <c r="C4738" s="6"/>
      <c r="D4738" s="6" t="s">
        <v>4770</v>
      </c>
      <c r="E4738" s="13" t="s">
        <v>4771</v>
      </c>
    </row>
    <row r="4739">
      <c r="A4739" s="4" t="s">
        <v>4804</v>
      </c>
      <c r="B4739" s="5" t="str">
        <f>IFERROR(__xludf.DUMMYFUNCTION("IF(A4739="""","""",INDEX(SPLIT(A4739,"" ""),COUNTA(SPLIT(A4739,"" ""))))"),"Umbra")</f>
        <v>Umbra</v>
      </c>
      <c r="C4739" s="6"/>
      <c r="D4739" s="6" t="s">
        <v>4770</v>
      </c>
      <c r="E4739" s="13" t="s">
        <v>4771</v>
      </c>
    </row>
    <row r="4740">
      <c r="A4740" s="4" t="s">
        <v>4805</v>
      </c>
      <c r="B4740" s="5" t="str">
        <f>IFERROR(__xludf.DUMMYFUNCTION("IF(A4740="""","""",INDEX(SPLIT(A4740,"" ""),COUNTA(SPLIT(A4740,"" ""))))"),"Norcia")</f>
        <v>Norcia</v>
      </c>
      <c r="C4740" s="6"/>
      <c r="D4740" s="6" t="s">
        <v>4770</v>
      </c>
      <c r="E4740" s="13" t="s">
        <v>4771</v>
      </c>
    </row>
    <row r="4741">
      <c r="A4741" s="4" t="s">
        <v>4806</v>
      </c>
      <c r="B4741" s="5" t="str">
        <f>IFERROR(__xludf.DUMMYFUNCTION("IF(A4741="""","""",INDEX(SPLIT(A4741,"" ""),COUNTA(SPLIT(A4741,"" ""))))"),"Paciano")</f>
        <v>Paciano</v>
      </c>
      <c r="C4741" s="6"/>
      <c r="D4741" s="6" t="s">
        <v>4770</v>
      </c>
      <c r="E4741" s="13" t="s">
        <v>4771</v>
      </c>
    </row>
    <row r="4742">
      <c r="A4742" s="4" t="s">
        <v>4807</v>
      </c>
      <c r="B4742" s="5" t="str">
        <f>IFERROR(__xludf.DUMMYFUNCTION("IF(A4742="""","""",INDEX(SPLIT(A4742,"" ""),COUNTA(SPLIT(A4742,"" ""))))"),"Panicale")</f>
        <v>Panicale</v>
      </c>
      <c r="C4742" s="6"/>
      <c r="D4742" s="6" t="s">
        <v>4770</v>
      </c>
      <c r="E4742" s="13" t="s">
        <v>4771</v>
      </c>
    </row>
    <row r="4743">
      <c r="A4743" s="4" t="s">
        <v>4808</v>
      </c>
      <c r="B4743" s="5" t="str">
        <f>IFERROR(__xludf.DUMMYFUNCTION("IF(A4743="""","""",INDEX(SPLIT(A4743,"" ""),COUNTA(SPLIT(A4743,"" ""))))"),"Trasimeno")</f>
        <v>Trasimeno</v>
      </c>
      <c r="C4743" s="6"/>
      <c r="D4743" s="6" t="s">
        <v>4770</v>
      </c>
      <c r="E4743" s="13" t="s">
        <v>4771</v>
      </c>
    </row>
    <row r="4744">
      <c r="A4744" s="4" t="s">
        <v>4770</v>
      </c>
      <c r="B4744" s="5" t="str">
        <f>IFERROR(__xludf.DUMMYFUNCTION("IF(A4744="""","""",INDEX(SPLIT(A4744,"" ""),COUNTA(SPLIT(A4744,"" ""))))"),"Perugia")</f>
        <v>Perugia</v>
      </c>
      <c r="C4744" s="6"/>
      <c r="D4744" s="6" t="s">
        <v>4770</v>
      </c>
      <c r="E4744" s="13" t="s">
        <v>4771</v>
      </c>
    </row>
    <row r="4745">
      <c r="A4745" s="4" t="s">
        <v>4809</v>
      </c>
      <c r="B4745" s="5" t="str">
        <f>IFERROR(__xludf.DUMMYFUNCTION("IF(A4745="""","""",INDEX(SPLIT(A4745,"" ""),COUNTA(SPLIT(A4745,"" ""))))"),"Piegaro")</f>
        <v>Piegaro</v>
      </c>
      <c r="C4745" s="6"/>
      <c r="D4745" s="6" t="s">
        <v>4770</v>
      </c>
      <c r="E4745" s="13" t="s">
        <v>4771</v>
      </c>
    </row>
    <row r="4746">
      <c r="A4746" s="4" t="s">
        <v>4810</v>
      </c>
      <c r="B4746" s="5" t="str">
        <f>IFERROR(__xludf.DUMMYFUNCTION("IF(A4746="""","""",INDEX(SPLIT(A4746,"" ""),COUNTA(SPLIT(A4746,"" ""))))"),"Pietralunga")</f>
        <v>Pietralunga</v>
      </c>
      <c r="C4746" s="6"/>
      <c r="D4746" s="6" t="s">
        <v>4770</v>
      </c>
      <c r="E4746" s="13" t="s">
        <v>4771</v>
      </c>
    </row>
    <row r="4747">
      <c r="A4747" s="4" t="s">
        <v>4811</v>
      </c>
      <c r="B4747" s="5" t="str">
        <f>IFERROR(__xludf.DUMMYFUNCTION("IF(A4747="""","""",INDEX(SPLIT(A4747,"" ""),COUNTA(SPLIT(A4747,"" ""))))"),"Poggiodomo")</f>
        <v>Poggiodomo</v>
      </c>
      <c r="C4747" s="6"/>
      <c r="D4747" s="6" t="s">
        <v>4770</v>
      </c>
      <c r="E4747" s="13" t="s">
        <v>4771</v>
      </c>
    </row>
    <row r="4748">
      <c r="A4748" s="4" t="s">
        <v>4812</v>
      </c>
      <c r="B4748" s="5" t="str">
        <f>IFERROR(__xludf.DUMMYFUNCTION("IF(A4748="""","""",INDEX(SPLIT(A4748,"" ""),COUNTA(SPLIT(A4748,"" ""))))"),"Preci")</f>
        <v>Preci</v>
      </c>
      <c r="C4748" s="6"/>
      <c r="D4748" s="6" t="s">
        <v>4770</v>
      </c>
      <c r="E4748" s="13" t="s">
        <v>4771</v>
      </c>
    </row>
    <row r="4749">
      <c r="A4749" s="4" t="s">
        <v>4813</v>
      </c>
      <c r="B4749" s="5" t="str">
        <f>IFERROR(__xludf.DUMMYFUNCTION("IF(A4749="""","""",INDEX(SPLIT(A4749,"" ""),COUNTA(SPLIT(A4749,"" ""))))"),"Giustino")</f>
        <v>Giustino</v>
      </c>
      <c r="C4749" s="6"/>
      <c r="D4749" s="6" t="s">
        <v>4770</v>
      </c>
      <c r="E4749" s="13" t="s">
        <v>4771</v>
      </c>
    </row>
    <row r="4750">
      <c r="A4750" s="4" t="s">
        <v>4814</v>
      </c>
      <c r="B4750" s="5" t="str">
        <f>IFERROR(__xludf.DUMMYFUNCTION("IF(A4750="""","""",INDEX(SPLIT(A4750,"" ""),COUNTA(SPLIT(A4750,"" ""))))"),"Narco")</f>
        <v>Narco</v>
      </c>
      <c r="C4750" s="6"/>
      <c r="D4750" s="6" t="s">
        <v>4770</v>
      </c>
      <c r="E4750" s="13" t="s">
        <v>4771</v>
      </c>
    </row>
    <row r="4751">
      <c r="A4751" s="4" t="s">
        <v>4815</v>
      </c>
      <c r="B4751" s="5" t="str">
        <f>IFERROR(__xludf.DUMMYFUNCTION("IF(A4751="""","""",INDEX(SPLIT(A4751,"" ""),COUNTA(SPLIT(A4751,"" ""))))"),"Pascelupo")</f>
        <v>Pascelupo</v>
      </c>
      <c r="C4751" s="6"/>
      <c r="D4751" s="6" t="s">
        <v>4770</v>
      </c>
      <c r="E4751" s="13" t="s">
        <v>4771</v>
      </c>
    </row>
    <row r="4752">
      <c r="A4752" s="4" t="s">
        <v>4816</v>
      </c>
      <c r="B4752" s="5" t="str">
        <f>IFERROR(__xludf.DUMMYFUNCTION("IF(A4752="""","""",INDEX(SPLIT(A4752,"" ""),COUNTA(SPLIT(A4752,"" ""))))"),"Scheggino")</f>
        <v>Scheggino</v>
      </c>
      <c r="C4752" s="6"/>
      <c r="D4752" s="6" t="s">
        <v>4770</v>
      </c>
      <c r="E4752" s="13" t="s">
        <v>4771</v>
      </c>
    </row>
    <row r="4753">
      <c r="A4753" s="4" t="s">
        <v>4817</v>
      </c>
      <c r="B4753" s="5" t="str">
        <f>IFERROR(__xludf.DUMMYFUNCTION("IF(A4753="""","""",INDEX(SPLIT(A4753,"" ""),COUNTA(SPLIT(A4753,"" ""))))"),"Sellano")</f>
        <v>Sellano</v>
      </c>
      <c r="C4753" s="6"/>
      <c r="D4753" s="6" t="s">
        <v>4770</v>
      </c>
      <c r="E4753" s="13" t="s">
        <v>4771</v>
      </c>
    </row>
    <row r="4754">
      <c r="A4754" s="4" t="s">
        <v>4818</v>
      </c>
      <c r="B4754" s="5" t="str">
        <f>IFERROR(__xludf.DUMMYFUNCTION("IF(A4754="""","""",INDEX(SPLIT(A4754,"" ""),COUNTA(SPLIT(A4754,"" ""))))"),"Sigillo")</f>
        <v>Sigillo</v>
      </c>
      <c r="C4754" s="6"/>
      <c r="D4754" s="6" t="s">
        <v>4770</v>
      </c>
      <c r="E4754" s="13" t="s">
        <v>4771</v>
      </c>
    </row>
    <row r="4755">
      <c r="A4755" s="4" t="s">
        <v>4819</v>
      </c>
      <c r="B4755" s="5" t="str">
        <f>IFERROR(__xludf.DUMMYFUNCTION("IF(A4755="""","""",INDEX(SPLIT(A4755,"" ""),COUNTA(SPLIT(A4755,"" ""))))"),"Spello")</f>
        <v>Spello</v>
      </c>
      <c r="C4755" s="6"/>
      <c r="D4755" s="6" t="s">
        <v>4770</v>
      </c>
      <c r="E4755" s="13" t="s">
        <v>4771</v>
      </c>
    </row>
    <row r="4756">
      <c r="A4756" s="4" t="s">
        <v>4820</v>
      </c>
      <c r="B4756" s="5" t="str">
        <f>IFERROR(__xludf.DUMMYFUNCTION("IF(A4756="""","""",INDEX(SPLIT(A4756,"" ""),COUNTA(SPLIT(A4756,"" ""))))"),"Spoleto")</f>
        <v>Spoleto</v>
      </c>
      <c r="C4756" s="6"/>
      <c r="D4756" s="6" t="s">
        <v>4770</v>
      </c>
      <c r="E4756" s="13" t="s">
        <v>4771</v>
      </c>
    </row>
    <row r="4757">
      <c r="A4757" s="4" t="s">
        <v>4821</v>
      </c>
      <c r="B4757" s="5" t="str">
        <f>IFERROR(__xludf.DUMMYFUNCTION("IF(A4757="""","""",INDEX(SPLIT(A4757,"" ""),COUNTA(SPLIT(A4757,"" ""))))"),"Todi")</f>
        <v>Todi</v>
      </c>
      <c r="C4757" s="6"/>
      <c r="D4757" s="6" t="s">
        <v>4770</v>
      </c>
      <c r="E4757" s="13" t="s">
        <v>4771</v>
      </c>
    </row>
    <row r="4758">
      <c r="A4758" s="4" t="s">
        <v>4822</v>
      </c>
      <c r="B4758" s="5" t="str">
        <f>IFERROR(__xludf.DUMMYFUNCTION("IF(A4758="""","""",INDEX(SPLIT(A4758,"" ""),COUNTA(SPLIT(A4758,"" ""))))"),"Torgiano")</f>
        <v>Torgiano</v>
      </c>
      <c r="C4758" s="6"/>
      <c r="D4758" s="6" t="s">
        <v>4770</v>
      </c>
      <c r="E4758" s="13" t="s">
        <v>4771</v>
      </c>
    </row>
    <row r="4759">
      <c r="A4759" s="4" t="s">
        <v>4823</v>
      </c>
      <c r="B4759" s="5" t="str">
        <f>IFERROR(__xludf.DUMMYFUNCTION("IF(A4759="""","""",INDEX(SPLIT(A4759,"" ""),COUNTA(SPLIT(A4759,"" ""))))"),"Trevi")</f>
        <v>Trevi</v>
      </c>
      <c r="C4759" s="6"/>
      <c r="D4759" s="6" t="s">
        <v>4770</v>
      </c>
      <c r="E4759" s="13" t="s">
        <v>4771</v>
      </c>
    </row>
    <row r="4760">
      <c r="A4760" s="4" t="s">
        <v>4824</v>
      </c>
      <c r="B4760" s="5" t="str">
        <f>IFERROR(__xludf.DUMMYFUNCTION("IF(A4760="""","""",INDEX(SPLIT(A4760,"" ""),COUNTA(SPLIT(A4760,"" ""))))"),"Trasimeno")</f>
        <v>Trasimeno</v>
      </c>
      <c r="C4760" s="6"/>
      <c r="D4760" s="6" t="s">
        <v>4770</v>
      </c>
      <c r="E4760" s="13" t="s">
        <v>4771</v>
      </c>
    </row>
    <row r="4761">
      <c r="A4761" s="4" t="s">
        <v>4825</v>
      </c>
      <c r="B4761" s="5" t="str">
        <f>IFERROR(__xludf.DUMMYFUNCTION("IF(A4761="""","""",INDEX(SPLIT(A4761,"" ""),COUNTA(SPLIT(A4761,"" ""))))"),"Umbertide")</f>
        <v>Umbertide</v>
      </c>
      <c r="C4761" s="6"/>
      <c r="D4761" s="6" t="s">
        <v>4770</v>
      </c>
      <c r="E4761" s="13" t="s">
        <v>4771</v>
      </c>
    </row>
    <row r="4762">
      <c r="A4762" s="4" t="s">
        <v>4826</v>
      </c>
      <c r="B4762" s="5" t="str">
        <f>IFERROR(__xludf.DUMMYFUNCTION("IF(A4762="""","""",INDEX(SPLIT(A4762,"" ""),COUNTA(SPLIT(A4762,"" ""))))"),"Valfabbrica")</f>
        <v>Valfabbrica</v>
      </c>
      <c r="C4762" s="6"/>
      <c r="D4762" s="6" t="s">
        <v>4770</v>
      </c>
      <c r="E4762" s="13" t="s">
        <v>4771</v>
      </c>
    </row>
    <row r="4763">
      <c r="A4763" s="4" t="s">
        <v>4827</v>
      </c>
      <c r="B4763" s="5" t="str">
        <f>IFERROR(__xludf.DUMMYFUNCTION("IF(A4763="""","""",INDEX(SPLIT(A4763,"" ""),COUNTA(SPLIT(A4763,"" ""))))"),"Nera")</f>
        <v>Nera</v>
      </c>
      <c r="C4763" s="6"/>
      <c r="D4763" s="6" t="s">
        <v>4770</v>
      </c>
      <c r="E4763" s="13" t="s">
        <v>4771</v>
      </c>
    </row>
    <row r="4764">
      <c r="A4764" s="4" t="s">
        <v>4828</v>
      </c>
      <c r="B4764" s="5" t="str">
        <f>IFERROR(__xludf.DUMMYFUNCTION("IF(A4764="""","""",INDEX(SPLIT(A4764,"" ""),COUNTA(SPLIT(A4764,"" ""))))"),"Valtopina")</f>
        <v>Valtopina</v>
      </c>
      <c r="C4764" s="6"/>
      <c r="D4764" s="6" t="s">
        <v>4770</v>
      </c>
      <c r="E4764" s="13" t="s">
        <v>4771</v>
      </c>
    </row>
    <row r="4765">
      <c r="A4765" s="4" t="s">
        <v>4829</v>
      </c>
      <c r="B4765" s="5" t="str">
        <f>IFERROR(__xludf.DUMMYFUNCTION("IF(A4765="""","""",INDEX(SPLIT(A4765,"" ""),COUNTA(SPLIT(A4765,"" ""))))"),"Acquasparta")</f>
        <v>Acquasparta</v>
      </c>
      <c r="C4765" s="6"/>
      <c r="D4765" s="6" t="s">
        <v>4830</v>
      </c>
      <c r="E4765" s="13" t="s">
        <v>4831</v>
      </c>
    </row>
    <row r="4766">
      <c r="A4766" s="4" t="s">
        <v>4832</v>
      </c>
      <c r="B4766" s="5" t="str">
        <f>IFERROR(__xludf.DUMMYFUNCTION("IF(A4766="""","""",INDEX(SPLIT(A4766,"" ""),COUNTA(SPLIT(A4766,"" ""))))"),"Allerona")</f>
        <v>Allerona</v>
      </c>
      <c r="C4766" s="6"/>
      <c r="D4766" s="6" t="s">
        <v>4830</v>
      </c>
      <c r="E4766" s="13" t="s">
        <v>4831</v>
      </c>
    </row>
    <row r="4767">
      <c r="A4767" s="4" t="s">
        <v>4833</v>
      </c>
      <c r="B4767" s="5" t="str">
        <f>IFERROR(__xludf.DUMMYFUNCTION("IF(A4767="""","""",INDEX(SPLIT(A4767,"" ""),COUNTA(SPLIT(A4767,"" ""))))"),"Alviano")</f>
        <v>Alviano</v>
      </c>
      <c r="C4767" s="6"/>
      <c r="D4767" s="6" t="s">
        <v>4830</v>
      </c>
      <c r="E4767" s="13" t="s">
        <v>4831</v>
      </c>
    </row>
    <row r="4768">
      <c r="A4768" s="4" t="s">
        <v>4834</v>
      </c>
      <c r="B4768" s="5" t="str">
        <f>IFERROR(__xludf.DUMMYFUNCTION("IF(A4768="""","""",INDEX(SPLIT(A4768,"" ""),COUNTA(SPLIT(A4768,"" ""))))"),"Amelia")</f>
        <v>Amelia</v>
      </c>
      <c r="C4768" s="6"/>
      <c r="D4768" s="6" t="s">
        <v>4830</v>
      </c>
      <c r="E4768" s="13" t="s">
        <v>4831</v>
      </c>
    </row>
    <row r="4769">
      <c r="A4769" s="4" t="s">
        <v>4835</v>
      </c>
      <c r="B4769" s="5" t="str">
        <f>IFERROR(__xludf.DUMMYFUNCTION("IF(A4769="""","""",INDEX(SPLIT(A4769,"" ""),COUNTA(SPLIT(A4769,"" ""))))"),"Arrone")</f>
        <v>Arrone</v>
      </c>
      <c r="C4769" s="6"/>
      <c r="D4769" s="6" t="s">
        <v>4830</v>
      </c>
      <c r="E4769" s="13" t="s">
        <v>4831</v>
      </c>
    </row>
    <row r="4770">
      <c r="A4770" s="4" t="s">
        <v>4836</v>
      </c>
      <c r="B4770" s="5" t="str">
        <f>IFERROR(__xludf.DUMMYFUNCTION("IF(A4770="""","""",INDEX(SPLIT(A4770,"" ""),COUNTA(SPLIT(A4770,"" ""))))"),"Attigliano")</f>
        <v>Attigliano</v>
      </c>
      <c r="C4770" s="6"/>
      <c r="D4770" s="6" t="s">
        <v>4830</v>
      </c>
      <c r="E4770" s="13" t="s">
        <v>4831</v>
      </c>
    </row>
    <row r="4771">
      <c r="A4771" s="4" t="s">
        <v>4837</v>
      </c>
      <c r="B4771" s="5" t="str">
        <f>IFERROR(__xludf.DUMMYFUNCTION("IF(A4771="""","""",INDEX(SPLIT(A4771,"" ""),COUNTA(SPLIT(A4771,"" ""))))"),"Baschi")</f>
        <v>Baschi</v>
      </c>
      <c r="C4771" s="6"/>
      <c r="D4771" s="6" t="s">
        <v>4830</v>
      </c>
      <c r="E4771" s="13" t="s">
        <v>4831</v>
      </c>
    </row>
    <row r="4772">
      <c r="A4772" s="4" t="s">
        <v>4838</v>
      </c>
      <c r="B4772" s="5" t="str">
        <f>IFERROR(__xludf.DUMMYFUNCTION("IF(A4772="""","""",INDEX(SPLIT(A4772,"" ""),COUNTA(SPLIT(A4772,"" ""))))"),"dell'Umbria")</f>
        <v>dell'Umbria</v>
      </c>
      <c r="C4772" s="6"/>
      <c r="D4772" s="6" t="s">
        <v>4830</v>
      </c>
      <c r="E4772" s="13" t="s">
        <v>4831</v>
      </c>
    </row>
    <row r="4773">
      <c r="A4773" s="4" t="s">
        <v>4839</v>
      </c>
      <c r="B4773" s="5" t="str">
        <f>IFERROR(__xludf.DUMMYFUNCTION("IF(A4773="""","""",INDEX(SPLIT(A4773,"" ""),COUNTA(SPLIT(A4773,"" ""))))"),"Giorgio")</f>
        <v>Giorgio</v>
      </c>
      <c r="C4773" s="6"/>
      <c r="D4773" s="6" t="s">
        <v>4830</v>
      </c>
      <c r="E4773" s="13" t="s">
        <v>4831</v>
      </c>
    </row>
    <row r="4774">
      <c r="A4774" s="4" t="s">
        <v>4840</v>
      </c>
      <c r="B4774" s="5" t="str">
        <f>IFERROR(__xludf.DUMMYFUNCTION("IF(A4774="""","""",INDEX(SPLIT(A4774,"" ""),COUNTA(SPLIT(A4774,"" ""))))"),"Viscardo")</f>
        <v>Viscardo</v>
      </c>
      <c r="C4774" s="6"/>
      <c r="D4774" s="6" t="s">
        <v>4830</v>
      </c>
      <c r="E4774" s="13" t="s">
        <v>4831</v>
      </c>
    </row>
    <row r="4775">
      <c r="A4775" s="4" t="s">
        <v>4841</v>
      </c>
      <c r="B4775" s="5" t="str">
        <f>IFERROR(__xludf.DUMMYFUNCTION("IF(A4775="""","""",INDEX(SPLIT(A4775,"" ""),COUNTA(SPLIT(A4775,"" ""))))"),"Fabro")</f>
        <v>Fabro</v>
      </c>
      <c r="C4775" s="6"/>
      <c r="D4775" s="6" t="s">
        <v>4830</v>
      </c>
      <c r="E4775" s="13" t="s">
        <v>4831</v>
      </c>
    </row>
    <row r="4776">
      <c r="A4776" s="4" t="s">
        <v>4842</v>
      </c>
      <c r="B4776" s="5" t="str">
        <f>IFERROR(__xludf.DUMMYFUNCTION("IF(A4776="""","""",INDEX(SPLIT(A4776,"" ""),COUNTA(SPLIT(A4776,"" ""))))"),"Ferentillo")</f>
        <v>Ferentillo</v>
      </c>
      <c r="C4776" s="6"/>
      <c r="D4776" s="6" t="s">
        <v>4830</v>
      </c>
      <c r="E4776" s="13" t="s">
        <v>4831</v>
      </c>
    </row>
    <row r="4777">
      <c r="A4777" s="4" t="s">
        <v>4843</v>
      </c>
      <c r="B4777" s="5" t="str">
        <f>IFERROR(__xludf.DUMMYFUNCTION("IF(A4777="""","""",INDEX(SPLIT(A4777,"" ""),COUNTA(SPLIT(A4777,"" ""))))"),"Ficulle")</f>
        <v>Ficulle</v>
      </c>
      <c r="C4777" s="6"/>
      <c r="D4777" s="6" t="s">
        <v>4830</v>
      </c>
      <c r="E4777" s="13" t="s">
        <v>4831</v>
      </c>
    </row>
    <row r="4778">
      <c r="A4778" s="4" t="s">
        <v>4844</v>
      </c>
      <c r="B4778" s="5" t="str">
        <f>IFERROR(__xludf.DUMMYFUNCTION("IF(A4778="""","""",INDEX(SPLIT(A4778,"" ""),COUNTA(SPLIT(A4778,"" ""))))"),"Giove")</f>
        <v>Giove</v>
      </c>
      <c r="C4778" s="6"/>
      <c r="D4778" s="6" t="s">
        <v>4830</v>
      </c>
      <c r="E4778" s="13" t="s">
        <v>4831</v>
      </c>
    </row>
    <row r="4779">
      <c r="A4779" s="4" t="s">
        <v>4845</v>
      </c>
      <c r="B4779" s="5" t="str">
        <f>IFERROR(__xludf.DUMMYFUNCTION("IF(A4779="""","""",INDEX(SPLIT(A4779,"" ""),COUNTA(SPLIT(A4779,"" ""))))"),"Guardea")</f>
        <v>Guardea</v>
      </c>
      <c r="C4779" s="6"/>
      <c r="D4779" s="6" t="s">
        <v>4830</v>
      </c>
      <c r="E4779" s="13" t="s">
        <v>4831</v>
      </c>
    </row>
    <row r="4780">
      <c r="A4780" s="4" t="s">
        <v>4846</v>
      </c>
      <c r="B4780" s="5" t="str">
        <f>IFERROR(__xludf.DUMMYFUNCTION("IF(A4780="""","""",INDEX(SPLIT(A4780,"" ""),COUNTA(SPLIT(A4780,"" ""))))"),"Teverina")</f>
        <v>Teverina</v>
      </c>
      <c r="C4780" s="6"/>
      <c r="D4780" s="6" t="s">
        <v>4830</v>
      </c>
      <c r="E4780" s="13" t="s">
        <v>4831</v>
      </c>
    </row>
    <row r="4781">
      <c r="A4781" s="4" t="s">
        <v>4847</v>
      </c>
      <c r="B4781" s="5" t="str">
        <f>IFERROR(__xludf.DUMMYFUNCTION("IF(A4781="""","""",INDEX(SPLIT(A4781,"" ""),COUNTA(SPLIT(A4781,"" ""))))"),"Montecastrilli")</f>
        <v>Montecastrilli</v>
      </c>
      <c r="C4781" s="6"/>
      <c r="D4781" s="6" t="s">
        <v>4830</v>
      </c>
      <c r="E4781" s="13" t="s">
        <v>4831</v>
      </c>
    </row>
    <row r="4782">
      <c r="A4782" s="4" t="s">
        <v>4848</v>
      </c>
      <c r="B4782" s="5" t="str">
        <f>IFERROR(__xludf.DUMMYFUNCTION("IF(A4782="""","""",INDEX(SPLIT(A4782,"" ""),COUNTA(SPLIT(A4782,"" ""))))"),"Montecchio")</f>
        <v>Montecchio</v>
      </c>
      <c r="C4782" s="6"/>
      <c r="D4782" s="6" t="s">
        <v>4830</v>
      </c>
      <c r="E4782" s="13" t="s">
        <v>4831</v>
      </c>
    </row>
    <row r="4783">
      <c r="A4783" s="4" t="s">
        <v>4849</v>
      </c>
      <c r="B4783" s="5" t="str">
        <f>IFERROR(__xludf.DUMMYFUNCTION("IF(A4783="""","""",INDEX(SPLIT(A4783,"" ""),COUNTA(SPLIT(A4783,"" ""))))"),"Montefranco")</f>
        <v>Montefranco</v>
      </c>
      <c r="C4783" s="6"/>
      <c r="D4783" s="6" t="s">
        <v>4830</v>
      </c>
      <c r="E4783" s="13" t="s">
        <v>4831</v>
      </c>
    </row>
    <row r="4784">
      <c r="A4784" s="4" t="s">
        <v>4850</v>
      </c>
      <c r="B4784" s="5" t="str">
        <f>IFERROR(__xludf.DUMMYFUNCTION("IF(A4784="""","""",INDEX(SPLIT(A4784,"" ""),COUNTA(SPLIT(A4784,"" ""))))"),"Montegabbione")</f>
        <v>Montegabbione</v>
      </c>
      <c r="C4784" s="6"/>
      <c r="D4784" s="6" t="s">
        <v>4830</v>
      </c>
      <c r="E4784" s="13" t="s">
        <v>4831</v>
      </c>
    </row>
    <row r="4785">
      <c r="A4785" s="4" t="s">
        <v>4851</v>
      </c>
      <c r="B4785" s="5" t="str">
        <f>IFERROR(__xludf.DUMMYFUNCTION("IF(A4785="""","""",INDEX(SPLIT(A4785,"" ""),COUNTA(SPLIT(A4785,"" ""))))"),"d'Orvieto")</f>
        <v>d'Orvieto</v>
      </c>
      <c r="C4785" s="6"/>
      <c r="D4785" s="6" t="s">
        <v>4830</v>
      </c>
      <c r="E4785" s="13" t="s">
        <v>4831</v>
      </c>
    </row>
    <row r="4786">
      <c r="A4786" s="4" t="s">
        <v>4852</v>
      </c>
      <c r="B4786" s="5" t="str">
        <f>IFERROR(__xludf.DUMMYFUNCTION("IF(A4786="""","""",INDEX(SPLIT(A4786,"" ""),COUNTA(SPLIT(A4786,"" ""))))"),"Narni")</f>
        <v>Narni</v>
      </c>
      <c r="C4786" s="6"/>
      <c r="D4786" s="6" t="s">
        <v>4830</v>
      </c>
      <c r="E4786" s="13" t="s">
        <v>4831</v>
      </c>
    </row>
    <row r="4787">
      <c r="A4787" s="4" t="s">
        <v>4853</v>
      </c>
      <c r="B4787" s="5" t="str">
        <f>IFERROR(__xludf.DUMMYFUNCTION("IF(A4787="""","""",INDEX(SPLIT(A4787,"" ""),COUNTA(SPLIT(A4787,"" ""))))"),"Orvieto")</f>
        <v>Orvieto</v>
      </c>
      <c r="C4787" s="6"/>
      <c r="D4787" s="6" t="s">
        <v>4830</v>
      </c>
      <c r="E4787" s="13" t="s">
        <v>4831</v>
      </c>
    </row>
    <row r="4788">
      <c r="A4788" s="4" t="s">
        <v>4854</v>
      </c>
      <c r="B4788" s="5" t="str">
        <f>IFERROR(__xludf.DUMMYFUNCTION("IF(A4788="""","""",INDEX(SPLIT(A4788,"" ""),COUNTA(SPLIT(A4788,"" ""))))"),"Otricoli")</f>
        <v>Otricoli</v>
      </c>
      <c r="C4788" s="6"/>
      <c r="D4788" s="6" t="s">
        <v>4830</v>
      </c>
      <c r="E4788" s="13" t="s">
        <v>4831</v>
      </c>
    </row>
    <row r="4789">
      <c r="A4789" s="4" t="s">
        <v>4855</v>
      </c>
      <c r="B4789" s="5" t="str">
        <f>IFERROR(__xludf.DUMMYFUNCTION("IF(A4789="""","""",INDEX(SPLIT(A4789,"" ""),COUNTA(SPLIT(A4789,"" ""))))"),"Parrano")</f>
        <v>Parrano</v>
      </c>
      <c r="C4789" s="6"/>
      <c r="D4789" s="6" t="s">
        <v>4830</v>
      </c>
      <c r="E4789" s="13" t="s">
        <v>4831</v>
      </c>
    </row>
    <row r="4790">
      <c r="A4790" s="4" t="s">
        <v>4856</v>
      </c>
      <c r="B4790" s="5" t="str">
        <f>IFERROR(__xludf.DUMMYFUNCTION("IF(A4790="""","""",INDEX(SPLIT(A4790,"" ""),COUNTA(SPLIT(A4790,"" ""))))"),"Teverina")</f>
        <v>Teverina</v>
      </c>
      <c r="C4790" s="6"/>
      <c r="D4790" s="6" t="s">
        <v>4830</v>
      </c>
      <c r="E4790" s="13" t="s">
        <v>4831</v>
      </c>
    </row>
    <row r="4791">
      <c r="A4791" s="4" t="s">
        <v>4857</v>
      </c>
      <c r="B4791" s="5" t="str">
        <f>IFERROR(__xludf.DUMMYFUNCTION("IF(A4791="""","""",INDEX(SPLIT(A4791,"" ""),COUNTA(SPLIT(A4791,"" ""))))"),"Polino")</f>
        <v>Polino</v>
      </c>
      <c r="C4791" s="6"/>
      <c r="D4791" s="6" t="s">
        <v>4830</v>
      </c>
      <c r="E4791" s="13" t="s">
        <v>4831</v>
      </c>
    </row>
    <row r="4792">
      <c r="A4792" s="4" t="s">
        <v>4858</v>
      </c>
      <c r="B4792" s="5" t="str">
        <f>IFERROR(__xludf.DUMMYFUNCTION("IF(A4792="""","""",INDEX(SPLIT(A4792,"" ""),COUNTA(SPLIT(A4792,"" ""))))"),"Porano")</f>
        <v>Porano</v>
      </c>
      <c r="C4792" s="6"/>
      <c r="D4792" s="6" t="s">
        <v>4830</v>
      </c>
      <c r="E4792" s="13" t="s">
        <v>4831</v>
      </c>
    </row>
    <row r="4793">
      <c r="A4793" s="4" t="s">
        <v>4859</v>
      </c>
      <c r="B4793" s="5" t="str">
        <f>IFERROR(__xludf.DUMMYFUNCTION("IF(A4793="""","""",INDEX(SPLIT(A4793,"" ""),COUNTA(SPLIT(A4793,"" ""))))"),"Gemini")</f>
        <v>Gemini</v>
      </c>
      <c r="C4793" s="6"/>
      <c r="D4793" s="6" t="s">
        <v>4830</v>
      </c>
      <c r="E4793" s="13" t="s">
        <v>4831</v>
      </c>
    </row>
    <row r="4794">
      <c r="A4794" s="4" t="s">
        <v>4860</v>
      </c>
      <c r="B4794" s="5" t="str">
        <f>IFERROR(__xludf.DUMMYFUNCTION("IF(A4794="""","""",INDEX(SPLIT(A4794,"" ""),COUNTA(SPLIT(A4794,"" ""))))"),"Venanzo")</f>
        <v>Venanzo</v>
      </c>
      <c r="C4794" s="6"/>
      <c r="D4794" s="6" t="s">
        <v>4830</v>
      </c>
      <c r="E4794" s="13" t="s">
        <v>4831</v>
      </c>
    </row>
    <row r="4795">
      <c r="A4795" s="4" t="s">
        <v>4861</v>
      </c>
      <c r="B4795" s="5" t="str">
        <f>IFERROR(__xludf.DUMMYFUNCTION("IF(A4795="""","""",INDEX(SPLIT(A4795,"" ""),COUNTA(SPLIT(A4795,"" ""))))"),"Stroncone")</f>
        <v>Stroncone</v>
      </c>
      <c r="C4795" s="6"/>
      <c r="D4795" s="6" t="s">
        <v>4830</v>
      </c>
      <c r="E4795" s="13" t="s">
        <v>4831</v>
      </c>
    </row>
    <row r="4796">
      <c r="A4796" s="4" t="s">
        <v>4830</v>
      </c>
      <c r="B4796" s="5" t="str">
        <f>IFERROR(__xludf.DUMMYFUNCTION("IF(A4796="""","""",INDEX(SPLIT(A4796,"" ""),COUNTA(SPLIT(A4796,"" ""))))"),"Terni")</f>
        <v>Terni</v>
      </c>
      <c r="C4796" s="6"/>
      <c r="D4796" s="6" t="s">
        <v>4830</v>
      </c>
      <c r="E4796" s="13" t="s">
        <v>4831</v>
      </c>
    </row>
    <row r="4797">
      <c r="A4797" s="4" t="s">
        <v>4862</v>
      </c>
      <c r="B4797" s="5" t="str">
        <f>IFERROR(__xludf.DUMMYFUNCTION("IF(A4797="""","""",INDEX(SPLIT(A4797,"" ""),COUNTA(SPLIT(A4797,"" ""))))"),"Umbro")</f>
        <v>Umbro</v>
      </c>
      <c r="C4797" s="6"/>
      <c r="D4797" s="6" t="s">
        <v>4830</v>
      </c>
      <c r="E4797" s="13" t="s">
        <v>4831</v>
      </c>
    </row>
    <row r="4798">
      <c r="A4798" s="4" t="s">
        <v>4863</v>
      </c>
      <c r="B4798" s="5" t="str">
        <f>IFERROR(__xludf.DUMMYFUNCTION("IF(A4798="""","""",INDEX(SPLIT(A4798,"" ""),COUNTA(SPLIT(A4798,"" ""))))"),"Acqualagna")</f>
        <v>Acqualagna</v>
      </c>
      <c r="C4798" s="6"/>
      <c r="D4798" s="6" t="s">
        <v>4864</v>
      </c>
      <c r="E4798" s="13" t="s">
        <v>4865</v>
      </c>
    </row>
    <row r="4799">
      <c r="A4799" s="4" t="s">
        <v>4866</v>
      </c>
      <c r="B4799" s="5" t="str">
        <f>IFERROR(__xludf.DUMMYFUNCTION("IF(A4799="""","""",INDEX(SPLIT(A4799,"" ""),COUNTA(SPLIT(A4799,"" ""))))"),"Apecchio")</f>
        <v>Apecchio</v>
      </c>
      <c r="C4799" s="6"/>
      <c r="D4799" s="6" t="s">
        <v>4864</v>
      </c>
      <c r="E4799" s="13" t="s">
        <v>4865</v>
      </c>
    </row>
    <row r="4800">
      <c r="A4800" s="4" t="s">
        <v>4867</v>
      </c>
      <c r="B4800" s="5" t="str">
        <f>IFERROR(__xludf.DUMMYFUNCTION("IF(A4800="""","""",INDEX(SPLIT(A4800,"" ""),COUNTA(SPLIT(A4800,"" ""))))"),"Auditore")</f>
        <v>Auditore</v>
      </c>
      <c r="C4800" s="6"/>
      <c r="D4800" s="6" t="s">
        <v>4864</v>
      </c>
      <c r="E4800" s="13" t="s">
        <v>4865</v>
      </c>
    </row>
    <row r="4801">
      <c r="A4801" s="4" t="s">
        <v>4868</v>
      </c>
      <c r="B4801" s="5" t="str">
        <f>IFERROR(__xludf.DUMMYFUNCTION("IF(A4801="""","""",INDEX(SPLIT(A4801,"" ""),COUNTA(SPLIT(A4801,"" ""))))"),"all'Isauro")</f>
        <v>all'Isauro</v>
      </c>
      <c r="C4801" s="6"/>
      <c r="D4801" s="6" t="s">
        <v>4864</v>
      </c>
      <c r="E4801" s="13" t="s">
        <v>4865</v>
      </c>
    </row>
    <row r="4802">
      <c r="A4802" s="4" t="s">
        <v>4869</v>
      </c>
      <c r="B4802" s="5" t="str">
        <f>IFERROR(__xludf.DUMMYFUNCTION("IF(A4802="""","""",INDEX(SPLIT(A4802,"" ""),COUNTA(SPLIT(A4802,"" ""))))"),"Pace")</f>
        <v>Pace</v>
      </c>
      <c r="C4802" s="6"/>
      <c r="D4802" s="6" t="s">
        <v>4864</v>
      </c>
      <c r="E4802" s="13" t="s">
        <v>4865</v>
      </c>
    </row>
    <row r="4803">
      <c r="A4803" s="4" t="s">
        <v>4870</v>
      </c>
      <c r="B4803" s="5" t="str">
        <f>IFERROR(__xludf.DUMMYFUNCTION("IF(A4803="""","""",INDEX(SPLIT(A4803,"" ""),COUNTA(SPLIT(A4803,"" ""))))"),"Cagli")</f>
        <v>Cagli</v>
      </c>
      <c r="C4803" s="6"/>
      <c r="D4803" s="6" t="s">
        <v>4864</v>
      </c>
      <c r="E4803" s="13" t="s">
        <v>4865</v>
      </c>
    </row>
    <row r="4804">
      <c r="A4804" s="4" t="s">
        <v>4871</v>
      </c>
      <c r="B4804" s="5" t="str">
        <f>IFERROR(__xludf.DUMMYFUNCTION("IF(A4804="""","""",INDEX(SPLIT(A4804,"" ""),COUNTA(SPLIT(A4804,"" ""))))"),"Cantiano")</f>
        <v>Cantiano</v>
      </c>
      <c r="C4804" s="6"/>
      <c r="D4804" s="6" t="s">
        <v>4864</v>
      </c>
      <c r="E4804" s="13" t="s">
        <v>4865</v>
      </c>
    </row>
    <row r="4805">
      <c r="A4805" s="4" t="s">
        <v>4872</v>
      </c>
      <c r="B4805" s="5" t="str">
        <f>IFERROR(__xludf.DUMMYFUNCTION("IF(A4805="""","""",INDEX(SPLIT(A4805,"" ""),COUNTA(SPLIT(A4805,"" ""))))"),"Carpegna")</f>
        <v>Carpegna</v>
      </c>
      <c r="C4805" s="6"/>
      <c r="D4805" s="6" t="s">
        <v>4864</v>
      </c>
      <c r="E4805" s="13" t="s">
        <v>4865</v>
      </c>
    </row>
    <row r="4806">
      <c r="A4806" s="4" t="s">
        <v>4873</v>
      </c>
      <c r="B4806" s="5" t="str">
        <f>IFERROR(__xludf.DUMMYFUNCTION("IF(A4806="""","""",INDEX(SPLIT(A4806,"" ""),COUNTA(SPLIT(A4806,"" ""))))"),"Cartoceto")</f>
        <v>Cartoceto</v>
      </c>
      <c r="C4806" s="6"/>
      <c r="D4806" s="6" t="s">
        <v>4864</v>
      </c>
      <c r="E4806" s="13" t="s">
        <v>4865</v>
      </c>
    </row>
    <row r="4807">
      <c r="A4807" s="4" t="s">
        <v>4874</v>
      </c>
      <c r="B4807" s="5" t="str">
        <f>IFERROR(__xludf.DUMMYFUNCTION("IF(A4807="""","""",INDEX(SPLIT(A4807,"" ""),COUNTA(SPLIT(A4807,"" ""))))"),"Fano")</f>
        <v>Fano</v>
      </c>
      <c r="C4807" s="6"/>
      <c r="D4807" s="6" t="s">
        <v>4864</v>
      </c>
      <c r="E4807" s="13" t="s">
        <v>4865</v>
      </c>
    </row>
    <row r="4808">
      <c r="A4808" s="4" t="s">
        <v>4875</v>
      </c>
      <c r="B4808" s="5" t="str">
        <f>IFERROR(__xludf.DUMMYFUNCTION("IF(A4808="""","""",INDEX(SPLIT(A4808,"" ""),COUNTA(SPLIT(A4808,"" ""))))"),"Fermignano")</f>
        <v>Fermignano</v>
      </c>
      <c r="C4808" s="6"/>
      <c r="D4808" s="6" t="s">
        <v>4864</v>
      </c>
      <c r="E4808" s="13" t="s">
        <v>4865</v>
      </c>
    </row>
    <row r="4809">
      <c r="A4809" s="4" t="s">
        <v>4876</v>
      </c>
      <c r="B4809" s="5" t="str">
        <f>IFERROR(__xludf.DUMMYFUNCTION("IF(A4809="""","""",INDEX(SPLIT(A4809,"" ""),COUNTA(SPLIT(A4809,"" ""))))"),"Fossombrone")</f>
        <v>Fossombrone</v>
      </c>
      <c r="C4809" s="6"/>
      <c r="D4809" s="6" t="s">
        <v>4864</v>
      </c>
      <c r="E4809" s="13" t="s">
        <v>4865</v>
      </c>
    </row>
    <row r="4810">
      <c r="A4810" s="4" t="s">
        <v>4877</v>
      </c>
      <c r="B4810" s="5" t="str">
        <f>IFERROR(__xludf.DUMMYFUNCTION("IF(A4810="""","""",INDEX(SPLIT(A4810,"" ""),COUNTA(SPLIT(A4810,"" ""))))"),"Rosa")</f>
        <v>Rosa</v>
      </c>
      <c r="C4810" s="6"/>
      <c r="D4810" s="6" t="s">
        <v>4864</v>
      </c>
      <c r="E4810" s="13" t="s">
        <v>4865</v>
      </c>
    </row>
    <row r="4811">
      <c r="A4811" s="4" t="s">
        <v>4878</v>
      </c>
      <c r="B4811" s="5" t="str">
        <f>IFERROR(__xludf.DUMMYFUNCTION("IF(A4811="""","""",INDEX(SPLIT(A4811,"" ""),COUNTA(SPLIT(A4811,"" ""))))"),"Frontino")</f>
        <v>Frontino</v>
      </c>
      <c r="C4811" s="6"/>
      <c r="D4811" s="6" t="s">
        <v>4864</v>
      </c>
      <c r="E4811" s="13" t="s">
        <v>4865</v>
      </c>
    </row>
    <row r="4812">
      <c r="A4812" s="4" t="s">
        <v>4879</v>
      </c>
      <c r="B4812" s="5" t="str">
        <f>IFERROR(__xludf.DUMMYFUNCTION("IF(A4812="""","""",INDEX(SPLIT(A4812,"" ""),COUNTA(SPLIT(A4812,"" ""))))"),"Frontone")</f>
        <v>Frontone</v>
      </c>
      <c r="C4812" s="6"/>
      <c r="D4812" s="6" t="s">
        <v>4864</v>
      </c>
      <c r="E4812" s="13" t="s">
        <v>4865</v>
      </c>
    </row>
    <row r="4813">
      <c r="A4813" s="4" t="s">
        <v>4880</v>
      </c>
      <c r="B4813" s="5" t="str">
        <f>IFERROR(__xludf.DUMMYFUNCTION("IF(A4813="""","""",INDEX(SPLIT(A4813,"" ""),COUNTA(SPLIT(A4813,"" ""))))"),"Mare")</f>
        <v>Mare</v>
      </c>
      <c r="C4813" s="6"/>
      <c r="D4813" s="6" t="s">
        <v>4864</v>
      </c>
      <c r="E4813" s="13" t="s">
        <v>4865</v>
      </c>
    </row>
    <row r="4814">
      <c r="A4814" s="4" t="s">
        <v>4881</v>
      </c>
      <c r="B4814" s="5" t="str">
        <f>IFERROR(__xludf.DUMMYFUNCTION("IF(A4814="""","""",INDEX(SPLIT(A4814,"" ""),COUNTA(SPLIT(A4814,"" ""))))"),"Gradara")</f>
        <v>Gradara</v>
      </c>
      <c r="C4814" s="6"/>
      <c r="D4814" s="6" t="s">
        <v>4864</v>
      </c>
      <c r="E4814" s="13" t="s">
        <v>4865</v>
      </c>
    </row>
    <row r="4815">
      <c r="A4815" s="4" t="s">
        <v>4882</v>
      </c>
      <c r="B4815" s="5" t="str">
        <f>IFERROR(__xludf.DUMMYFUNCTION("IF(A4815="""","""",INDEX(SPLIT(A4815,"" ""),COUNTA(SPLIT(A4815,"" ""))))"),"Piano")</f>
        <v>Piano</v>
      </c>
      <c r="C4815" s="6"/>
      <c r="D4815" s="6" t="s">
        <v>4864</v>
      </c>
      <c r="E4815" s="13" t="s">
        <v>4865</v>
      </c>
    </row>
    <row r="4816">
      <c r="A4816" s="4" t="s">
        <v>4883</v>
      </c>
      <c r="B4816" s="5" t="str">
        <f>IFERROR(__xludf.DUMMYFUNCTION("IF(A4816="""","""",INDEX(SPLIT(A4816,"" ""),COUNTA(SPLIT(A4816,"" ""))))"),"Lunano")</f>
        <v>Lunano</v>
      </c>
      <c r="C4816" s="6"/>
      <c r="D4816" s="6" t="s">
        <v>4864</v>
      </c>
      <c r="E4816" s="13" t="s">
        <v>4865</v>
      </c>
    </row>
    <row r="4817">
      <c r="A4817" s="4" t="s">
        <v>4884</v>
      </c>
      <c r="B4817" s="5" t="str">
        <f>IFERROR(__xludf.DUMMYFUNCTION("IF(A4817="""","""",INDEX(SPLIT(A4817,"" ""),COUNTA(SPLIT(A4817,"" ""))))"),"Feltria")</f>
        <v>Feltria</v>
      </c>
      <c r="C4817" s="6"/>
      <c r="D4817" s="6" t="s">
        <v>4864</v>
      </c>
      <c r="E4817" s="13" t="s">
        <v>4865</v>
      </c>
    </row>
    <row r="4818">
      <c r="A4818" s="4" t="s">
        <v>4885</v>
      </c>
      <c r="B4818" s="5" t="str">
        <f>IFERROR(__xludf.DUMMYFUNCTION("IF(A4818="""","""",INDEX(SPLIT(A4818,"" ""),COUNTA(SPLIT(A4818,"" ""))))"),"Metauro")</f>
        <v>Metauro</v>
      </c>
      <c r="C4818" s="6"/>
      <c r="D4818" s="6" t="s">
        <v>4864</v>
      </c>
      <c r="E4818" s="13" t="s">
        <v>4865</v>
      </c>
    </row>
    <row r="4819">
      <c r="A4819" s="4" t="s">
        <v>4886</v>
      </c>
      <c r="B4819" s="5" t="str">
        <f>IFERROR(__xludf.DUMMYFUNCTION("IF(A4819="""","""",INDEX(SPLIT(A4819,"" ""),COUNTA(SPLIT(A4819,"" ""))))"),"Conca")</f>
        <v>Conca</v>
      </c>
      <c r="C4819" s="6"/>
      <c r="D4819" s="6" t="s">
        <v>4864</v>
      </c>
      <c r="E4819" s="13" t="s">
        <v>4865</v>
      </c>
    </row>
    <row r="4820">
      <c r="A4820" s="4" t="s">
        <v>4887</v>
      </c>
      <c r="B4820" s="5" t="str">
        <f>IFERROR(__xludf.DUMMYFUNCTION("IF(A4820="""","""",INDEX(SPLIT(A4820,"" ""),COUNTA(SPLIT(A4820,"" ""))))"),"Mombaroccio")</f>
        <v>Mombaroccio</v>
      </c>
      <c r="C4820" s="6"/>
      <c r="D4820" s="6" t="s">
        <v>4864</v>
      </c>
      <c r="E4820" s="13" t="s">
        <v>4865</v>
      </c>
    </row>
    <row r="4821">
      <c r="A4821" s="4" t="s">
        <v>4888</v>
      </c>
      <c r="B4821" s="5" t="str">
        <f>IFERROR(__xludf.DUMMYFUNCTION("IF(A4821="""","""",INDEX(SPLIT(A4821,"" ""),COUNTA(SPLIT(A4821,"" ""))))"),"Mondavio")</f>
        <v>Mondavio</v>
      </c>
      <c r="C4821" s="6"/>
      <c r="D4821" s="6" t="s">
        <v>4864</v>
      </c>
      <c r="E4821" s="13" t="s">
        <v>4865</v>
      </c>
    </row>
    <row r="4822">
      <c r="A4822" s="4" t="s">
        <v>4889</v>
      </c>
      <c r="B4822" s="5" t="str">
        <f>IFERROR(__xludf.DUMMYFUNCTION("IF(A4822="""","""",INDEX(SPLIT(A4822,"" ""),COUNTA(SPLIT(A4822,"" ""))))"),"Mondolfo")</f>
        <v>Mondolfo</v>
      </c>
      <c r="C4822" s="6"/>
      <c r="D4822" s="6" t="s">
        <v>4864</v>
      </c>
      <c r="E4822" s="13" t="s">
        <v>4865</v>
      </c>
    </row>
    <row r="4823">
      <c r="A4823" s="4" t="s">
        <v>4890</v>
      </c>
      <c r="B4823" s="5" t="str">
        <f>IFERROR(__xludf.DUMMYFUNCTION("IF(A4823="""","""",INDEX(SPLIT(A4823,"" ""),COUNTA(SPLIT(A4823,"" ""))))"),"Foglia")</f>
        <v>Foglia</v>
      </c>
      <c r="C4823" s="6"/>
      <c r="D4823" s="6" t="s">
        <v>4864</v>
      </c>
      <c r="E4823" s="13" t="s">
        <v>4865</v>
      </c>
    </row>
    <row r="4824">
      <c r="A4824" s="4" t="s">
        <v>4891</v>
      </c>
      <c r="B4824" s="5" t="str">
        <f>IFERROR(__xludf.DUMMYFUNCTION("IF(A4824="""","""",INDEX(SPLIT(A4824,"" ""),COUNTA(SPLIT(A4824,"" ""))))"),"Cerignone")</f>
        <v>Cerignone</v>
      </c>
      <c r="C4824" s="6"/>
      <c r="D4824" s="6" t="s">
        <v>4864</v>
      </c>
      <c r="E4824" s="13" t="s">
        <v>4865</v>
      </c>
    </row>
    <row r="4825">
      <c r="A4825" s="4" t="s">
        <v>4892</v>
      </c>
      <c r="B4825" s="5" t="str">
        <f>IFERROR(__xludf.DUMMYFUNCTION("IF(A4825="""","""",INDEX(SPLIT(A4825,"" ""),COUNTA(SPLIT(A4825,"" ""))))"),"Monteciccardo")</f>
        <v>Monteciccardo</v>
      </c>
      <c r="C4825" s="6"/>
      <c r="D4825" s="6" t="s">
        <v>4864</v>
      </c>
      <c r="E4825" s="13" t="s">
        <v>4865</v>
      </c>
    </row>
    <row r="4826">
      <c r="A4826" s="4" t="s">
        <v>4893</v>
      </c>
      <c r="B4826" s="5" t="str">
        <f>IFERROR(__xludf.DUMMYFUNCTION("IF(A4826="""","""",INDEX(SPLIT(A4826,"" ""),COUNTA(SPLIT(A4826,"" ""))))"),"Montecopiolo")</f>
        <v>Montecopiolo</v>
      </c>
      <c r="C4826" s="6"/>
      <c r="D4826" s="6" t="s">
        <v>4864</v>
      </c>
      <c r="E4826" s="13" t="s">
        <v>4865</v>
      </c>
    </row>
    <row r="4827">
      <c r="A4827" s="4" t="s">
        <v>4894</v>
      </c>
      <c r="B4827" s="5" t="str">
        <f>IFERROR(__xludf.DUMMYFUNCTION("IF(A4827="""","""",INDEX(SPLIT(A4827,"" ""),COUNTA(SPLIT(A4827,"" ""))))"),"Montefelcino")</f>
        <v>Montefelcino</v>
      </c>
      <c r="C4827" s="6"/>
      <c r="D4827" s="6" t="s">
        <v>4864</v>
      </c>
      <c r="E4827" s="13" t="s">
        <v>4865</v>
      </c>
    </row>
    <row r="4828">
      <c r="A4828" s="4" t="s">
        <v>4895</v>
      </c>
      <c r="B4828" s="5" t="str">
        <f>IFERROR(__xludf.DUMMYFUNCTION("IF(A4828="""","""",INDEX(SPLIT(A4828,"" ""),COUNTA(SPLIT(A4828,"" ""))))"),"Terme")</f>
        <v>Terme</v>
      </c>
      <c r="C4828" s="6"/>
      <c r="D4828" s="6" t="s">
        <v>4864</v>
      </c>
      <c r="E4828" s="13" t="s">
        <v>4865</v>
      </c>
    </row>
    <row r="4829">
      <c r="A4829" s="4" t="s">
        <v>4896</v>
      </c>
      <c r="B4829" s="5" t="str">
        <f>IFERROR(__xludf.DUMMYFUNCTION("IF(A4829="""","""",INDEX(SPLIT(A4829,"" ""),COUNTA(SPLIT(A4829,"" ""))))"),"Montelabbate")</f>
        <v>Montelabbate</v>
      </c>
      <c r="C4829" s="6"/>
      <c r="D4829" s="6" t="s">
        <v>4864</v>
      </c>
      <c r="E4829" s="13" t="s">
        <v>4865</v>
      </c>
    </row>
    <row r="4830">
      <c r="A4830" s="4" t="s">
        <v>4897</v>
      </c>
      <c r="B4830" s="5" t="str">
        <f>IFERROR(__xludf.DUMMYFUNCTION("IF(A4830="""","""",INDEX(SPLIT(A4830,"" ""),COUNTA(SPLIT(A4830,"" ""))))"),"Porzio")</f>
        <v>Porzio</v>
      </c>
      <c r="C4830" s="6"/>
      <c r="D4830" s="6" t="s">
        <v>4864</v>
      </c>
      <c r="E4830" s="13" t="s">
        <v>4865</v>
      </c>
    </row>
    <row r="4831">
      <c r="A4831" s="4" t="s">
        <v>1528</v>
      </c>
      <c r="B4831" s="5" t="str">
        <f>IFERROR(__xludf.DUMMYFUNCTION("IF(A4831="""","""",INDEX(SPLIT(A4831,"" ""),COUNTA(SPLIT(A4831,"" ""))))"),"Peglio")</f>
        <v>Peglio</v>
      </c>
      <c r="C4831" s="6"/>
      <c r="D4831" s="6" t="s">
        <v>4864</v>
      </c>
      <c r="E4831" s="13" t="s">
        <v>4865</v>
      </c>
    </row>
    <row r="4832">
      <c r="A4832" s="4" t="s">
        <v>4898</v>
      </c>
      <c r="B4832" s="5" t="str">
        <f>IFERROR(__xludf.DUMMYFUNCTION("IF(A4832="""","""",INDEX(SPLIT(A4832,"" ""),COUNTA(SPLIT(A4832,"" ""))))"),"Pergola")</f>
        <v>Pergola</v>
      </c>
      <c r="C4832" s="6"/>
      <c r="D4832" s="6" t="s">
        <v>4864</v>
      </c>
      <c r="E4832" s="13" t="s">
        <v>4865</v>
      </c>
    </row>
    <row r="4833">
      <c r="A4833" s="4" t="s">
        <v>4899</v>
      </c>
      <c r="B4833" s="5" t="str">
        <f>IFERROR(__xludf.DUMMYFUNCTION("IF(A4833="""","""",INDEX(SPLIT(A4833,"" ""),COUNTA(SPLIT(A4833,"" ""))))"),"Pesaro")</f>
        <v>Pesaro</v>
      </c>
      <c r="C4833" s="6"/>
      <c r="D4833" s="6" t="s">
        <v>4864</v>
      </c>
      <c r="E4833" s="13" t="s">
        <v>4865</v>
      </c>
    </row>
    <row r="4834">
      <c r="A4834" s="4" t="s">
        <v>4900</v>
      </c>
      <c r="B4834" s="5" t="str">
        <f>IFERROR(__xludf.DUMMYFUNCTION("IF(A4834="""","""",INDEX(SPLIT(A4834,"" ""),COUNTA(SPLIT(A4834,"" ""))))"),"Petriano")</f>
        <v>Petriano</v>
      </c>
      <c r="C4834" s="6"/>
      <c r="D4834" s="6" t="s">
        <v>4864</v>
      </c>
      <c r="E4834" s="13" t="s">
        <v>4865</v>
      </c>
    </row>
    <row r="4835">
      <c r="A4835" s="4" t="s">
        <v>4901</v>
      </c>
      <c r="B4835" s="5" t="str">
        <f>IFERROR(__xludf.DUMMYFUNCTION("IF(A4835="""","""",INDEX(SPLIT(A4835,"" ""),COUNTA(SPLIT(A4835,"" ""))))"),"Piandimeleto")</f>
        <v>Piandimeleto</v>
      </c>
      <c r="C4835" s="6"/>
      <c r="D4835" s="6" t="s">
        <v>4864</v>
      </c>
      <c r="E4835" s="13" t="s">
        <v>4865</v>
      </c>
    </row>
    <row r="4836">
      <c r="A4836" s="4" t="s">
        <v>4902</v>
      </c>
      <c r="B4836" s="5" t="str">
        <f>IFERROR(__xludf.DUMMYFUNCTION("IF(A4836="""","""",INDEX(SPLIT(A4836,"" ""),COUNTA(SPLIT(A4836,"" ""))))"),"Pietrarubbia")</f>
        <v>Pietrarubbia</v>
      </c>
      <c r="C4836" s="6"/>
      <c r="D4836" s="6" t="s">
        <v>4864</v>
      </c>
      <c r="E4836" s="13" t="s">
        <v>4865</v>
      </c>
    </row>
    <row r="4837">
      <c r="A4837" s="4" t="s">
        <v>4903</v>
      </c>
      <c r="B4837" s="5" t="str">
        <f>IFERROR(__xludf.DUMMYFUNCTION("IF(A4837="""","""",INDEX(SPLIT(A4837,"" ""),COUNTA(SPLIT(A4837,"" ""))))"),"Piobbico")</f>
        <v>Piobbico</v>
      </c>
      <c r="C4837" s="6"/>
      <c r="D4837" s="6" t="s">
        <v>4864</v>
      </c>
      <c r="E4837" s="13" t="s">
        <v>4865</v>
      </c>
    </row>
    <row r="4838">
      <c r="A4838" s="4" t="s">
        <v>4904</v>
      </c>
      <c r="B4838" s="5" t="str">
        <f>IFERROR(__xludf.DUMMYFUNCTION("IF(A4838="""","""",INDEX(SPLIT(A4838,"" ""),COUNTA(SPLIT(A4838,"" ""))))"),"Costanzo")</f>
        <v>Costanzo</v>
      </c>
      <c r="C4838" s="6"/>
      <c r="D4838" s="6" t="s">
        <v>4864</v>
      </c>
      <c r="E4838" s="13" t="s">
        <v>4865</v>
      </c>
    </row>
    <row r="4839">
      <c r="A4839" s="4" t="s">
        <v>4905</v>
      </c>
      <c r="B4839" s="5" t="str">
        <f>IFERROR(__xludf.DUMMYFUNCTION("IF(A4839="""","""",INDEX(SPLIT(A4839,"" ""),COUNTA(SPLIT(A4839,"" ""))))"),"Campo")</f>
        <v>Campo</v>
      </c>
      <c r="C4839" s="6"/>
      <c r="D4839" s="6" t="s">
        <v>4864</v>
      </c>
      <c r="E4839" s="13" t="s">
        <v>4865</v>
      </c>
    </row>
    <row r="4840">
      <c r="A4840" s="4" t="s">
        <v>4906</v>
      </c>
      <c r="B4840" s="5" t="str">
        <f>IFERROR(__xludf.DUMMYFUNCTION("IF(A4840="""","""",INDEX(SPLIT(A4840,"" ""),COUNTA(SPLIT(A4840,"" ""))))"),"Vado")</f>
        <v>Vado</v>
      </c>
      <c r="C4840" s="6"/>
      <c r="D4840" s="6" t="s">
        <v>4864</v>
      </c>
      <c r="E4840" s="13" t="s">
        <v>4865</v>
      </c>
    </row>
    <row r="4841">
      <c r="A4841" s="4" t="s">
        <v>4907</v>
      </c>
      <c r="B4841" s="5" t="str">
        <f>IFERROR(__xludf.DUMMYFUNCTION("IF(A4841="""","""",INDEX(SPLIT(A4841,"" ""),COUNTA(SPLIT(A4841,"" ""))))"),"Sant'Ippolito")</f>
        <v>Sant'Ippolito</v>
      </c>
      <c r="C4841" s="6"/>
      <c r="D4841" s="6" t="s">
        <v>4864</v>
      </c>
      <c r="E4841" s="13" t="s">
        <v>4865</v>
      </c>
    </row>
    <row r="4842">
      <c r="A4842" s="4" t="s">
        <v>4908</v>
      </c>
      <c r="B4842" s="5" t="str">
        <f>IFERROR(__xludf.DUMMYFUNCTION("IF(A4842="""","""",INDEX(SPLIT(A4842,"" ""),COUNTA(SPLIT(A4842,"" ""))))"),"Sassocorvaro")</f>
        <v>Sassocorvaro</v>
      </c>
      <c r="C4842" s="6"/>
      <c r="D4842" s="6" t="s">
        <v>4864</v>
      </c>
      <c r="E4842" s="13" t="s">
        <v>4865</v>
      </c>
    </row>
    <row r="4843">
      <c r="A4843" s="4" t="s">
        <v>4909</v>
      </c>
      <c r="B4843" s="5" t="str">
        <f>IFERROR(__xludf.DUMMYFUNCTION("IF(A4843="""","""",INDEX(SPLIT(A4843,"" ""),COUNTA(SPLIT(A4843,"" ""))))"),"Sassofeltrio")</f>
        <v>Sassofeltrio</v>
      </c>
      <c r="C4843" s="6"/>
      <c r="D4843" s="6" t="s">
        <v>4864</v>
      </c>
      <c r="E4843" s="13" t="s">
        <v>4865</v>
      </c>
    </row>
    <row r="4844">
      <c r="A4844" s="4" t="s">
        <v>4910</v>
      </c>
      <c r="B4844" s="5" t="str">
        <f>IFERROR(__xludf.DUMMYFUNCTION("IF(A4844="""","""",INDEX(SPLIT(A4844,"" ""),COUNTA(SPLIT(A4844,"" ""))))"),"Sant'Abbondio")</f>
        <v>Sant'Abbondio</v>
      </c>
      <c r="C4844" s="6"/>
      <c r="D4844" s="6" t="s">
        <v>4864</v>
      </c>
      <c r="E4844" s="13" t="s">
        <v>4865</v>
      </c>
    </row>
    <row r="4845">
      <c r="A4845" s="4" t="s">
        <v>4911</v>
      </c>
      <c r="B4845" s="5" t="str">
        <f>IFERROR(__xludf.DUMMYFUNCTION("IF(A4845="""","""",INDEX(SPLIT(A4845,"" ""),COUNTA(SPLIT(A4845,"" ""))))"),"Tavoleto")</f>
        <v>Tavoleto</v>
      </c>
      <c r="C4845" s="6"/>
      <c r="D4845" s="6" t="s">
        <v>4864</v>
      </c>
      <c r="E4845" s="13" t="s">
        <v>4865</v>
      </c>
    </row>
    <row r="4846">
      <c r="A4846" s="4" t="s">
        <v>4912</v>
      </c>
      <c r="B4846" s="5" t="str">
        <f>IFERROR(__xludf.DUMMYFUNCTION("IF(A4846="""","""",INDEX(SPLIT(A4846,"" ""),COUNTA(SPLIT(A4846,"" ""))))"),"Tavullia")</f>
        <v>Tavullia</v>
      </c>
      <c r="C4846" s="6"/>
      <c r="D4846" s="6" t="s">
        <v>4864</v>
      </c>
      <c r="E4846" s="13" t="s">
        <v>4865</v>
      </c>
    </row>
    <row r="4847">
      <c r="A4847" s="4" t="s">
        <v>4913</v>
      </c>
      <c r="B4847" s="5" t="str">
        <f>IFERROR(__xludf.DUMMYFUNCTION("IF(A4847="""","""",INDEX(SPLIT(A4847,"" ""),COUNTA(SPLIT(A4847,"" ""))))"),"Urbania")</f>
        <v>Urbania</v>
      </c>
      <c r="C4847" s="6"/>
      <c r="D4847" s="6" t="s">
        <v>4864</v>
      </c>
      <c r="E4847" s="13" t="s">
        <v>4865</v>
      </c>
    </row>
    <row r="4848">
      <c r="A4848" s="4" t="s">
        <v>4914</v>
      </c>
      <c r="B4848" s="5" t="str">
        <f>IFERROR(__xludf.DUMMYFUNCTION("IF(A4848="""","""",INDEX(SPLIT(A4848,"" ""),COUNTA(SPLIT(A4848,"" ""))))"),"Urbino")</f>
        <v>Urbino</v>
      </c>
      <c r="C4848" s="6"/>
      <c r="D4848" s="6" t="s">
        <v>4864</v>
      </c>
      <c r="E4848" s="13" t="s">
        <v>4865</v>
      </c>
    </row>
    <row r="4849">
      <c r="A4849" s="4" t="s">
        <v>4915</v>
      </c>
      <c r="B4849" s="5" t="str">
        <f>IFERROR(__xludf.DUMMYFUNCTION("IF(A4849="""","""",INDEX(SPLIT(A4849,"" ""),COUNTA(SPLIT(A4849,"" ""))))"),"Vallefoglia")</f>
        <v>Vallefoglia</v>
      </c>
      <c r="C4849" s="6"/>
      <c r="D4849" s="6" t="s">
        <v>4864</v>
      </c>
      <c r="E4849" s="13" t="s">
        <v>4865</v>
      </c>
    </row>
    <row r="4850">
      <c r="A4850" s="14" t="s">
        <v>4916</v>
      </c>
      <c r="B4850" s="5" t="str">
        <f>IFERROR(__xludf.DUMMYFUNCTION("IF(A4850="""","""",INDEX(SPLIT(A4850,"" ""),COUNTA(SPLIT(A4850,"" ""))))"),"Metauro")</f>
        <v>Metauro</v>
      </c>
      <c r="C4850" s="6"/>
      <c r="D4850" s="6" t="s">
        <v>4864</v>
      </c>
      <c r="E4850" s="13" t="s">
        <v>4865</v>
      </c>
    </row>
    <row r="4851">
      <c r="A4851" s="4" t="s">
        <v>4917</v>
      </c>
      <c r="B4851" s="5" t="str">
        <f>IFERROR(__xludf.DUMMYFUNCTION("IF(A4851="""","""",INDEX(SPLIT(A4851,"" ""),COUNTA(SPLIT(A4851,"" ""))))"),"Roveresche")</f>
        <v>Roveresche</v>
      </c>
      <c r="C4851" s="6"/>
      <c r="D4851" s="6" t="s">
        <v>4864</v>
      </c>
      <c r="E4851" s="13" t="s">
        <v>4865</v>
      </c>
    </row>
    <row r="4852">
      <c r="A4852" s="4" t="s">
        <v>4918</v>
      </c>
      <c r="B4852" s="5" t="str">
        <f>IFERROR(__xludf.DUMMYFUNCTION("IF(A4852="""","""",INDEX(SPLIT(A4852,"" ""),COUNTA(SPLIT(A4852,"" ""))))"),"Agugliano")</f>
        <v>Agugliano</v>
      </c>
      <c r="C4852" s="6"/>
      <c r="D4852" s="6" t="s">
        <v>4919</v>
      </c>
      <c r="E4852" s="13" t="s">
        <v>4920</v>
      </c>
    </row>
    <row r="4853">
      <c r="A4853" s="4" t="s">
        <v>4919</v>
      </c>
      <c r="B4853" s="5" t="str">
        <f>IFERROR(__xludf.DUMMYFUNCTION("IF(A4853="""","""",INDEX(SPLIT(A4853,"" ""),COUNTA(SPLIT(A4853,"" ""))))"),"Ancona")</f>
        <v>Ancona</v>
      </c>
      <c r="C4853" s="6"/>
      <c r="D4853" s="6" t="s">
        <v>4919</v>
      </c>
      <c r="E4853" s="13" t="s">
        <v>4920</v>
      </c>
    </row>
    <row r="4854">
      <c r="A4854" s="4" t="s">
        <v>4921</v>
      </c>
      <c r="B4854" s="5" t="str">
        <f>IFERROR(__xludf.DUMMYFUNCTION("IF(A4854="""","""",INDEX(SPLIT(A4854,"" ""),COUNTA(SPLIT(A4854,"" ""))))"),"Arcevia")</f>
        <v>Arcevia</v>
      </c>
      <c r="C4854" s="6"/>
      <c r="D4854" s="6" t="s">
        <v>4919</v>
      </c>
      <c r="E4854" s="13" t="s">
        <v>4920</v>
      </c>
    </row>
    <row r="4855">
      <c r="A4855" s="4" t="s">
        <v>4922</v>
      </c>
      <c r="B4855" s="5" t="str">
        <f>IFERROR(__xludf.DUMMYFUNCTION("IF(A4855="""","""",INDEX(SPLIT(A4855,"" ""),COUNTA(SPLIT(A4855,"" ""))))"),"Barbara")</f>
        <v>Barbara</v>
      </c>
      <c r="C4855" s="6"/>
      <c r="D4855" s="6" t="s">
        <v>4919</v>
      </c>
      <c r="E4855" s="13" t="s">
        <v>4920</v>
      </c>
    </row>
    <row r="4856">
      <c r="A4856" s="4" t="s">
        <v>4923</v>
      </c>
      <c r="B4856" s="5" t="str">
        <f>IFERROR(__xludf.DUMMYFUNCTION("IF(A4856="""","""",INDEX(SPLIT(A4856,"" ""),COUNTA(SPLIT(A4856,"" ""))))"),"Ostrense")</f>
        <v>Ostrense</v>
      </c>
      <c r="C4856" s="6"/>
      <c r="D4856" s="6" t="s">
        <v>4919</v>
      </c>
      <c r="E4856" s="13" t="s">
        <v>4920</v>
      </c>
    </row>
    <row r="4857">
      <c r="A4857" s="4" t="s">
        <v>4924</v>
      </c>
      <c r="B4857" s="5" t="str">
        <f>IFERROR(__xludf.DUMMYFUNCTION("IF(A4857="""","""",INDEX(SPLIT(A4857,"" ""),COUNTA(SPLIT(A4857,"" ""))))"),"Camerano")</f>
        <v>Camerano</v>
      </c>
      <c r="C4857" s="6"/>
      <c r="D4857" s="6" t="s">
        <v>4919</v>
      </c>
      <c r="E4857" s="13" t="s">
        <v>4920</v>
      </c>
    </row>
    <row r="4858">
      <c r="A4858" s="4" t="s">
        <v>4925</v>
      </c>
      <c r="B4858" s="5" t="str">
        <f>IFERROR(__xludf.DUMMYFUNCTION("IF(A4858="""","""",INDEX(SPLIT(A4858,"" ""),COUNTA(SPLIT(A4858,"" ""))))"),"Picena")</f>
        <v>Picena</v>
      </c>
      <c r="C4858" s="6"/>
      <c r="D4858" s="6" t="s">
        <v>4919</v>
      </c>
      <c r="E4858" s="13" t="s">
        <v>4920</v>
      </c>
    </row>
    <row r="4859">
      <c r="A4859" s="4" t="s">
        <v>4926</v>
      </c>
      <c r="B4859" s="5" t="str">
        <f>IFERROR(__xludf.DUMMYFUNCTION("IF(A4859="""","""",INDEX(SPLIT(A4859,"" ""),COUNTA(SPLIT(A4859,"" ""))))"),"Castelbellino")</f>
        <v>Castelbellino</v>
      </c>
      <c r="C4859" s="6"/>
      <c r="D4859" s="6" t="s">
        <v>4919</v>
      </c>
      <c r="E4859" s="13" t="s">
        <v>4920</v>
      </c>
    </row>
    <row r="4860">
      <c r="A4860" s="4" t="s">
        <v>4927</v>
      </c>
      <c r="B4860" s="5" t="str">
        <f>IFERROR(__xludf.DUMMYFUNCTION("IF(A4860="""","""",INDEX(SPLIT(A4860,"" ""),COUNTA(SPLIT(A4860,"" ""))))"),"Castelfidardo")</f>
        <v>Castelfidardo</v>
      </c>
      <c r="C4860" s="6"/>
      <c r="D4860" s="6" t="s">
        <v>4919</v>
      </c>
      <c r="E4860" s="13" t="s">
        <v>4920</v>
      </c>
    </row>
    <row r="4861">
      <c r="A4861" s="4" t="s">
        <v>4928</v>
      </c>
      <c r="B4861" s="5" t="str">
        <f>IFERROR(__xludf.DUMMYFUNCTION("IF(A4861="""","""",INDEX(SPLIT(A4861,"" ""),COUNTA(SPLIT(A4861,"" ""))))"),"Suasa")</f>
        <v>Suasa</v>
      </c>
      <c r="C4861" s="6"/>
      <c r="D4861" s="6" t="s">
        <v>4919</v>
      </c>
      <c r="E4861" s="13" t="s">
        <v>4920</v>
      </c>
    </row>
    <row r="4862">
      <c r="A4862" s="4" t="s">
        <v>4929</v>
      </c>
      <c r="B4862" s="5" t="str">
        <f>IFERROR(__xludf.DUMMYFUNCTION("IF(A4862="""","""",INDEX(SPLIT(A4862,"" ""),COUNTA(SPLIT(A4862,"" ""))))"),"Castelplanio")</f>
        <v>Castelplanio</v>
      </c>
      <c r="C4862" s="6"/>
      <c r="D4862" s="6" t="s">
        <v>4919</v>
      </c>
      <c r="E4862" s="13" t="s">
        <v>4920</v>
      </c>
    </row>
    <row r="4863">
      <c r="A4863" s="4" t="s">
        <v>4930</v>
      </c>
      <c r="B4863" s="5" t="str">
        <f>IFERROR(__xludf.DUMMYFUNCTION("IF(A4863="""","""",INDEX(SPLIT(A4863,"" ""),COUNTA(SPLIT(A4863,"" ""))))"),"d'Esi")</f>
        <v>d'Esi</v>
      </c>
      <c r="C4863" s="6"/>
      <c r="D4863" s="6" t="s">
        <v>4919</v>
      </c>
      <c r="E4863" s="13" t="s">
        <v>4920</v>
      </c>
    </row>
    <row r="4864">
      <c r="A4864" s="4" t="s">
        <v>4931</v>
      </c>
      <c r="B4864" s="5" t="str">
        <f>IFERROR(__xludf.DUMMYFUNCTION("IF(A4864="""","""",INDEX(SPLIT(A4864,"" ""),COUNTA(SPLIT(A4864,"" ""))))"),"Chiaravalle")</f>
        <v>Chiaravalle</v>
      </c>
      <c r="C4864" s="6"/>
      <c r="D4864" s="6" t="s">
        <v>4919</v>
      </c>
      <c r="E4864" s="13" t="s">
        <v>4920</v>
      </c>
    </row>
    <row r="4865">
      <c r="A4865" s="4" t="s">
        <v>4932</v>
      </c>
      <c r="B4865" s="5" t="str">
        <f>IFERROR(__xludf.DUMMYFUNCTION("IF(A4865="""","""",INDEX(SPLIT(A4865,"" ""),COUNTA(SPLIT(A4865,"" ""))))"),"Corinaldo")</f>
        <v>Corinaldo</v>
      </c>
      <c r="C4865" s="6"/>
      <c r="D4865" s="6" t="s">
        <v>4919</v>
      </c>
      <c r="E4865" s="13" t="s">
        <v>4920</v>
      </c>
    </row>
    <row r="4866">
      <c r="A4866" s="4" t="s">
        <v>4933</v>
      </c>
      <c r="B4866" s="5" t="str">
        <f>IFERROR(__xludf.DUMMYFUNCTION("IF(A4866="""","""",INDEX(SPLIT(A4866,"" ""),COUNTA(SPLIT(A4866,"" ""))))"),"Cupramontana")</f>
        <v>Cupramontana</v>
      </c>
      <c r="C4866" s="6"/>
      <c r="D4866" s="6" t="s">
        <v>4919</v>
      </c>
      <c r="E4866" s="13" t="s">
        <v>4920</v>
      </c>
    </row>
    <row r="4867">
      <c r="A4867" s="4" t="s">
        <v>4934</v>
      </c>
      <c r="B4867" s="5" t="str">
        <f>IFERROR(__xludf.DUMMYFUNCTION("IF(A4867="""","""",INDEX(SPLIT(A4867,"" ""),COUNTA(SPLIT(A4867,"" ""))))"),"Fabriano")</f>
        <v>Fabriano</v>
      </c>
      <c r="C4867" s="6"/>
      <c r="D4867" s="6" t="s">
        <v>4919</v>
      </c>
      <c r="E4867" s="13" t="s">
        <v>4920</v>
      </c>
    </row>
    <row r="4868">
      <c r="A4868" s="4" t="s">
        <v>4935</v>
      </c>
      <c r="B4868" s="5" t="str">
        <f>IFERROR(__xludf.DUMMYFUNCTION("IF(A4868="""","""",INDEX(SPLIT(A4868,"" ""),COUNTA(SPLIT(A4868,"" ""))))"),"Marittima")</f>
        <v>Marittima</v>
      </c>
      <c r="C4868" s="6"/>
      <c r="D4868" s="6" t="s">
        <v>4919</v>
      </c>
      <c r="E4868" s="13" t="s">
        <v>4920</v>
      </c>
    </row>
    <row r="4869">
      <c r="A4869" s="4" t="s">
        <v>4936</v>
      </c>
      <c r="B4869" s="5" t="str">
        <f>IFERROR(__xludf.DUMMYFUNCTION("IF(A4869="""","""",INDEX(SPLIT(A4869,"" ""),COUNTA(SPLIT(A4869,"" ""))))"),"Filottrano")</f>
        <v>Filottrano</v>
      </c>
      <c r="C4869" s="6"/>
      <c r="D4869" s="6" t="s">
        <v>4919</v>
      </c>
      <c r="E4869" s="13" t="s">
        <v>4920</v>
      </c>
    </row>
    <row r="4870">
      <c r="A4870" s="4" t="s">
        <v>4937</v>
      </c>
      <c r="B4870" s="5" t="str">
        <f>IFERROR(__xludf.DUMMYFUNCTION("IF(A4870="""","""",INDEX(SPLIT(A4870,"" ""),COUNTA(SPLIT(A4870,"" ""))))"),"Genga")</f>
        <v>Genga</v>
      </c>
      <c r="C4870" s="6"/>
      <c r="D4870" s="6" t="s">
        <v>4919</v>
      </c>
      <c r="E4870" s="13" t="s">
        <v>4920</v>
      </c>
    </row>
    <row r="4871">
      <c r="A4871" s="4" t="s">
        <v>4938</v>
      </c>
      <c r="B4871" s="5" t="str">
        <f>IFERROR(__xludf.DUMMYFUNCTION("IF(A4871="""","""",INDEX(SPLIT(A4871,"" ""),COUNTA(SPLIT(A4871,"" ""))))"),"Jesi")</f>
        <v>Jesi</v>
      </c>
      <c r="C4871" s="6"/>
      <c r="D4871" s="6" t="s">
        <v>4919</v>
      </c>
      <c r="E4871" s="13" t="s">
        <v>4920</v>
      </c>
    </row>
    <row r="4872">
      <c r="A4872" s="4" t="s">
        <v>4939</v>
      </c>
      <c r="B4872" s="5" t="str">
        <f>IFERROR(__xludf.DUMMYFUNCTION("IF(A4872="""","""",INDEX(SPLIT(A4872,"" ""),COUNTA(SPLIT(A4872,"" ""))))"),"Loreto")</f>
        <v>Loreto</v>
      </c>
      <c r="C4872" s="6"/>
      <c r="D4872" s="6" t="s">
        <v>4919</v>
      </c>
      <c r="E4872" s="13" t="s">
        <v>4920</v>
      </c>
    </row>
    <row r="4873">
      <c r="A4873" s="4" t="s">
        <v>4940</v>
      </c>
      <c r="B4873" s="5" t="str">
        <f>IFERROR(__xludf.DUMMYFUNCTION("IF(A4873="""","""",INDEX(SPLIT(A4873,"" ""),COUNTA(SPLIT(A4873,"" ""))))"),"Spontini")</f>
        <v>Spontini</v>
      </c>
      <c r="C4873" s="6"/>
      <c r="D4873" s="6" t="s">
        <v>4919</v>
      </c>
      <c r="E4873" s="13" t="s">
        <v>4920</v>
      </c>
    </row>
    <row r="4874">
      <c r="A4874" s="4" t="s">
        <v>4941</v>
      </c>
      <c r="B4874" s="5" t="str">
        <f>IFERROR(__xludf.DUMMYFUNCTION("IF(A4874="""","""",INDEX(SPLIT(A4874,"" ""),COUNTA(SPLIT(A4874,"" ""))))"),"Mergo")</f>
        <v>Mergo</v>
      </c>
      <c r="C4874" s="6"/>
      <c r="D4874" s="6" t="s">
        <v>4919</v>
      </c>
      <c r="E4874" s="13" t="s">
        <v>4920</v>
      </c>
    </row>
    <row r="4875">
      <c r="A4875" s="4" t="s">
        <v>4942</v>
      </c>
      <c r="B4875" s="5" t="str">
        <f>IFERROR(__xludf.DUMMYFUNCTION("IF(A4875="""","""",INDEX(SPLIT(A4875,"" ""),COUNTA(SPLIT(A4875,"" ""))))"),"Monsano")</f>
        <v>Monsano</v>
      </c>
      <c r="C4875" s="6"/>
      <c r="D4875" s="6" t="s">
        <v>4919</v>
      </c>
      <c r="E4875" s="13" t="s">
        <v>4920</v>
      </c>
    </row>
    <row r="4876">
      <c r="A4876" s="4" t="s">
        <v>4943</v>
      </c>
      <c r="B4876" s="5" t="str">
        <f>IFERROR(__xludf.DUMMYFUNCTION("IF(A4876="""","""",INDEX(SPLIT(A4876,"" ""),COUNTA(SPLIT(A4876,"" ""))))"),"Montecarotto")</f>
        <v>Montecarotto</v>
      </c>
      <c r="C4876" s="6"/>
      <c r="D4876" s="6" t="s">
        <v>4919</v>
      </c>
      <c r="E4876" s="13" t="s">
        <v>4920</v>
      </c>
    </row>
    <row r="4877">
      <c r="A4877" s="4" t="s">
        <v>4944</v>
      </c>
      <c r="B4877" s="5" t="str">
        <f>IFERROR(__xludf.DUMMYFUNCTION("IF(A4877="""","""",INDEX(SPLIT(A4877,"" ""),COUNTA(SPLIT(A4877,"" ""))))"),"Montemarciano")</f>
        <v>Montemarciano</v>
      </c>
      <c r="C4877" s="6"/>
      <c r="D4877" s="6" t="s">
        <v>4919</v>
      </c>
      <c r="E4877" s="13" t="s">
        <v>4920</v>
      </c>
    </row>
    <row r="4878">
      <c r="A4878" s="4" t="s">
        <v>4945</v>
      </c>
      <c r="B4878" s="5" t="str">
        <f>IFERROR(__xludf.DUMMYFUNCTION("IF(A4878="""","""",INDEX(SPLIT(A4878,"" ""),COUNTA(SPLIT(A4878,"" ""))))"),"Roberto")</f>
        <v>Roberto</v>
      </c>
      <c r="C4878" s="6"/>
      <c r="D4878" s="6" t="s">
        <v>4919</v>
      </c>
      <c r="E4878" s="13" t="s">
        <v>4920</v>
      </c>
    </row>
    <row r="4879">
      <c r="A4879" s="4" t="s">
        <v>4946</v>
      </c>
      <c r="B4879" s="5" t="str">
        <f>IFERROR(__xludf.DUMMYFUNCTION("IF(A4879="""","""",INDEX(SPLIT(A4879,"" ""),COUNTA(SPLIT(A4879,"" ""))))"),"Vito")</f>
        <v>Vito</v>
      </c>
      <c r="C4879" s="6"/>
      <c r="D4879" s="6" t="s">
        <v>4919</v>
      </c>
      <c r="E4879" s="13" t="s">
        <v>4920</v>
      </c>
    </row>
    <row r="4880">
      <c r="A4880" s="4" t="s">
        <v>4947</v>
      </c>
      <c r="B4880" s="5" t="str">
        <f>IFERROR(__xludf.DUMMYFUNCTION("IF(A4880="""","""",INDEX(SPLIT(A4880,"" ""),COUNTA(SPLIT(A4880,"" ""))))"),"d'Alba")</f>
        <v>d'Alba</v>
      </c>
      <c r="C4880" s="6"/>
      <c r="D4880" s="6" t="s">
        <v>4919</v>
      </c>
      <c r="E4880" s="13" t="s">
        <v>4920</v>
      </c>
    </row>
    <row r="4881">
      <c r="A4881" s="4" t="s">
        <v>4948</v>
      </c>
      <c r="B4881" s="5" t="str">
        <f>IFERROR(__xludf.DUMMYFUNCTION("IF(A4881="""","""",INDEX(SPLIT(A4881,"" ""),COUNTA(SPLIT(A4881,"" ""))))"),"Numana")</f>
        <v>Numana</v>
      </c>
      <c r="C4881" s="6"/>
      <c r="D4881" s="6" t="s">
        <v>4919</v>
      </c>
      <c r="E4881" s="13" t="s">
        <v>4920</v>
      </c>
    </row>
    <row r="4882">
      <c r="A4882" s="4" t="s">
        <v>4949</v>
      </c>
      <c r="B4882" s="5" t="str">
        <f>IFERROR(__xludf.DUMMYFUNCTION("IF(A4882="""","""",INDEX(SPLIT(A4882,"" ""),COUNTA(SPLIT(A4882,"" ""))))"),"Offagna")</f>
        <v>Offagna</v>
      </c>
      <c r="C4882" s="6"/>
      <c r="D4882" s="6" t="s">
        <v>4919</v>
      </c>
      <c r="E4882" s="13" t="s">
        <v>4920</v>
      </c>
    </row>
    <row r="4883">
      <c r="A4883" s="4" t="s">
        <v>4950</v>
      </c>
      <c r="B4883" s="5" t="str">
        <f>IFERROR(__xludf.DUMMYFUNCTION("IF(A4883="""","""",INDEX(SPLIT(A4883,"" ""),COUNTA(SPLIT(A4883,"" ""))))"),"Osimo")</f>
        <v>Osimo</v>
      </c>
      <c r="C4883" s="6"/>
      <c r="D4883" s="6" t="s">
        <v>4919</v>
      </c>
      <c r="E4883" s="13" t="s">
        <v>4920</v>
      </c>
    </row>
    <row r="4884">
      <c r="A4884" s="4" t="s">
        <v>4951</v>
      </c>
      <c r="B4884" s="5" t="str">
        <f>IFERROR(__xludf.DUMMYFUNCTION("IF(A4884="""","""",INDEX(SPLIT(A4884,"" ""),COUNTA(SPLIT(A4884,"" ""))))"),"Ostra")</f>
        <v>Ostra</v>
      </c>
      <c r="C4884" s="6"/>
      <c r="D4884" s="6" t="s">
        <v>4919</v>
      </c>
      <c r="E4884" s="13" t="s">
        <v>4920</v>
      </c>
    </row>
    <row r="4885">
      <c r="A4885" s="4" t="s">
        <v>4952</v>
      </c>
      <c r="B4885" s="5" t="str">
        <f>IFERROR(__xludf.DUMMYFUNCTION("IF(A4885="""","""",INDEX(SPLIT(A4885,"" ""),COUNTA(SPLIT(A4885,"" ""))))"),"Vetere")</f>
        <v>Vetere</v>
      </c>
      <c r="C4885" s="6"/>
      <c r="D4885" s="6" t="s">
        <v>4919</v>
      </c>
      <c r="E4885" s="13" t="s">
        <v>4920</v>
      </c>
    </row>
    <row r="4886">
      <c r="A4886" s="4" t="s">
        <v>4953</v>
      </c>
      <c r="B4886" s="5" t="str">
        <f>IFERROR(__xludf.DUMMYFUNCTION("IF(A4886="""","""",INDEX(SPLIT(A4886,"" ""),COUNTA(SPLIT(A4886,"" ""))))"),"Marcello")</f>
        <v>Marcello</v>
      </c>
      <c r="C4886" s="6"/>
      <c r="D4886" s="6" t="s">
        <v>4919</v>
      </c>
      <c r="E4886" s="13" t="s">
        <v>4920</v>
      </c>
    </row>
    <row r="4887">
      <c r="A4887" s="4" t="s">
        <v>4954</v>
      </c>
      <c r="B4887" s="5" t="str">
        <f>IFERROR(__xludf.DUMMYFUNCTION("IF(A4887="""","""",INDEX(SPLIT(A4887,"" ""),COUNTA(SPLIT(A4887,"" ""))))"),"Polverigi")</f>
        <v>Polverigi</v>
      </c>
      <c r="C4887" s="6"/>
      <c r="D4887" s="6" t="s">
        <v>4919</v>
      </c>
      <c r="E4887" s="13" t="s">
        <v>4920</v>
      </c>
    </row>
    <row r="4888">
      <c r="A4888" s="4" t="s">
        <v>4955</v>
      </c>
      <c r="B4888" s="5" t="str">
        <f>IFERROR(__xludf.DUMMYFUNCTION("IF(A4888="""","""",INDEX(SPLIT(A4888,"" ""),COUNTA(SPLIT(A4888,"" ""))))"),"Rosora")</f>
        <v>Rosora</v>
      </c>
      <c r="C4888" s="6"/>
      <c r="D4888" s="6" t="s">
        <v>4919</v>
      </c>
      <c r="E4888" s="13" t="s">
        <v>4920</v>
      </c>
    </row>
    <row r="4889">
      <c r="A4889" s="4" t="s">
        <v>4956</v>
      </c>
      <c r="B4889" s="5" t="str">
        <f>IFERROR(__xludf.DUMMYFUNCTION("IF(A4889="""","""",INDEX(SPLIT(A4889,"" ""),COUNTA(SPLIT(A4889,"" ""))))"),"Marcello")</f>
        <v>Marcello</v>
      </c>
      <c r="C4889" s="6"/>
      <c r="D4889" s="6" t="s">
        <v>4919</v>
      </c>
      <c r="E4889" s="13" t="s">
        <v>4920</v>
      </c>
    </row>
    <row r="4890">
      <c r="A4890" s="4" t="s">
        <v>4957</v>
      </c>
      <c r="B4890" s="5" t="str">
        <f>IFERROR(__xludf.DUMMYFUNCTION("IF(A4890="""","""",INDEX(SPLIT(A4890,"" ""),COUNTA(SPLIT(A4890,"" ""))))"),"Jesi")</f>
        <v>Jesi</v>
      </c>
      <c r="C4890" s="6"/>
      <c r="D4890" s="6" t="s">
        <v>4919</v>
      </c>
      <c r="E4890" s="13" t="s">
        <v>4920</v>
      </c>
    </row>
    <row r="4891">
      <c r="A4891" s="4" t="s">
        <v>4958</v>
      </c>
      <c r="B4891" s="5" t="str">
        <f>IFERROR(__xludf.DUMMYFUNCTION("IF(A4891="""","""",INDEX(SPLIT(A4891,"" ""),COUNTA(SPLIT(A4891,"" ""))))"),"Nuova")</f>
        <v>Nuova</v>
      </c>
      <c r="C4891" s="6"/>
      <c r="D4891" s="6" t="s">
        <v>4919</v>
      </c>
      <c r="E4891" s="13" t="s">
        <v>4920</v>
      </c>
    </row>
    <row r="4892">
      <c r="A4892" s="4" t="s">
        <v>4959</v>
      </c>
      <c r="B4892" s="5" t="str">
        <f>IFERROR(__xludf.DUMMYFUNCTION("IF(A4892="""","""",INDEX(SPLIT(A4892,"" ""),COUNTA(SPLIT(A4892,"" ""))))"),"Sassoferrato")</f>
        <v>Sassoferrato</v>
      </c>
      <c r="C4892" s="6"/>
      <c r="D4892" s="6" t="s">
        <v>4919</v>
      </c>
      <c r="E4892" s="13" t="s">
        <v>4920</v>
      </c>
    </row>
    <row r="4893">
      <c r="A4893" s="4" t="s">
        <v>4960</v>
      </c>
      <c r="B4893" s="5" t="str">
        <f>IFERROR(__xludf.DUMMYFUNCTION("IF(A4893="""","""",INDEX(SPLIT(A4893,"" ""),COUNTA(SPLIT(A4893,"" ""))))"),"Senigallia")</f>
        <v>Senigallia</v>
      </c>
      <c r="C4893" s="6"/>
      <c r="D4893" s="6" t="s">
        <v>4919</v>
      </c>
      <c r="E4893" s="13" t="s">
        <v>4920</v>
      </c>
    </row>
    <row r="4894">
      <c r="A4894" s="4" t="s">
        <v>4961</v>
      </c>
      <c r="B4894" s="5" t="str">
        <f>IFERROR(__xludf.DUMMYFUNCTION("IF(A4894="""","""",INDEX(SPLIT(A4894,"" ""),COUNTA(SPLIT(A4894,"" ""))))"),"Conti")</f>
        <v>Conti</v>
      </c>
      <c r="C4894" s="6"/>
      <c r="D4894" s="6" t="s">
        <v>4919</v>
      </c>
      <c r="E4894" s="13" t="s">
        <v>4920</v>
      </c>
    </row>
    <row r="4895">
      <c r="A4895" s="4" t="s">
        <v>4962</v>
      </c>
      <c r="B4895" s="5" t="str">
        <f>IFERROR(__xludf.DUMMYFUNCTION("IF(A4895="""","""",INDEX(SPLIT(A4895,"" ""),COUNTA(SPLIT(A4895,"" ""))))"),"Quirico")</f>
        <v>Quirico</v>
      </c>
      <c r="C4895" s="6"/>
      <c r="D4895" s="6" t="s">
        <v>4919</v>
      </c>
      <c r="E4895" s="13" t="s">
        <v>4920</v>
      </c>
    </row>
    <row r="4896">
      <c r="A4896" s="4" t="s">
        <v>4963</v>
      </c>
      <c r="B4896" s="5" t="str">
        <f>IFERROR(__xludf.DUMMYFUNCTION("IF(A4896="""","""",INDEX(SPLIT(A4896,"" ""),COUNTA(SPLIT(A4896,"" ""))))"),"Sirolo")</f>
        <v>Sirolo</v>
      </c>
      <c r="C4896" s="6"/>
      <c r="D4896" s="6" t="s">
        <v>4919</v>
      </c>
      <c r="E4896" s="13" t="s">
        <v>4920</v>
      </c>
    </row>
    <row r="4897">
      <c r="A4897" s="4" t="s">
        <v>4964</v>
      </c>
      <c r="B4897" s="5" t="str">
        <f>IFERROR(__xludf.DUMMYFUNCTION("IF(A4897="""","""",INDEX(SPLIT(A4897,"" ""),COUNTA(SPLIT(A4897,"" ""))))"),"Staffolo")</f>
        <v>Staffolo</v>
      </c>
      <c r="C4897" s="6"/>
      <c r="D4897" s="6" t="s">
        <v>4919</v>
      </c>
      <c r="E4897" s="13" t="s">
        <v>4920</v>
      </c>
    </row>
    <row r="4898">
      <c r="A4898" s="4" t="s">
        <v>4965</v>
      </c>
      <c r="B4898" s="5" t="str">
        <f>IFERROR(__xludf.DUMMYFUNCTION("IF(A4898="""","""",INDEX(SPLIT(A4898,"" ""),COUNTA(SPLIT(A4898,"" ""))))"),"Trecastelli")</f>
        <v>Trecastelli</v>
      </c>
      <c r="C4898" s="6"/>
      <c r="D4898" s="6" t="s">
        <v>4919</v>
      </c>
      <c r="E4898" s="13" t="s">
        <v>4920</v>
      </c>
    </row>
    <row r="4899">
      <c r="A4899" s="4" t="s">
        <v>4966</v>
      </c>
      <c r="B4899" s="5" t="str">
        <f>IFERROR(__xludf.DUMMYFUNCTION("IF(A4899="""","""",INDEX(SPLIT(A4899,"" ""),COUNTA(SPLIT(A4899,"" ""))))"),"Apiro")</f>
        <v>Apiro</v>
      </c>
      <c r="C4899" s="6"/>
      <c r="D4899" s="6" t="s">
        <v>4967</v>
      </c>
      <c r="E4899" s="13" t="s">
        <v>4968</v>
      </c>
    </row>
    <row r="4900">
      <c r="A4900" s="4" t="s">
        <v>4969</v>
      </c>
      <c r="B4900" s="5" t="str">
        <f>IFERROR(__xludf.DUMMYFUNCTION("IF(A4900="""","""",INDEX(SPLIT(A4900,"" ""),COUNTA(SPLIT(A4900,"" ""))))"),"Appignano")</f>
        <v>Appignano</v>
      </c>
      <c r="C4900" s="6"/>
      <c r="D4900" s="6" t="s">
        <v>4967</v>
      </c>
      <c r="E4900" s="13" t="s">
        <v>4968</v>
      </c>
    </row>
    <row r="4901">
      <c r="A4901" s="4" t="s">
        <v>4970</v>
      </c>
      <c r="B4901" s="5" t="str">
        <f>IFERROR(__xludf.DUMMYFUNCTION("IF(A4901="""","""",INDEX(SPLIT(A4901,"" ""),COUNTA(SPLIT(A4901,"" ""))))"),"Chienti")</f>
        <v>Chienti</v>
      </c>
      <c r="C4901" s="6"/>
      <c r="D4901" s="6" t="s">
        <v>4967</v>
      </c>
      <c r="E4901" s="13" t="s">
        <v>4968</v>
      </c>
    </row>
    <row r="4902">
      <c r="A4902" s="4" t="s">
        <v>4971</v>
      </c>
      <c r="B4902" s="5" t="str">
        <f>IFERROR(__xludf.DUMMYFUNCTION("IF(A4902="""","""",INDEX(SPLIT(A4902,"" ""),COUNTA(SPLIT(A4902,"" ""))))"),"Bolognola")</f>
        <v>Bolognola</v>
      </c>
      <c r="C4902" s="6"/>
      <c r="D4902" s="6" t="s">
        <v>4967</v>
      </c>
      <c r="E4902" s="13" t="s">
        <v>4968</v>
      </c>
    </row>
    <row r="4903">
      <c r="A4903" s="4" t="s">
        <v>4972</v>
      </c>
      <c r="B4903" s="5" t="str">
        <f>IFERROR(__xludf.DUMMYFUNCTION("IF(A4903="""","""",INDEX(SPLIT(A4903,"" ""),COUNTA(SPLIT(A4903,"" ""))))"),"Caldarola")</f>
        <v>Caldarola</v>
      </c>
      <c r="C4903" s="6"/>
      <c r="D4903" s="6" t="s">
        <v>4967</v>
      </c>
      <c r="E4903" s="13" t="s">
        <v>4968</v>
      </c>
    </row>
    <row r="4904">
      <c r="A4904" s="4" t="s">
        <v>4973</v>
      </c>
      <c r="B4904" s="5" t="str">
        <f>IFERROR(__xludf.DUMMYFUNCTION("IF(A4904="""","""",INDEX(SPLIT(A4904,"" ""),COUNTA(SPLIT(A4904,"" ""))))"),"Camerino")</f>
        <v>Camerino</v>
      </c>
      <c r="C4904" s="6"/>
      <c r="D4904" s="6" t="s">
        <v>4967</v>
      </c>
      <c r="E4904" s="13" t="s">
        <v>4968</v>
      </c>
    </row>
    <row r="4905">
      <c r="A4905" s="4" t="s">
        <v>4974</v>
      </c>
      <c r="B4905" s="5" t="str">
        <f>IFERROR(__xludf.DUMMYFUNCTION("IF(A4905="""","""",INDEX(SPLIT(A4905,"" ""),COUNTA(SPLIT(A4905,"" ""))))"),"Fiastrone")</f>
        <v>Fiastrone</v>
      </c>
      <c r="C4905" s="6"/>
      <c r="D4905" s="6" t="s">
        <v>4967</v>
      </c>
      <c r="E4905" s="13" t="s">
        <v>4968</v>
      </c>
    </row>
    <row r="4906">
      <c r="A4906" s="4" t="s">
        <v>4975</v>
      </c>
      <c r="B4906" s="5" t="str">
        <f>IFERROR(__xludf.DUMMYFUNCTION("IF(A4906="""","""",INDEX(SPLIT(A4906,"" ""),COUNTA(SPLIT(A4906,"" ""))))"),"Castelraimondo")</f>
        <v>Castelraimondo</v>
      </c>
      <c r="C4906" s="6"/>
      <c r="D4906" s="6" t="s">
        <v>4967</v>
      </c>
      <c r="E4906" s="13" t="s">
        <v>4968</v>
      </c>
    </row>
    <row r="4907">
      <c r="A4907" s="4" t="s">
        <v>4976</v>
      </c>
      <c r="B4907" s="5" t="str">
        <f>IFERROR(__xludf.DUMMYFUNCTION("IF(A4907="""","""",INDEX(SPLIT(A4907,"" ""),COUNTA(SPLIT(A4907,"" ""))))"),"Nera")</f>
        <v>Nera</v>
      </c>
      <c r="C4907" s="6"/>
      <c r="D4907" s="6" t="s">
        <v>4967</v>
      </c>
      <c r="E4907" s="13" t="s">
        <v>4968</v>
      </c>
    </row>
    <row r="4908">
      <c r="A4908" s="4" t="s">
        <v>4977</v>
      </c>
      <c r="B4908" s="5" t="str">
        <f>IFERROR(__xludf.DUMMYFUNCTION("IF(A4908="""","""",INDEX(SPLIT(A4908,"" ""),COUNTA(SPLIT(A4908,"" ""))))"),"Cessapalombo")</f>
        <v>Cessapalombo</v>
      </c>
      <c r="C4908" s="6"/>
      <c r="D4908" s="6" t="s">
        <v>4967</v>
      </c>
      <c r="E4908" s="13" t="s">
        <v>4968</v>
      </c>
    </row>
    <row r="4909">
      <c r="A4909" s="4" t="s">
        <v>4978</v>
      </c>
      <c r="B4909" s="5" t="str">
        <f>IFERROR(__xludf.DUMMYFUNCTION("IF(A4909="""","""",INDEX(SPLIT(A4909,"" ""),COUNTA(SPLIT(A4909,"" ""))))"),"Cingoli")</f>
        <v>Cingoli</v>
      </c>
      <c r="C4909" s="6"/>
      <c r="D4909" s="6" t="s">
        <v>4967</v>
      </c>
      <c r="E4909" s="13" t="s">
        <v>4968</v>
      </c>
    </row>
    <row r="4910">
      <c r="A4910" s="4" t="s">
        <v>4979</v>
      </c>
      <c r="B4910" s="5" t="str">
        <f>IFERROR(__xludf.DUMMYFUNCTION("IF(A4910="""","""",INDEX(SPLIT(A4910,"" ""),COUNTA(SPLIT(A4910,"" ""))))"),"Marche")</f>
        <v>Marche</v>
      </c>
      <c r="C4910" s="6"/>
      <c r="D4910" s="6" t="s">
        <v>4967</v>
      </c>
      <c r="E4910" s="13" t="s">
        <v>4968</v>
      </c>
    </row>
    <row r="4911">
      <c r="A4911" s="4" t="s">
        <v>4980</v>
      </c>
      <c r="B4911" s="5" t="str">
        <f>IFERROR(__xludf.DUMMYFUNCTION("IF(A4911="""","""",INDEX(SPLIT(A4911,"" ""),COUNTA(SPLIT(A4911,"" ""))))"),"Colmurano")</f>
        <v>Colmurano</v>
      </c>
      <c r="C4911" s="6"/>
      <c r="D4911" s="6" t="s">
        <v>4967</v>
      </c>
      <c r="E4911" s="13" t="s">
        <v>4968</v>
      </c>
    </row>
    <row r="4912">
      <c r="A4912" s="4" t="s">
        <v>4981</v>
      </c>
      <c r="B4912" s="5" t="str">
        <f>IFERROR(__xludf.DUMMYFUNCTION("IF(A4912="""","""",INDEX(SPLIT(A4912,"" ""),COUNTA(SPLIT(A4912,"" ""))))"),"Corridonia")</f>
        <v>Corridonia</v>
      </c>
      <c r="C4912" s="6"/>
      <c r="D4912" s="6" t="s">
        <v>4967</v>
      </c>
      <c r="E4912" s="13" t="s">
        <v>4968</v>
      </c>
    </row>
    <row r="4913">
      <c r="A4913" s="4" t="s">
        <v>4982</v>
      </c>
      <c r="B4913" s="5" t="str">
        <f>IFERROR(__xludf.DUMMYFUNCTION("IF(A4913="""","""",INDEX(SPLIT(A4913,"" ""),COUNTA(SPLIT(A4913,"" ""))))"),"Esanatoglia")</f>
        <v>Esanatoglia</v>
      </c>
      <c r="C4913" s="6"/>
      <c r="D4913" s="6" t="s">
        <v>4967</v>
      </c>
      <c r="E4913" s="13" t="s">
        <v>4968</v>
      </c>
    </row>
    <row r="4914">
      <c r="A4914" s="4" t="s">
        <v>4983</v>
      </c>
      <c r="B4914" s="5" t="str">
        <f>IFERROR(__xludf.DUMMYFUNCTION("IF(A4914="""","""",INDEX(SPLIT(A4914,"" ""),COUNTA(SPLIT(A4914,"" ""))))"),"Fiastra")</f>
        <v>Fiastra</v>
      </c>
      <c r="C4914" s="6"/>
      <c r="D4914" s="6" t="s">
        <v>4967</v>
      </c>
      <c r="E4914" s="13" t="s">
        <v>4968</v>
      </c>
    </row>
    <row r="4915">
      <c r="A4915" s="4" t="s">
        <v>4984</v>
      </c>
      <c r="B4915" s="5" t="str">
        <f>IFERROR(__xludf.DUMMYFUNCTION("IF(A4915="""","""",INDEX(SPLIT(A4915,"" ""),COUNTA(SPLIT(A4915,"" ""))))"),"Fiuminata")</f>
        <v>Fiuminata</v>
      </c>
      <c r="C4915" s="6"/>
      <c r="D4915" s="6" t="s">
        <v>4967</v>
      </c>
      <c r="E4915" s="13" t="s">
        <v>4968</v>
      </c>
    </row>
    <row r="4916">
      <c r="A4916" s="4" t="s">
        <v>4985</v>
      </c>
      <c r="B4916" s="5" t="str">
        <f>IFERROR(__xludf.DUMMYFUNCTION("IF(A4916="""","""",INDEX(SPLIT(A4916,"" ""),COUNTA(SPLIT(A4916,"" ""))))"),"Gagliole")</f>
        <v>Gagliole</v>
      </c>
      <c r="C4916" s="6"/>
      <c r="D4916" s="6" t="s">
        <v>4967</v>
      </c>
      <c r="E4916" s="13" t="s">
        <v>4968</v>
      </c>
    </row>
    <row r="4917">
      <c r="A4917" s="4" t="s">
        <v>4986</v>
      </c>
      <c r="B4917" s="5" t="str">
        <f>IFERROR(__xludf.DUMMYFUNCTION("IF(A4917="""","""",INDEX(SPLIT(A4917,"" ""),COUNTA(SPLIT(A4917,"" ""))))"),"Gualdo")</f>
        <v>Gualdo</v>
      </c>
      <c r="C4917" s="6"/>
      <c r="D4917" s="6" t="s">
        <v>4967</v>
      </c>
      <c r="E4917" s="13" t="s">
        <v>4968</v>
      </c>
    </row>
    <row r="4918">
      <c r="A4918" s="4" t="s">
        <v>4987</v>
      </c>
      <c r="B4918" s="5" t="str">
        <f>IFERROR(__xludf.DUMMYFUNCTION("IF(A4918="""","""",INDEX(SPLIT(A4918,"" ""),COUNTA(SPLIT(A4918,"" ""))))"),"Piceno")</f>
        <v>Piceno</v>
      </c>
      <c r="C4918" s="6"/>
      <c r="D4918" s="6" t="s">
        <v>4967</v>
      </c>
      <c r="E4918" s="13" t="s">
        <v>4968</v>
      </c>
    </row>
    <row r="4919">
      <c r="A4919" s="4" t="s">
        <v>4967</v>
      </c>
      <c r="B4919" s="5" t="str">
        <f>IFERROR(__xludf.DUMMYFUNCTION("IF(A4919="""","""",INDEX(SPLIT(A4919,"" ""),COUNTA(SPLIT(A4919,"" ""))))"),"Macerata")</f>
        <v>Macerata</v>
      </c>
      <c r="C4919" s="6"/>
      <c r="D4919" s="6" t="s">
        <v>4967</v>
      </c>
      <c r="E4919" s="13" t="s">
        <v>4968</v>
      </c>
    </row>
    <row r="4920">
      <c r="A4920" s="4" t="s">
        <v>4988</v>
      </c>
      <c r="B4920" s="5" t="str">
        <f>IFERROR(__xludf.DUMMYFUNCTION("IF(A4920="""","""",INDEX(SPLIT(A4920,"" ""),COUNTA(SPLIT(A4920,"" ""))))"),"Matelica")</f>
        <v>Matelica</v>
      </c>
      <c r="C4920" s="6"/>
      <c r="D4920" s="6" t="s">
        <v>4967</v>
      </c>
      <c r="E4920" s="13" t="s">
        <v>4968</v>
      </c>
    </row>
    <row r="4921">
      <c r="A4921" s="4" t="s">
        <v>4989</v>
      </c>
      <c r="B4921" s="5" t="str">
        <f>IFERROR(__xludf.DUMMYFUNCTION("IF(A4921="""","""",INDEX(SPLIT(A4921,"" ""),COUNTA(SPLIT(A4921,"" ""))))"),"Mogliano")</f>
        <v>Mogliano</v>
      </c>
      <c r="C4921" s="6"/>
      <c r="D4921" s="6" t="s">
        <v>4967</v>
      </c>
      <c r="E4921" s="13" t="s">
        <v>4968</v>
      </c>
    </row>
    <row r="4922">
      <c r="A4922" s="4" t="s">
        <v>4990</v>
      </c>
      <c r="B4922" s="5" t="str">
        <f>IFERROR(__xludf.DUMMYFUNCTION("IF(A4922="""","""",INDEX(SPLIT(A4922,"" ""),COUNTA(SPLIT(A4922,"" ""))))"),"Montecassiano")</f>
        <v>Montecassiano</v>
      </c>
      <c r="C4922" s="6"/>
      <c r="D4922" s="6" t="s">
        <v>4967</v>
      </c>
      <c r="E4922" s="13" t="s">
        <v>4968</v>
      </c>
    </row>
    <row r="4923">
      <c r="A4923" s="4" t="s">
        <v>4991</v>
      </c>
      <c r="B4923" s="5" t="str">
        <f>IFERROR(__xludf.DUMMYFUNCTION("IF(A4923="""","""",INDEX(SPLIT(A4923,"" ""),COUNTA(SPLIT(A4923,"" ""))))"),"Cavallo")</f>
        <v>Cavallo</v>
      </c>
      <c r="C4923" s="6"/>
      <c r="D4923" s="6" t="s">
        <v>4967</v>
      </c>
      <c r="E4923" s="13" t="s">
        <v>4968</v>
      </c>
    </row>
    <row r="4924">
      <c r="A4924" s="4" t="s">
        <v>4992</v>
      </c>
      <c r="B4924" s="5" t="str">
        <f>IFERROR(__xludf.DUMMYFUNCTION("IF(A4924="""","""",INDEX(SPLIT(A4924,"" ""),COUNTA(SPLIT(A4924,"" ""))))"),"Montecosaro")</f>
        <v>Montecosaro</v>
      </c>
      <c r="C4924" s="6"/>
      <c r="D4924" s="6" t="s">
        <v>4967</v>
      </c>
      <c r="E4924" s="13" t="s">
        <v>4968</v>
      </c>
    </row>
    <row r="4925">
      <c r="A4925" s="4" t="s">
        <v>4993</v>
      </c>
      <c r="B4925" s="5" t="str">
        <f>IFERROR(__xludf.DUMMYFUNCTION("IF(A4925="""","""",INDEX(SPLIT(A4925,"" ""),COUNTA(SPLIT(A4925,"" ""))))"),"Montefano")</f>
        <v>Montefano</v>
      </c>
      <c r="C4925" s="6"/>
      <c r="D4925" s="6" t="s">
        <v>4967</v>
      </c>
      <c r="E4925" s="13" t="s">
        <v>4968</v>
      </c>
    </row>
    <row r="4926">
      <c r="A4926" s="4" t="s">
        <v>4994</v>
      </c>
      <c r="B4926" s="5" t="str">
        <f>IFERROR(__xludf.DUMMYFUNCTION("IF(A4926="""","""",INDEX(SPLIT(A4926,"" ""),COUNTA(SPLIT(A4926,"" ""))))"),"Montelupone")</f>
        <v>Montelupone</v>
      </c>
      <c r="C4926" s="6"/>
      <c r="D4926" s="6" t="s">
        <v>4967</v>
      </c>
      <c r="E4926" s="13" t="s">
        <v>4968</v>
      </c>
    </row>
    <row r="4927">
      <c r="A4927" s="4" t="s">
        <v>4995</v>
      </c>
      <c r="B4927" s="5" t="str">
        <f>IFERROR(__xludf.DUMMYFUNCTION("IF(A4927="""","""",INDEX(SPLIT(A4927,"" ""),COUNTA(SPLIT(A4927,"" ""))))"),"Giusto")</f>
        <v>Giusto</v>
      </c>
      <c r="C4927" s="6"/>
      <c r="D4927" s="6" t="s">
        <v>4967</v>
      </c>
      <c r="E4927" s="13" t="s">
        <v>4968</v>
      </c>
    </row>
    <row r="4928">
      <c r="A4928" s="4" t="s">
        <v>4996</v>
      </c>
      <c r="B4928" s="5" t="str">
        <f>IFERROR(__xludf.DUMMYFUNCTION("IF(A4928="""","""",INDEX(SPLIT(A4928,"" ""),COUNTA(SPLIT(A4928,"" ""))))"),"Martino")</f>
        <v>Martino</v>
      </c>
      <c r="C4928" s="6"/>
      <c r="D4928" s="6" t="s">
        <v>4967</v>
      </c>
      <c r="E4928" s="13" t="s">
        <v>4968</v>
      </c>
    </row>
    <row r="4929">
      <c r="A4929" s="4" t="s">
        <v>4997</v>
      </c>
      <c r="B4929" s="5" t="str">
        <f>IFERROR(__xludf.DUMMYFUNCTION("IF(A4929="""","""",INDEX(SPLIT(A4929,"" ""),COUNTA(SPLIT(A4929,"" ""))))"),"Morrovalle")</f>
        <v>Morrovalle</v>
      </c>
      <c r="C4929" s="6"/>
      <c r="D4929" s="6" t="s">
        <v>4967</v>
      </c>
      <c r="E4929" s="13" t="s">
        <v>4968</v>
      </c>
    </row>
    <row r="4930">
      <c r="A4930" s="4" t="s">
        <v>4998</v>
      </c>
      <c r="B4930" s="5" t="str">
        <f>IFERROR(__xludf.DUMMYFUNCTION("IF(A4930="""","""",INDEX(SPLIT(A4930,"" ""),COUNTA(SPLIT(A4930,"" ""))))"),"Muccia")</f>
        <v>Muccia</v>
      </c>
      <c r="C4930" s="6"/>
      <c r="D4930" s="6" t="s">
        <v>4967</v>
      </c>
      <c r="E4930" s="13" t="s">
        <v>4968</v>
      </c>
    </row>
    <row r="4931">
      <c r="A4931" s="4" t="s">
        <v>4999</v>
      </c>
      <c r="B4931" s="5" t="str">
        <f>IFERROR(__xludf.DUMMYFUNCTION("IF(A4931="""","""",INDEX(SPLIT(A4931,"" ""),COUNTA(SPLIT(A4931,"" ""))))"),"Giovanni")</f>
        <v>Giovanni</v>
      </c>
      <c r="C4931" s="6"/>
      <c r="D4931" s="6" t="s">
        <v>4967</v>
      </c>
      <c r="E4931" s="13" t="s">
        <v>4968</v>
      </c>
    </row>
    <row r="4932">
      <c r="A4932" s="4" t="s">
        <v>5000</v>
      </c>
      <c r="B4932" s="5" t="str">
        <f>IFERROR(__xludf.DUMMYFUNCTION("IF(A4932="""","""",INDEX(SPLIT(A4932,"" ""),COUNTA(SPLIT(A4932,"" ""))))"),"Petriolo")</f>
        <v>Petriolo</v>
      </c>
      <c r="C4932" s="6"/>
      <c r="D4932" s="6" t="s">
        <v>4967</v>
      </c>
      <c r="E4932" s="13" t="s">
        <v>4968</v>
      </c>
    </row>
    <row r="4933">
      <c r="A4933" s="4" t="s">
        <v>5001</v>
      </c>
      <c r="B4933" s="5" t="str">
        <f>IFERROR(__xludf.DUMMYFUNCTION("IF(A4933="""","""",INDEX(SPLIT(A4933,"" ""),COUNTA(SPLIT(A4933,"" ""))))"),"Torina")</f>
        <v>Torina</v>
      </c>
      <c r="C4933" s="6"/>
      <c r="D4933" s="6" t="s">
        <v>4967</v>
      </c>
      <c r="E4933" s="13" t="s">
        <v>4968</v>
      </c>
    </row>
    <row r="4934">
      <c r="A4934" s="4" t="s">
        <v>5002</v>
      </c>
      <c r="B4934" s="5" t="str">
        <f>IFERROR(__xludf.DUMMYFUNCTION("IF(A4934="""","""",INDEX(SPLIT(A4934,"" ""),COUNTA(SPLIT(A4934,"" ""))))"),"Pioraco")</f>
        <v>Pioraco</v>
      </c>
      <c r="C4934" s="6"/>
      <c r="D4934" s="6" t="s">
        <v>4967</v>
      </c>
      <c r="E4934" s="13" t="s">
        <v>4968</v>
      </c>
    </row>
    <row r="4935">
      <c r="A4935" s="4" t="s">
        <v>5003</v>
      </c>
      <c r="B4935" s="5" t="str">
        <f>IFERROR(__xludf.DUMMYFUNCTION("IF(A4935="""","""",INDEX(SPLIT(A4935,"" ""),COUNTA(SPLIT(A4935,"" ""))))"),"Vicino")</f>
        <v>Vicino</v>
      </c>
      <c r="C4935" s="6"/>
      <c r="D4935" s="6" t="s">
        <v>4967</v>
      </c>
      <c r="E4935" s="13" t="s">
        <v>4968</v>
      </c>
    </row>
    <row r="4936">
      <c r="A4936" s="4" t="s">
        <v>5004</v>
      </c>
      <c r="B4936" s="5" t="str">
        <f>IFERROR(__xludf.DUMMYFUNCTION("IF(A4936="""","""",INDEX(SPLIT(A4936,"" ""),COUNTA(SPLIT(A4936,"" ""))))"),"Pollenza")</f>
        <v>Pollenza</v>
      </c>
      <c r="C4936" s="6"/>
      <c r="D4936" s="6" t="s">
        <v>4967</v>
      </c>
      <c r="E4936" s="13" t="s">
        <v>4968</v>
      </c>
    </row>
    <row r="4937">
      <c r="A4937" s="4" t="s">
        <v>5005</v>
      </c>
      <c r="B4937" s="5" t="str">
        <f>IFERROR(__xludf.DUMMYFUNCTION("IF(A4937="""","""",INDEX(SPLIT(A4937,"" ""),COUNTA(SPLIT(A4937,"" ""))))"),"Recanati")</f>
        <v>Recanati</v>
      </c>
      <c r="C4937" s="6"/>
      <c r="D4937" s="6" t="s">
        <v>4967</v>
      </c>
      <c r="E4937" s="13" t="s">
        <v>4968</v>
      </c>
    </row>
    <row r="4938">
      <c r="A4938" s="4" t="s">
        <v>5006</v>
      </c>
      <c r="B4938" s="5" t="str">
        <f>IFERROR(__xludf.DUMMYFUNCTION("IF(A4938="""","""",INDEX(SPLIT(A4938,"" ""),COUNTA(SPLIT(A4938,"" ""))))"),"Picena")</f>
        <v>Picena</v>
      </c>
      <c r="C4938" s="6"/>
      <c r="D4938" s="6" t="s">
        <v>4967</v>
      </c>
      <c r="E4938" s="13" t="s">
        <v>4968</v>
      </c>
    </row>
    <row r="4939">
      <c r="A4939" s="4" t="s">
        <v>5007</v>
      </c>
      <c r="B4939" s="5" t="str">
        <f>IFERROR(__xludf.DUMMYFUNCTION("IF(A4939="""","""",INDEX(SPLIT(A4939,"" ""),COUNTA(SPLIT(A4939,"" ""))))"),"Recanati")</f>
        <v>Recanati</v>
      </c>
      <c r="C4939" s="6"/>
      <c r="D4939" s="6" t="s">
        <v>4967</v>
      </c>
      <c r="E4939" s="13" t="s">
        <v>4968</v>
      </c>
    </row>
    <row r="4940">
      <c r="A4940" s="4" t="s">
        <v>5008</v>
      </c>
      <c r="B4940" s="5" t="str">
        <f>IFERROR(__xludf.DUMMYFUNCTION("IF(A4940="""","""",INDEX(SPLIT(A4940,"" ""),COUNTA(SPLIT(A4940,"" ""))))"),"Ginesio")</f>
        <v>Ginesio</v>
      </c>
      <c r="C4940" s="6"/>
      <c r="D4940" s="6" t="s">
        <v>4967</v>
      </c>
      <c r="E4940" s="13" t="s">
        <v>4968</v>
      </c>
    </row>
    <row r="4941">
      <c r="A4941" s="4" t="s">
        <v>5009</v>
      </c>
      <c r="B4941" s="5" t="str">
        <f>IFERROR(__xludf.DUMMYFUNCTION("IF(A4941="""","""",INDEX(SPLIT(A4941,"" ""),COUNTA(SPLIT(A4941,"" ""))))"),"Ginesio")</f>
        <v>Ginesio</v>
      </c>
      <c r="C4941" s="6"/>
      <c r="D4941" s="6" t="s">
        <v>4967</v>
      </c>
      <c r="E4941" s="13" t="s">
        <v>4968</v>
      </c>
    </row>
    <row r="4942">
      <c r="A4942" s="4" t="s">
        <v>5010</v>
      </c>
      <c r="B4942" s="5" t="str">
        <f>IFERROR(__xludf.DUMMYFUNCTION("IF(A4942="""","""",INDEX(SPLIT(A4942,"" ""),COUNTA(SPLIT(A4942,"" ""))))"),"Marche")</f>
        <v>Marche</v>
      </c>
      <c r="C4942" s="6"/>
      <c r="D4942" s="6" t="s">
        <v>4967</v>
      </c>
      <c r="E4942" s="13" t="s">
        <v>4968</v>
      </c>
    </row>
    <row r="4943">
      <c r="A4943" s="4" t="s">
        <v>5011</v>
      </c>
      <c r="B4943" s="5" t="str">
        <f>IFERROR(__xludf.DUMMYFUNCTION("IF(A4943="""","""",INDEX(SPLIT(A4943,"" ""),COUNTA(SPLIT(A4943,"" ""))))"),"Pontano")</f>
        <v>Pontano</v>
      </c>
      <c r="C4943" s="6"/>
      <c r="D4943" s="6" t="s">
        <v>4967</v>
      </c>
      <c r="E4943" s="13" t="s">
        <v>4968</v>
      </c>
    </row>
    <row r="4944">
      <c r="A4944" s="4" t="s">
        <v>5012</v>
      </c>
      <c r="B4944" s="5" t="str">
        <f>IFERROR(__xludf.DUMMYFUNCTION("IF(A4944="""","""",INDEX(SPLIT(A4944,"" ""),COUNTA(SPLIT(A4944,"" ""))))"),"Sarnano")</f>
        <v>Sarnano</v>
      </c>
      <c r="C4944" s="6"/>
      <c r="D4944" s="6" t="s">
        <v>4967</v>
      </c>
      <c r="E4944" s="13" t="s">
        <v>4968</v>
      </c>
    </row>
    <row r="4945">
      <c r="A4945" s="4" t="s">
        <v>5013</v>
      </c>
      <c r="B4945" s="5" t="str">
        <f>IFERROR(__xludf.DUMMYFUNCTION("IF(A4945="""","""",INDEX(SPLIT(A4945,"" ""),COUNTA(SPLIT(A4945,"" ""))))"),"Sefro")</f>
        <v>Sefro</v>
      </c>
      <c r="C4945" s="6"/>
      <c r="D4945" s="6" t="s">
        <v>4967</v>
      </c>
      <c r="E4945" s="13" t="s">
        <v>4968</v>
      </c>
    </row>
    <row r="4946">
      <c r="A4946" s="4" t="s">
        <v>5014</v>
      </c>
      <c r="B4946" s="5" t="str">
        <f>IFERROR(__xludf.DUMMYFUNCTION("IF(A4946="""","""",INDEX(SPLIT(A4946,"" ""),COUNTA(SPLIT(A4946,"" ""))))"),"Serrapetrona")</f>
        <v>Serrapetrona</v>
      </c>
      <c r="C4946" s="6"/>
      <c r="D4946" s="6" t="s">
        <v>4967</v>
      </c>
      <c r="E4946" s="13" t="s">
        <v>4968</v>
      </c>
    </row>
    <row r="4947">
      <c r="A4947" s="4" t="s">
        <v>5015</v>
      </c>
      <c r="B4947" s="5" t="str">
        <f>IFERROR(__xludf.DUMMYFUNCTION("IF(A4947="""","""",INDEX(SPLIT(A4947,"" ""),COUNTA(SPLIT(A4947,"" ""))))"),"Chienti")</f>
        <v>Chienti</v>
      </c>
      <c r="C4947" s="6"/>
      <c r="D4947" s="6" t="s">
        <v>4967</v>
      </c>
      <c r="E4947" s="13" t="s">
        <v>4968</v>
      </c>
    </row>
    <row r="4948">
      <c r="A4948" s="4" t="s">
        <v>5016</v>
      </c>
      <c r="B4948" s="5" t="str">
        <f>IFERROR(__xludf.DUMMYFUNCTION("IF(A4948="""","""",INDEX(SPLIT(A4948,"" ""),COUNTA(SPLIT(A4948,"" ""))))"),"Tolentino")</f>
        <v>Tolentino</v>
      </c>
      <c r="C4948" s="6"/>
      <c r="D4948" s="6" t="s">
        <v>4967</v>
      </c>
      <c r="E4948" s="13" t="s">
        <v>4968</v>
      </c>
    </row>
    <row r="4949">
      <c r="A4949" s="4" t="s">
        <v>5017</v>
      </c>
      <c r="B4949" s="5" t="str">
        <f>IFERROR(__xludf.DUMMYFUNCTION("IF(A4949="""","""",INDEX(SPLIT(A4949,"" ""),COUNTA(SPLIT(A4949,"" ""))))"),"Treia")</f>
        <v>Treia</v>
      </c>
      <c r="C4949" s="6"/>
      <c r="D4949" s="6" t="s">
        <v>4967</v>
      </c>
      <c r="E4949" s="13" t="s">
        <v>4968</v>
      </c>
    </row>
    <row r="4950">
      <c r="A4950" s="4" t="s">
        <v>5018</v>
      </c>
      <c r="B4950" s="5" t="str">
        <f>IFERROR(__xludf.DUMMYFUNCTION("IF(A4950="""","""",INDEX(SPLIT(A4950,"" ""),COUNTA(SPLIT(A4950,"" ""))))"),"Urbisaglia")</f>
        <v>Urbisaglia</v>
      </c>
      <c r="C4950" s="6"/>
      <c r="D4950" s="6" t="s">
        <v>4967</v>
      </c>
      <c r="E4950" s="13" t="s">
        <v>4968</v>
      </c>
    </row>
    <row r="4951">
      <c r="A4951" s="4" t="s">
        <v>5019</v>
      </c>
      <c r="B4951" s="5" t="str">
        <f>IFERROR(__xludf.DUMMYFUNCTION("IF(A4951="""","""",INDEX(SPLIT(A4951,"" ""),COUNTA(SPLIT(A4951,"" ""))))"),"Ussita")</f>
        <v>Ussita</v>
      </c>
      <c r="C4951" s="6"/>
      <c r="D4951" s="6" t="s">
        <v>4967</v>
      </c>
      <c r="E4951" s="13" t="s">
        <v>4968</v>
      </c>
    </row>
    <row r="4952">
      <c r="A4952" s="4" t="s">
        <v>5020</v>
      </c>
      <c r="B4952" s="5" t="str">
        <f>IFERROR(__xludf.DUMMYFUNCTION("IF(A4952="""","""",INDEX(SPLIT(A4952,"" ""),COUNTA(SPLIT(A4952,"" ""))))"),"Visso")</f>
        <v>Visso</v>
      </c>
      <c r="C4952" s="6"/>
      <c r="D4952" s="6" t="s">
        <v>4967</v>
      </c>
      <c r="E4952" s="13" t="s">
        <v>4968</v>
      </c>
    </row>
    <row r="4953">
      <c r="A4953" s="4" t="s">
        <v>5021</v>
      </c>
      <c r="B4953" s="5" t="str">
        <f>IFERROR(__xludf.DUMMYFUNCTION("IF(A4953="""","""",INDEX(SPLIT(A4953,"" ""),COUNTA(SPLIT(A4953,"" ""))))"),"Valfornace")</f>
        <v>Valfornace</v>
      </c>
      <c r="C4953" s="6"/>
      <c r="D4953" s="6" t="s">
        <v>4967</v>
      </c>
      <c r="E4953" s="13" t="s">
        <v>4968</v>
      </c>
    </row>
    <row r="4954">
      <c r="A4954" s="4" t="s">
        <v>5022</v>
      </c>
      <c r="B4954" s="5" t="str">
        <f>IFERROR(__xludf.DUMMYFUNCTION("IF(A4954="""","""",INDEX(SPLIT(A4954,"" ""),COUNTA(SPLIT(A4954,"" ""))))"),"Terme")</f>
        <v>Terme</v>
      </c>
      <c r="C4954" s="6"/>
      <c r="D4954" s="6" t="s">
        <v>5023</v>
      </c>
      <c r="E4954" s="7" t="s">
        <v>5024</v>
      </c>
    </row>
    <row r="4955">
      <c r="A4955" s="4" t="s">
        <v>5025</v>
      </c>
      <c r="B4955" s="5" t="str">
        <f>IFERROR(__xludf.DUMMYFUNCTION("IF(A4955="""","""",INDEX(SPLIT(A4955,"" ""),COUNTA(SPLIT(A4955,"" ""))))"),"Picena")</f>
        <v>Picena</v>
      </c>
      <c r="C4955" s="6"/>
      <c r="D4955" s="6" t="s">
        <v>5023</v>
      </c>
      <c r="E4955" s="7" t="s">
        <v>5024</v>
      </c>
    </row>
    <row r="4956">
      <c r="A4956" s="4" t="s">
        <v>5026</v>
      </c>
      <c r="B4956" s="5" t="str">
        <f>IFERROR(__xludf.DUMMYFUNCTION("IF(A4956="""","""",INDEX(SPLIT(A4956,"" ""),COUNTA(SPLIT(A4956,"" ""))))"),"Tronto")</f>
        <v>Tronto</v>
      </c>
      <c r="C4956" s="6"/>
      <c r="D4956" s="6" t="s">
        <v>5023</v>
      </c>
      <c r="E4956" s="7" t="s">
        <v>5024</v>
      </c>
    </row>
    <row r="4957">
      <c r="A4957" s="4" t="s">
        <v>5027</v>
      </c>
      <c r="B4957" s="5" t="str">
        <f>IFERROR(__xludf.DUMMYFUNCTION("IF(A4957="""","""",INDEX(SPLIT(A4957,"" ""),COUNTA(SPLIT(A4957,"" ""))))"),"Tronto")</f>
        <v>Tronto</v>
      </c>
      <c r="C4957" s="6"/>
      <c r="D4957" s="6" t="s">
        <v>5023</v>
      </c>
      <c r="E4957" s="7" t="s">
        <v>5024</v>
      </c>
    </row>
    <row r="4958">
      <c r="A4958" s="4" t="s">
        <v>5028</v>
      </c>
      <c r="B4958" s="5" t="str">
        <f>IFERROR(__xludf.DUMMYFUNCTION("IF(A4958="""","""",INDEX(SPLIT(A4958,"" ""),COUNTA(SPLIT(A4958,"" ""))))"),"Piceno")</f>
        <v>Piceno</v>
      </c>
      <c r="C4958" s="6"/>
      <c r="D4958" s="6" t="s">
        <v>5023</v>
      </c>
      <c r="E4958" s="7" t="s">
        <v>5024</v>
      </c>
    </row>
    <row r="4959">
      <c r="A4959" s="4" t="s">
        <v>5029</v>
      </c>
      <c r="B4959" s="5" t="str">
        <f>IFERROR(__xludf.DUMMYFUNCTION("IF(A4959="""","""",INDEX(SPLIT(A4959,"" ""),COUNTA(SPLIT(A4959,"" ""))))"),"Carassai")</f>
        <v>Carassai</v>
      </c>
      <c r="C4959" s="6"/>
      <c r="D4959" s="6" t="s">
        <v>5023</v>
      </c>
      <c r="E4959" s="7" t="s">
        <v>5024</v>
      </c>
    </row>
    <row r="4960">
      <c r="A4960" s="4" t="s">
        <v>5030</v>
      </c>
      <c r="B4960" s="5" t="str">
        <f>IFERROR(__xludf.DUMMYFUNCTION("IF(A4960="""","""",INDEX(SPLIT(A4960,"" ""),COUNTA(SPLIT(A4960,"" ""))))"),"Lama")</f>
        <v>Lama</v>
      </c>
      <c r="C4960" s="6"/>
      <c r="D4960" s="6" t="s">
        <v>5023</v>
      </c>
      <c r="E4960" s="7" t="s">
        <v>5024</v>
      </c>
    </row>
    <row r="4961">
      <c r="A4961" s="4" t="s">
        <v>5031</v>
      </c>
      <c r="B4961" s="5" t="str">
        <f>IFERROR(__xludf.DUMMYFUNCTION("IF(A4961="""","""",INDEX(SPLIT(A4961,"" ""),COUNTA(SPLIT(A4961,"" ""))))"),"Castignano")</f>
        <v>Castignano</v>
      </c>
      <c r="C4961" s="6"/>
      <c r="D4961" s="6" t="s">
        <v>5023</v>
      </c>
      <c r="E4961" s="7" t="s">
        <v>5024</v>
      </c>
    </row>
    <row r="4962">
      <c r="A4962" s="4" t="s">
        <v>5032</v>
      </c>
      <c r="B4962" s="5" t="str">
        <f>IFERROR(__xludf.DUMMYFUNCTION("IF(A4962="""","""",INDEX(SPLIT(A4962,"" ""),COUNTA(SPLIT(A4962,"" ""))))"),"Castorano")</f>
        <v>Castorano</v>
      </c>
      <c r="C4962" s="6"/>
      <c r="D4962" s="6" t="s">
        <v>5023</v>
      </c>
      <c r="E4962" s="7" t="s">
        <v>5024</v>
      </c>
    </row>
    <row r="4963">
      <c r="A4963" s="4" t="s">
        <v>5033</v>
      </c>
      <c r="B4963" s="5" t="str">
        <f>IFERROR(__xludf.DUMMYFUNCTION("IF(A4963="""","""",INDEX(SPLIT(A4963,"" ""),COUNTA(SPLIT(A4963,"" ""))))"),"Tronto")</f>
        <v>Tronto</v>
      </c>
      <c r="C4963" s="6"/>
      <c r="D4963" s="6" t="s">
        <v>5023</v>
      </c>
      <c r="E4963" s="7" t="s">
        <v>5024</v>
      </c>
    </row>
    <row r="4964">
      <c r="A4964" s="4" t="s">
        <v>5034</v>
      </c>
      <c r="B4964" s="5" t="str">
        <f>IFERROR(__xludf.DUMMYFUNCTION("IF(A4964="""","""",INDEX(SPLIT(A4964,"" ""),COUNTA(SPLIT(A4964,"" ""))))"),"Comunanza")</f>
        <v>Comunanza</v>
      </c>
      <c r="C4964" s="6"/>
      <c r="D4964" s="6" t="s">
        <v>5023</v>
      </c>
      <c r="E4964" s="7" t="s">
        <v>5024</v>
      </c>
    </row>
    <row r="4965">
      <c r="A4965" s="4" t="s">
        <v>5035</v>
      </c>
      <c r="B4965" s="5" t="str">
        <f>IFERROR(__xludf.DUMMYFUNCTION("IF(A4965="""","""",INDEX(SPLIT(A4965,"" ""),COUNTA(SPLIT(A4965,"" ""))))"),"Cossignano")</f>
        <v>Cossignano</v>
      </c>
      <c r="C4965" s="6"/>
      <c r="D4965" s="6" t="s">
        <v>5023</v>
      </c>
      <c r="E4965" s="7" t="s">
        <v>5024</v>
      </c>
    </row>
    <row r="4966">
      <c r="A4966" s="4" t="s">
        <v>5036</v>
      </c>
      <c r="B4966" s="5" t="str">
        <f>IFERROR(__xludf.DUMMYFUNCTION("IF(A4966="""","""",INDEX(SPLIT(A4966,"" ""),COUNTA(SPLIT(A4966,"" ""))))"),"Marittima")</f>
        <v>Marittima</v>
      </c>
      <c r="C4966" s="6"/>
      <c r="D4966" s="6" t="s">
        <v>5023</v>
      </c>
      <c r="E4966" s="7" t="s">
        <v>5024</v>
      </c>
    </row>
    <row r="4967">
      <c r="A4967" s="4" t="s">
        <v>5037</v>
      </c>
      <c r="B4967" s="5" t="str">
        <f>IFERROR(__xludf.DUMMYFUNCTION("IF(A4967="""","""",INDEX(SPLIT(A4967,"" ""),COUNTA(SPLIT(A4967,"" ""))))"),"Folignano")</f>
        <v>Folignano</v>
      </c>
      <c r="C4967" s="6"/>
      <c r="D4967" s="6" t="s">
        <v>5023</v>
      </c>
      <c r="E4967" s="7" t="s">
        <v>5024</v>
      </c>
    </row>
    <row r="4968">
      <c r="A4968" s="4" t="s">
        <v>5038</v>
      </c>
      <c r="B4968" s="5" t="str">
        <f>IFERROR(__xludf.DUMMYFUNCTION("IF(A4968="""","""",INDEX(SPLIT(A4968,"" ""),COUNTA(SPLIT(A4968,"" ""))))"),"Force")</f>
        <v>Force</v>
      </c>
      <c r="C4968" s="6"/>
      <c r="D4968" s="6" t="s">
        <v>5023</v>
      </c>
      <c r="E4968" s="7" t="s">
        <v>5024</v>
      </c>
    </row>
    <row r="4969">
      <c r="A4969" s="4" t="s">
        <v>5039</v>
      </c>
      <c r="B4969" s="5" t="str">
        <f>IFERROR(__xludf.DUMMYFUNCTION("IF(A4969="""","""",INDEX(SPLIT(A4969,"" ""),COUNTA(SPLIT(A4969,"" ""))))"),"Grottammare")</f>
        <v>Grottammare</v>
      </c>
      <c r="C4969" s="6"/>
      <c r="D4969" s="6" t="s">
        <v>5023</v>
      </c>
      <c r="E4969" s="7" t="s">
        <v>5024</v>
      </c>
    </row>
    <row r="4970">
      <c r="A4970" s="4" t="s">
        <v>5040</v>
      </c>
      <c r="B4970" s="5" t="str">
        <f>IFERROR(__xludf.DUMMYFUNCTION("IF(A4970="""","""",INDEX(SPLIT(A4970,"" ""),COUNTA(SPLIT(A4970,"" ""))))"),"Maltignano")</f>
        <v>Maltignano</v>
      </c>
      <c r="C4970" s="6"/>
      <c r="D4970" s="6" t="s">
        <v>5023</v>
      </c>
      <c r="E4970" s="7" t="s">
        <v>5024</v>
      </c>
    </row>
    <row r="4971">
      <c r="A4971" s="4" t="s">
        <v>5041</v>
      </c>
      <c r="B4971" s="5" t="str">
        <f>IFERROR(__xludf.DUMMYFUNCTION("IF(A4971="""","""",INDEX(SPLIT(A4971,"" ""),COUNTA(SPLIT(A4971,"" ""))))"),"Massignano")</f>
        <v>Massignano</v>
      </c>
      <c r="C4971" s="6"/>
      <c r="D4971" s="6" t="s">
        <v>5023</v>
      </c>
      <c r="E4971" s="7" t="s">
        <v>5024</v>
      </c>
    </row>
    <row r="4972">
      <c r="A4972" s="4" t="s">
        <v>5042</v>
      </c>
      <c r="B4972" s="5" t="str">
        <f>IFERROR(__xludf.DUMMYFUNCTION("IF(A4972="""","""",INDEX(SPLIT(A4972,"" ""),COUNTA(SPLIT(A4972,"" ""))))"),"Tronto")</f>
        <v>Tronto</v>
      </c>
      <c r="C4972" s="6"/>
      <c r="D4972" s="6" t="s">
        <v>5023</v>
      </c>
      <c r="E4972" s="7" t="s">
        <v>5024</v>
      </c>
    </row>
    <row r="4973">
      <c r="A4973" s="4" t="s">
        <v>5043</v>
      </c>
      <c r="B4973" s="5" t="str">
        <f>IFERROR(__xludf.DUMMYFUNCTION("IF(A4973="""","""",INDEX(SPLIT(A4973,"" ""),COUNTA(SPLIT(A4973,"" ""))))"),"Marche")</f>
        <v>Marche</v>
      </c>
      <c r="C4973" s="6"/>
      <c r="D4973" s="6" t="s">
        <v>5023</v>
      </c>
      <c r="E4973" s="7" t="s">
        <v>5024</v>
      </c>
    </row>
    <row r="4974">
      <c r="A4974" s="4" t="s">
        <v>5044</v>
      </c>
      <c r="B4974" s="5" t="str">
        <f>IFERROR(__xludf.DUMMYFUNCTION("IF(A4974="""","""",INDEX(SPLIT(A4974,"" ""),COUNTA(SPLIT(A4974,"" ""))))"),"Montedinove")</f>
        <v>Montedinove</v>
      </c>
      <c r="C4974" s="6"/>
      <c r="D4974" s="6" t="s">
        <v>5023</v>
      </c>
      <c r="E4974" s="7" t="s">
        <v>5024</v>
      </c>
    </row>
    <row r="4975">
      <c r="A4975" s="4" t="s">
        <v>5045</v>
      </c>
      <c r="B4975" s="5" t="str">
        <f>IFERROR(__xludf.DUMMYFUNCTION("IF(A4975="""","""",INDEX(SPLIT(A4975,"" ""),COUNTA(SPLIT(A4975,"" ""))))"),"dell'Aso")</f>
        <v>dell'Aso</v>
      </c>
      <c r="C4975" s="6"/>
      <c r="D4975" s="6" t="s">
        <v>5023</v>
      </c>
      <c r="E4975" s="7" t="s">
        <v>5024</v>
      </c>
    </row>
    <row r="4976">
      <c r="A4976" s="4" t="s">
        <v>5046</v>
      </c>
      <c r="B4976" s="5" t="str">
        <f>IFERROR(__xludf.DUMMYFUNCTION("IF(A4976="""","""",INDEX(SPLIT(A4976,"" ""),COUNTA(SPLIT(A4976,"" ""))))"),"Montegallo")</f>
        <v>Montegallo</v>
      </c>
      <c r="C4976" s="6"/>
      <c r="D4976" s="6" t="s">
        <v>5023</v>
      </c>
      <c r="E4976" s="7" t="s">
        <v>5024</v>
      </c>
    </row>
    <row r="4977">
      <c r="A4977" s="4" t="s">
        <v>5047</v>
      </c>
      <c r="B4977" s="5" t="str">
        <f>IFERROR(__xludf.DUMMYFUNCTION("IF(A4977="""","""",INDEX(SPLIT(A4977,"" ""),COUNTA(SPLIT(A4977,"" ""))))"),"Montemonaco")</f>
        <v>Montemonaco</v>
      </c>
      <c r="C4977" s="6"/>
      <c r="D4977" s="6" t="s">
        <v>5023</v>
      </c>
      <c r="E4977" s="7" t="s">
        <v>5024</v>
      </c>
    </row>
    <row r="4978">
      <c r="A4978" s="4" t="s">
        <v>5048</v>
      </c>
      <c r="B4978" s="5" t="str">
        <f>IFERROR(__xludf.DUMMYFUNCTION("IF(A4978="""","""",INDEX(SPLIT(A4978,"" ""),COUNTA(SPLIT(A4978,"" ""))))"),"Monteprandone")</f>
        <v>Monteprandone</v>
      </c>
      <c r="C4978" s="6"/>
      <c r="D4978" s="6" t="s">
        <v>5023</v>
      </c>
      <c r="E4978" s="7" t="s">
        <v>5024</v>
      </c>
    </row>
    <row r="4979">
      <c r="A4979" s="4" t="s">
        <v>5049</v>
      </c>
      <c r="B4979" s="5" t="str">
        <f>IFERROR(__xludf.DUMMYFUNCTION("IF(A4979="""","""",INDEX(SPLIT(A4979,"" ""),COUNTA(SPLIT(A4979,"" ""))))"),"Offida")</f>
        <v>Offida</v>
      </c>
      <c r="C4979" s="6"/>
      <c r="D4979" s="6" t="s">
        <v>5023</v>
      </c>
      <c r="E4979" s="7" t="s">
        <v>5024</v>
      </c>
    </row>
    <row r="4980">
      <c r="A4980" s="4" t="s">
        <v>5050</v>
      </c>
      <c r="B4980" s="5" t="str">
        <f>IFERROR(__xludf.DUMMYFUNCTION("IF(A4980="""","""",INDEX(SPLIT(A4980,"" ""),COUNTA(SPLIT(A4980,"" ""))))"),"Palmiano")</f>
        <v>Palmiano</v>
      </c>
      <c r="C4980" s="6"/>
      <c r="D4980" s="6" t="s">
        <v>5023</v>
      </c>
      <c r="E4980" s="7" t="s">
        <v>5024</v>
      </c>
    </row>
    <row r="4981">
      <c r="A4981" s="4" t="s">
        <v>5051</v>
      </c>
      <c r="B4981" s="5" t="str">
        <f>IFERROR(__xludf.DUMMYFUNCTION("IF(A4981="""","""",INDEX(SPLIT(A4981,"" ""),COUNTA(SPLIT(A4981,"" ""))))"),"Ripatransone")</f>
        <v>Ripatransone</v>
      </c>
      <c r="C4981" s="6"/>
      <c r="D4981" s="6" t="s">
        <v>5023</v>
      </c>
      <c r="E4981" s="7" t="s">
        <v>5024</v>
      </c>
    </row>
    <row r="4982">
      <c r="A4982" s="4" t="s">
        <v>5052</v>
      </c>
      <c r="B4982" s="5" t="str">
        <f>IFERROR(__xludf.DUMMYFUNCTION("IF(A4982="""","""",INDEX(SPLIT(A4982,"" ""),COUNTA(SPLIT(A4982,"" ""))))"),"Roccafluvione")</f>
        <v>Roccafluvione</v>
      </c>
      <c r="C4982" s="6"/>
      <c r="D4982" s="6" t="s">
        <v>5023</v>
      </c>
      <c r="E4982" s="7" t="s">
        <v>5024</v>
      </c>
    </row>
    <row r="4983">
      <c r="A4983" s="4" t="s">
        <v>5053</v>
      </c>
      <c r="B4983" s="5" t="str">
        <f>IFERROR(__xludf.DUMMYFUNCTION("IF(A4983="""","""",INDEX(SPLIT(A4983,"" ""),COUNTA(SPLIT(A4983,"" ""))))"),"Rotella")</f>
        <v>Rotella</v>
      </c>
      <c r="C4983" s="6"/>
      <c r="D4983" s="6" t="s">
        <v>5023</v>
      </c>
      <c r="E4983" s="7" t="s">
        <v>5024</v>
      </c>
    </row>
    <row r="4984">
      <c r="A4984" s="4" t="s">
        <v>5054</v>
      </c>
      <c r="B4984" s="5" t="str">
        <f>IFERROR(__xludf.DUMMYFUNCTION("IF(A4984="""","""",INDEX(SPLIT(A4984,"" ""),COUNTA(SPLIT(A4984,"" ""))))"),"Tronto")</f>
        <v>Tronto</v>
      </c>
      <c r="C4984" s="6"/>
      <c r="D4984" s="6" t="s">
        <v>5023</v>
      </c>
      <c r="E4984" s="7" t="s">
        <v>5024</v>
      </c>
    </row>
    <row r="4985">
      <c r="A4985" s="4" t="s">
        <v>5055</v>
      </c>
      <c r="B4985" s="5" t="str">
        <f>IFERROR(__xludf.DUMMYFUNCTION("IF(A4985="""","""",INDEX(SPLIT(A4985,"" ""),COUNTA(SPLIT(A4985,"" ""))))"),"Spinetoli")</f>
        <v>Spinetoli</v>
      </c>
      <c r="C4985" s="6"/>
      <c r="D4985" s="6" t="s">
        <v>5023</v>
      </c>
      <c r="E4985" s="7" t="s">
        <v>5024</v>
      </c>
    </row>
    <row r="4986">
      <c r="A4986" s="4" t="s">
        <v>5056</v>
      </c>
      <c r="B4986" s="5" t="str">
        <f>IFERROR(__xludf.DUMMYFUNCTION("IF(A4986="""","""",INDEX(SPLIT(A4986,"" ""),COUNTA(SPLIT(A4986,"" ""))))"),"Venarotta")</f>
        <v>Venarotta</v>
      </c>
      <c r="C4986" s="6"/>
      <c r="D4986" s="6" t="s">
        <v>5023</v>
      </c>
      <c r="E4986" s="7" t="s">
        <v>5024</v>
      </c>
    </row>
    <row r="4987">
      <c r="A4987" s="4" t="s">
        <v>5057</v>
      </c>
      <c r="B4987" s="5" t="str">
        <f>IFERROR(__xludf.DUMMYFUNCTION("IF(A4987="""","""",INDEX(SPLIT(A4987,"" ""),COUNTA(SPLIT(A4987,"" ""))))"),"Altidona")</f>
        <v>Altidona</v>
      </c>
      <c r="C4987" s="6"/>
      <c r="D4987" s="6" t="s">
        <v>5058</v>
      </c>
      <c r="E4987" s="7" t="s">
        <v>5059</v>
      </c>
    </row>
    <row r="4988">
      <c r="A4988" s="4" t="s">
        <v>5060</v>
      </c>
      <c r="B4988" s="5" t="str">
        <f>IFERROR(__xludf.DUMMYFUNCTION("IF(A4988="""","""",INDEX(SPLIT(A4988,"" ""),COUNTA(SPLIT(A4988,"" ""))))"),"Amandola")</f>
        <v>Amandola</v>
      </c>
      <c r="C4988" s="6"/>
      <c r="D4988" s="6" t="s">
        <v>5058</v>
      </c>
      <c r="E4988" s="7" t="s">
        <v>5059</v>
      </c>
    </row>
    <row r="4989">
      <c r="A4989" s="4" t="s">
        <v>5061</v>
      </c>
      <c r="B4989" s="5" t="str">
        <f>IFERROR(__xludf.DUMMYFUNCTION("IF(A4989="""","""",INDEX(SPLIT(A4989,"" ""),COUNTA(SPLIT(A4989,"" ""))))"),"Piceno")</f>
        <v>Piceno</v>
      </c>
      <c r="C4989" s="6"/>
      <c r="D4989" s="6" t="s">
        <v>5058</v>
      </c>
      <c r="E4989" s="7" t="s">
        <v>5059</v>
      </c>
    </row>
    <row r="4990">
      <c r="A4990" s="4" t="s">
        <v>5062</v>
      </c>
      <c r="B4990" s="5" t="str">
        <f>IFERROR(__xludf.DUMMYFUNCTION("IF(A4990="""","""",INDEX(SPLIT(A4990,"" ""),COUNTA(SPLIT(A4990,"" ""))))"),"Campofilone")</f>
        <v>Campofilone</v>
      </c>
      <c r="C4990" s="6"/>
      <c r="D4990" s="6" t="s">
        <v>5058</v>
      </c>
      <c r="E4990" s="7" t="s">
        <v>5059</v>
      </c>
    </row>
    <row r="4991">
      <c r="A4991" s="4" t="s">
        <v>5063</v>
      </c>
      <c r="B4991" s="5" t="str">
        <f>IFERROR(__xludf.DUMMYFUNCTION("IF(A4991="""","""",INDEX(SPLIT(A4991,"" ""),COUNTA(SPLIT(A4991,"" ""))))"),"Falerone")</f>
        <v>Falerone</v>
      </c>
      <c r="C4991" s="6"/>
      <c r="D4991" s="6" t="s">
        <v>5058</v>
      </c>
      <c r="E4991" s="7" t="s">
        <v>5059</v>
      </c>
    </row>
    <row r="4992">
      <c r="A4992" s="4" t="s">
        <v>5058</v>
      </c>
      <c r="B4992" s="5" t="str">
        <f>IFERROR(__xludf.DUMMYFUNCTION("IF(A4992="""","""",INDEX(SPLIT(A4992,"" ""),COUNTA(SPLIT(A4992,"" ""))))"),"Fermo")</f>
        <v>Fermo</v>
      </c>
      <c r="C4992" s="6"/>
      <c r="D4992" s="6" t="s">
        <v>5058</v>
      </c>
      <c r="E4992" s="7" t="s">
        <v>5059</v>
      </c>
    </row>
    <row r="4993">
      <c r="A4993" s="4" t="s">
        <v>5064</v>
      </c>
      <c r="B4993" s="5" t="str">
        <f>IFERROR(__xludf.DUMMYFUNCTION("IF(A4993="""","""",INDEX(SPLIT(A4993,"" ""),COUNTA(SPLIT(A4993,"" ""))))"),"d'Ete")</f>
        <v>d'Ete</v>
      </c>
      <c r="C4993" s="6"/>
      <c r="D4993" s="6" t="s">
        <v>5058</v>
      </c>
      <c r="E4993" s="7" t="s">
        <v>5059</v>
      </c>
    </row>
    <row r="4994">
      <c r="A4994" s="4" t="s">
        <v>5065</v>
      </c>
      <c r="B4994" s="5" t="str">
        <f>IFERROR(__xludf.DUMMYFUNCTION("IF(A4994="""","""",INDEX(SPLIT(A4994,"" ""),COUNTA(SPLIT(A4994,"" ""))))"),"Grottazzolina")</f>
        <v>Grottazzolina</v>
      </c>
      <c r="C4994" s="6"/>
      <c r="D4994" s="6" t="s">
        <v>5058</v>
      </c>
      <c r="E4994" s="7" t="s">
        <v>5059</v>
      </c>
    </row>
    <row r="4995">
      <c r="A4995" s="4" t="s">
        <v>5066</v>
      </c>
      <c r="B4995" s="5" t="str">
        <f>IFERROR(__xludf.DUMMYFUNCTION("IF(A4995="""","""",INDEX(SPLIT(A4995,"" ""),COUNTA(SPLIT(A4995,"" ""))))"),"Lapedona")</f>
        <v>Lapedona</v>
      </c>
      <c r="C4995" s="6"/>
      <c r="D4995" s="6" t="s">
        <v>5058</v>
      </c>
      <c r="E4995" s="7" t="s">
        <v>5059</v>
      </c>
    </row>
    <row r="4996">
      <c r="A4996" s="4" t="s">
        <v>5067</v>
      </c>
      <c r="B4996" s="5" t="str">
        <f>IFERROR(__xludf.DUMMYFUNCTION("IF(A4996="""","""",INDEX(SPLIT(A4996,"" ""),COUNTA(SPLIT(A4996,"" ""))))"),"Tenna")</f>
        <v>Tenna</v>
      </c>
      <c r="C4996" s="6"/>
      <c r="D4996" s="6" t="s">
        <v>5058</v>
      </c>
      <c r="E4996" s="7" t="s">
        <v>5059</v>
      </c>
    </row>
    <row r="4997">
      <c r="A4997" s="4" t="s">
        <v>5068</v>
      </c>
      <c r="B4997" s="5" t="str">
        <f>IFERROR(__xludf.DUMMYFUNCTION("IF(A4997="""","""",INDEX(SPLIT(A4997,"" ""),COUNTA(SPLIT(A4997,"" ""))))"),"Fermana")</f>
        <v>Fermana</v>
      </c>
      <c r="C4997" s="6"/>
      <c r="D4997" s="6" t="s">
        <v>5058</v>
      </c>
      <c r="E4997" s="7" t="s">
        <v>5059</v>
      </c>
    </row>
    <row r="4998">
      <c r="A4998" s="4" t="s">
        <v>5069</v>
      </c>
      <c r="B4998" s="5" t="str">
        <f>IFERROR(__xludf.DUMMYFUNCTION("IF(A4998="""","""",INDEX(SPLIT(A4998,"" ""),COUNTA(SPLIT(A4998,"" ""))))"),"Morico")</f>
        <v>Morico</v>
      </c>
      <c r="C4998" s="6"/>
      <c r="D4998" s="6" t="s">
        <v>5058</v>
      </c>
      <c r="E4998" s="7" t="s">
        <v>5059</v>
      </c>
    </row>
    <row r="4999">
      <c r="A4999" s="4" t="s">
        <v>5070</v>
      </c>
      <c r="B4999" s="5" t="str">
        <f>IFERROR(__xludf.DUMMYFUNCTION("IF(A4999="""","""",INDEX(SPLIT(A4999,"" ""),COUNTA(SPLIT(A4999,"" ""))))"),"Montappone")</f>
        <v>Montappone</v>
      </c>
      <c r="C4999" s="6"/>
      <c r="D4999" s="6" t="s">
        <v>5058</v>
      </c>
      <c r="E4999" s="7" t="s">
        <v>5059</v>
      </c>
    </row>
    <row r="5000">
      <c r="A5000" s="4" t="s">
        <v>5071</v>
      </c>
      <c r="B5000" s="5" t="str">
        <f>IFERROR(__xludf.DUMMYFUNCTION("IF(A5000="""","""",INDEX(SPLIT(A5000,"" ""),COUNTA(SPLIT(A5000,"" ""))))"),"Appennino")</f>
        <v>Appennino</v>
      </c>
      <c r="C5000" s="6"/>
      <c r="D5000" s="6" t="s">
        <v>5058</v>
      </c>
      <c r="E5000" s="7" t="s">
        <v>5059</v>
      </c>
    </row>
    <row r="5001">
      <c r="A5001" s="4" t="s">
        <v>5072</v>
      </c>
      <c r="B5001" s="5" t="str">
        <f>IFERROR(__xludf.DUMMYFUNCTION("IF(A5001="""","""",INDEX(SPLIT(A5001,"" ""),COUNTA(SPLIT(A5001,"" ""))))"),"Montefortino")</f>
        <v>Montefortino</v>
      </c>
      <c r="C5001" s="6"/>
      <c r="D5001" s="6" t="s">
        <v>5058</v>
      </c>
      <c r="E5001" s="7" t="s">
        <v>5059</v>
      </c>
    </row>
    <row r="5002">
      <c r="A5002" s="4" t="s">
        <v>5073</v>
      </c>
      <c r="B5002" s="5" t="str">
        <f>IFERROR(__xludf.DUMMYFUNCTION("IF(A5002="""","""",INDEX(SPLIT(A5002,"" ""),COUNTA(SPLIT(A5002,"" ""))))"),"Giberto")</f>
        <v>Giberto</v>
      </c>
      <c r="C5002" s="6"/>
      <c r="D5002" s="6" t="s">
        <v>5058</v>
      </c>
      <c r="E5002" s="7" t="s">
        <v>5059</v>
      </c>
    </row>
    <row r="5003">
      <c r="A5003" s="4" t="s">
        <v>5074</v>
      </c>
      <c r="B5003" s="5" t="str">
        <f>IFERROR(__xludf.DUMMYFUNCTION("IF(A5003="""","""",INDEX(SPLIT(A5003,"" ""),COUNTA(SPLIT(A5003,"" ""))))"),"Montegiorgio")</f>
        <v>Montegiorgio</v>
      </c>
      <c r="C5003" s="6"/>
      <c r="D5003" s="6" t="s">
        <v>5058</v>
      </c>
      <c r="E5003" s="7" t="s">
        <v>5059</v>
      </c>
    </row>
    <row r="5004">
      <c r="A5004" s="4" t="s">
        <v>5075</v>
      </c>
      <c r="B5004" s="5" t="str">
        <f>IFERROR(__xludf.DUMMYFUNCTION("IF(A5004="""","""",INDEX(SPLIT(A5004,"" ""),COUNTA(SPLIT(A5004,"" ""))))"),"Montegranaro")</f>
        <v>Montegranaro</v>
      </c>
      <c r="C5004" s="6"/>
      <c r="D5004" s="6" t="s">
        <v>5058</v>
      </c>
      <c r="E5004" s="7" t="s">
        <v>5059</v>
      </c>
    </row>
    <row r="5005">
      <c r="A5005" s="4" t="s">
        <v>5076</v>
      </c>
      <c r="B5005" s="5" t="str">
        <f>IFERROR(__xludf.DUMMYFUNCTION("IF(A5005="""","""",INDEX(SPLIT(A5005,"" ""),COUNTA(SPLIT(A5005,"" ""))))"),"Fermo")</f>
        <v>Fermo</v>
      </c>
      <c r="C5005" s="6"/>
      <c r="D5005" s="6" t="s">
        <v>5058</v>
      </c>
      <c r="E5005" s="7" t="s">
        <v>5059</v>
      </c>
    </row>
    <row r="5006">
      <c r="A5006" s="4" t="s">
        <v>5077</v>
      </c>
      <c r="B5006" s="5" t="str">
        <f>IFERROR(__xludf.DUMMYFUNCTION("IF(A5006="""","""",INDEX(SPLIT(A5006,"" ""),COUNTA(SPLIT(A5006,"" ""))))"),"Montelparo")</f>
        <v>Montelparo</v>
      </c>
      <c r="C5006" s="6"/>
      <c r="D5006" s="6" t="s">
        <v>5058</v>
      </c>
      <c r="E5006" s="7" t="s">
        <v>5059</v>
      </c>
    </row>
    <row r="5007">
      <c r="A5007" s="4" t="s">
        <v>5078</v>
      </c>
      <c r="B5007" s="5" t="str">
        <f>IFERROR(__xludf.DUMMYFUNCTION("IF(A5007="""","""",INDEX(SPLIT(A5007,"" ""),COUNTA(SPLIT(A5007,"" ""))))"),"Rinaldo")</f>
        <v>Rinaldo</v>
      </c>
      <c r="C5007" s="6"/>
      <c r="D5007" s="6" t="s">
        <v>5058</v>
      </c>
      <c r="E5007" s="7" t="s">
        <v>5059</v>
      </c>
    </row>
    <row r="5008">
      <c r="A5008" s="4" t="s">
        <v>5079</v>
      </c>
      <c r="B5008" s="5" t="str">
        <f>IFERROR(__xludf.DUMMYFUNCTION("IF(A5008="""","""",INDEX(SPLIT(A5008,"" ""),COUNTA(SPLIT(A5008,"" ""))))"),"Monterubbiano")</f>
        <v>Monterubbiano</v>
      </c>
      <c r="C5008" s="6"/>
      <c r="D5008" s="6" t="s">
        <v>5058</v>
      </c>
      <c r="E5008" s="7" t="s">
        <v>5059</v>
      </c>
    </row>
    <row r="5009">
      <c r="A5009" s="4" t="s">
        <v>5080</v>
      </c>
      <c r="B5009" s="5" t="str">
        <f>IFERROR(__xludf.DUMMYFUNCTION("IF(A5009="""","""",INDEX(SPLIT(A5009,"" ""),COUNTA(SPLIT(A5009,"" ""))))"),"Pietrangeli")</f>
        <v>Pietrangeli</v>
      </c>
      <c r="C5009" s="6"/>
      <c r="D5009" s="6" t="s">
        <v>5058</v>
      </c>
      <c r="E5009" s="7" t="s">
        <v>5059</v>
      </c>
    </row>
    <row r="5010">
      <c r="A5010" s="4" t="s">
        <v>5081</v>
      </c>
      <c r="B5010" s="5" t="str">
        <f>IFERROR(__xludf.DUMMYFUNCTION("IF(A5010="""","""",INDEX(SPLIT(A5010,"" ""),COUNTA(SPLIT(A5010,"" ""))))"),"Urano")</f>
        <v>Urano</v>
      </c>
      <c r="C5010" s="6"/>
      <c r="D5010" s="6" t="s">
        <v>5058</v>
      </c>
      <c r="E5010" s="7" t="s">
        <v>5059</v>
      </c>
    </row>
    <row r="5011">
      <c r="A5011" s="4" t="s">
        <v>5082</v>
      </c>
      <c r="B5011" s="5" t="str">
        <f>IFERROR(__xludf.DUMMYFUNCTION("IF(A5011="""","""",INDEX(SPLIT(A5011,"" ""),COUNTA(SPLIT(A5011,"" ""))))"),"Combatte")</f>
        <v>Combatte</v>
      </c>
      <c r="C5011" s="6"/>
      <c r="D5011" s="6" t="s">
        <v>5058</v>
      </c>
      <c r="E5011" s="7" t="s">
        <v>5059</v>
      </c>
    </row>
    <row r="5012">
      <c r="A5012" s="4" t="s">
        <v>5083</v>
      </c>
      <c r="B5012" s="5" t="str">
        <f>IFERROR(__xludf.DUMMYFUNCTION("IF(A5012="""","""",INDEX(SPLIT(A5012,"" ""),COUNTA(SPLIT(A5012,"" ""))))"),"Corrado")</f>
        <v>Corrado</v>
      </c>
      <c r="C5012" s="6"/>
      <c r="D5012" s="6" t="s">
        <v>5058</v>
      </c>
      <c r="E5012" s="7" t="s">
        <v>5059</v>
      </c>
    </row>
    <row r="5013">
      <c r="A5013" s="4" t="s">
        <v>5084</v>
      </c>
      <c r="B5013" s="5" t="str">
        <f>IFERROR(__xludf.DUMMYFUNCTION("IF(A5013="""","""",INDEX(SPLIT(A5013,"" ""),COUNTA(SPLIT(A5013,"" ""))))"),"Montottone")</f>
        <v>Montottone</v>
      </c>
      <c r="C5013" s="6"/>
      <c r="D5013" s="6" t="s">
        <v>5058</v>
      </c>
      <c r="E5013" s="7" t="s">
        <v>5059</v>
      </c>
    </row>
    <row r="5014">
      <c r="A5014" s="4" t="s">
        <v>5085</v>
      </c>
      <c r="B5014" s="5" t="str">
        <f>IFERROR(__xludf.DUMMYFUNCTION("IF(A5014="""","""",INDEX(SPLIT(A5014,"" ""),COUNTA(SPLIT(A5014,"" ""))))"),"Moresco")</f>
        <v>Moresco</v>
      </c>
      <c r="C5014" s="6"/>
      <c r="D5014" s="6" t="s">
        <v>5058</v>
      </c>
      <c r="E5014" s="7" t="s">
        <v>5059</v>
      </c>
    </row>
    <row r="5015">
      <c r="A5015" s="4" t="s">
        <v>5086</v>
      </c>
      <c r="B5015" s="5" t="str">
        <f>IFERROR(__xludf.DUMMYFUNCTION("IF(A5015="""","""",INDEX(SPLIT(A5015,"" ""),COUNTA(SPLIT(A5015,"" ""))))"),"Ortezzano")</f>
        <v>Ortezzano</v>
      </c>
      <c r="C5015" s="6"/>
      <c r="D5015" s="6" t="s">
        <v>5058</v>
      </c>
      <c r="E5015" s="7" t="s">
        <v>5059</v>
      </c>
    </row>
    <row r="5016">
      <c r="A5016" s="4" t="s">
        <v>5087</v>
      </c>
      <c r="B5016" s="5" t="str">
        <f>IFERROR(__xludf.DUMMYFUNCTION("IF(A5016="""","""",INDEX(SPLIT(A5016,"" ""),COUNTA(SPLIT(A5016,"" ""))))"),"Pedaso")</f>
        <v>Pedaso</v>
      </c>
      <c r="C5016" s="6"/>
      <c r="D5016" s="6" t="s">
        <v>5058</v>
      </c>
      <c r="E5016" s="7" t="s">
        <v>5059</v>
      </c>
    </row>
    <row r="5017">
      <c r="A5017" s="4" t="s">
        <v>5088</v>
      </c>
      <c r="B5017" s="5" t="str">
        <f>IFERROR(__xludf.DUMMYFUNCTION("IF(A5017="""","""",INDEX(SPLIT(A5017,"" ""),COUNTA(SPLIT(A5017,"" ""))))"),"Petritoli")</f>
        <v>Petritoli</v>
      </c>
      <c r="C5017" s="6"/>
      <c r="D5017" s="6" t="s">
        <v>5058</v>
      </c>
      <c r="E5017" s="7" t="s">
        <v>5059</v>
      </c>
    </row>
    <row r="5018">
      <c r="A5018" s="4" t="s">
        <v>5089</v>
      </c>
      <c r="B5018" s="5" t="str">
        <f>IFERROR(__xludf.DUMMYFUNCTION("IF(A5018="""","""",INDEX(SPLIT(A5018,"" ""),COUNTA(SPLIT(A5018,"" ""))))"),"Fermo")</f>
        <v>Fermo</v>
      </c>
      <c r="C5018" s="6"/>
      <c r="D5018" s="6" t="s">
        <v>5058</v>
      </c>
      <c r="E5018" s="7" t="s">
        <v>5059</v>
      </c>
    </row>
    <row r="5019">
      <c r="A5019" s="4" t="s">
        <v>5090</v>
      </c>
      <c r="B5019" s="5" t="str">
        <f>IFERROR(__xludf.DUMMYFUNCTION("IF(A5019="""","""",INDEX(SPLIT(A5019,"" ""),COUNTA(SPLIT(A5019,"" ""))))"),"Giorgio")</f>
        <v>Giorgio</v>
      </c>
      <c r="C5019" s="6"/>
      <c r="D5019" s="6" t="s">
        <v>5058</v>
      </c>
      <c r="E5019" s="7" t="s">
        <v>5059</v>
      </c>
    </row>
    <row r="5020">
      <c r="A5020" s="4" t="s">
        <v>5091</v>
      </c>
      <c r="B5020" s="5" t="str">
        <f>IFERROR(__xludf.DUMMYFUNCTION("IF(A5020="""","""",INDEX(SPLIT(A5020,"" ""),COUNTA(SPLIT(A5020,"" ""))))"),"Sant'Elpidio")</f>
        <v>Sant'Elpidio</v>
      </c>
      <c r="C5020" s="6"/>
      <c r="D5020" s="6" t="s">
        <v>5058</v>
      </c>
      <c r="E5020" s="7" t="s">
        <v>5059</v>
      </c>
    </row>
    <row r="5021">
      <c r="A5021" s="4" t="s">
        <v>5092</v>
      </c>
      <c r="B5021" s="5" t="str">
        <f>IFERROR(__xludf.DUMMYFUNCTION("IF(A5021="""","""",INDEX(SPLIT(A5021,"" ""),COUNTA(SPLIT(A5021,"" ""))))"),"Rapagnano")</f>
        <v>Rapagnano</v>
      </c>
      <c r="C5021" s="6"/>
      <c r="D5021" s="6" t="s">
        <v>5058</v>
      </c>
      <c r="E5021" s="7" t="s">
        <v>5059</v>
      </c>
    </row>
    <row r="5022">
      <c r="A5022" s="4" t="s">
        <v>5093</v>
      </c>
      <c r="B5022" s="5" t="str">
        <f>IFERROR(__xludf.DUMMYFUNCTION("IF(A5022="""","""",INDEX(SPLIT(A5022,"" ""),COUNTA(SPLIT(A5022,"" ""))))"),"Matenano")</f>
        <v>Matenano</v>
      </c>
      <c r="C5022" s="6"/>
      <c r="D5022" s="6" t="s">
        <v>5058</v>
      </c>
      <c r="E5022" s="7" t="s">
        <v>5059</v>
      </c>
    </row>
    <row r="5023">
      <c r="A5023" s="4" t="s">
        <v>5094</v>
      </c>
      <c r="B5023" s="5" t="str">
        <f>IFERROR(__xludf.DUMMYFUNCTION("IF(A5023="""","""",INDEX(SPLIT(A5023,"" ""),COUNTA(SPLIT(A5023,"" ""))))"),"Mare")</f>
        <v>Mare</v>
      </c>
      <c r="C5023" s="6"/>
      <c r="D5023" s="6" t="s">
        <v>5058</v>
      </c>
      <c r="E5023" s="7" t="s">
        <v>5059</v>
      </c>
    </row>
    <row r="5024">
      <c r="A5024" s="4" t="s">
        <v>5095</v>
      </c>
      <c r="B5024" s="5" t="str">
        <f>IFERROR(__xludf.DUMMYFUNCTION("IF(A5024="""","""",INDEX(SPLIT(A5024,"" ""),COUNTA(SPLIT(A5024,"" ""))))"),"Servigliano")</f>
        <v>Servigliano</v>
      </c>
      <c r="C5024" s="6"/>
      <c r="D5024" s="6" t="s">
        <v>5058</v>
      </c>
      <c r="E5024" s="7" t="s">
        <v>5059</v>
      </c>
    </row>
    <row r="5025">
      <c r="A5025" s="4" t="s">
        <v>5096</v>
      </c>
      <c r="B5025" s="5" t="str">
        <f>IFERROR(__xludf.DUMMYFUNCTION("IF(A5025="""","""",INDEX(SPLIT(A5025,"" ""),COUNTA(SPLIT(A5025,"" ""))))"),"Smerillo")</f>
        <v>Smerillo</v>
      </c>
      <c r="C5025" s="6"/>
      <c r="D5025" s="6" t="s">
        <v>5058</v>
      </c>
      <c r="E5025" s="7" t="s">
        <v>5059</v>
      </c>
    </row>
    <row r="5026">
      <c r="A5026" s="4" t="s">
        <v>5097</v>
      </c>
      <c r="B5026" s="5" t="str">
        <f>IFERROR(__xludf.DUMMYFUNCTION("IF(A5026="""","""",INDEX(SPLIT(A5026,"" ""),COUNTA(SPLIT(A5026,"" ""))))"),"Patrizio")</f>
        <v>Patrizio</v>
      </c>
      <c r="C5026" s="6"/>
      <c r="D5026" s="6" t="s">
        <v>5058</v>
      </c>
      <c r="E5026" s="7" t="s">
        <v>5059</v>
      </c>
    </row>
    <row r="5027">
      <c r="A5027" s="4" t="s">
        <v>5098</v>
      </c>
      <c r="B5027" s="5" t="str">
        <f>IFERROR(__xludf.DUMMYFUNCTION("IF(A5027="""","""",INDEX(SPLIT(A5027,"" ""),COUNTA(SPLIT(A5027,"" ""))))"),"Acquapendente")</f>
        <v>Acquapendente</v>
      </c>
      <c r="C5027" s="6"/>
      <c r="D5027" s="6" t="s">
        <v>5099</v>
      </c>
      <c r="E5027" s="7" t="s">
        <v>5100</v>
      </c>
    </row>
    <row r="5028">
      <c r="A5028" s="4" t="s">
        <v>5101</v>
      </c>
      <c r="B5028" s="5" t="str">
        <f>IFERROR(__xludf.DUMMYFUNCTION("IF(A5028="""","""",INDEX(SPLIT(A5028,"" ""),COUNTA(SPLIT(A5028,"" ""))))"),"Castro")</f>
        <v>Castro</v>
      </c>
      <c r="C5028" s="6"/>
      <c r="D5028" s="6" t="s">
        <v>5099</v>
      </c>
      <c r="E5028" s="7" t="s">
        <v>5100</v>
      </c>
    </row>
    <row r="5029">
      <c r="A5029" s="4" t="s">
        <v>5102</v>
      </c>
      <c r="B5029" s="5" t="str">
        <f>IFERROR(__xludf.DUMMYFUNCTION("IF(A5029="""","""",INDEX(SPLIT(A5029,"" ""),COUNTA(SPLIT(A5029,"" ""))))"),"Bagnoregio")</f>
        <v>Bagnoregio</v>
      </c>
      <c r="C5029" s="6"/>
      <c r="D5029" s="6" t="s">
        <v>5099</v>
      </c>
      <c r="E5029" s="7" t="s">
        <v>5100</v>
      </c>
    </row>
    <row r="5030">
      <c r="A5030" s="4" t="s">
        <v>5103</v>
      </c>
      <c r="B5030" s="5" t="str">
        <f>IFERROR(__xludf.DUMMYFUNCTION("IF(A5030="""","""",INDEX(SPLIT(A5030,"" ""),COUNTA(SPLIT(A5030,"" ""))))"),"Romano")</f>
        <v>Romano</v>
      </c>
      <c r="C5030" s="6"/>
      <c r="D5030" s="6" t="s">
        <v>5099</v>
      </c>
      <c r="E5030" s="7" t="s">
        <v>5100</v>
      </c>
    </row>
    <row r="5031">
      <c r="A5031" s="4" t="s">
        <v>5104</v>
      </c>
      <c r="B5031" s="5" t="str">
        <f>IFERROR(__xludf.DUMMYFUNCTION("IF(A5031="""","""",INDEX(SPLIT(A5031,"" ""),COUNTA(SPLIT(A5031,"" ""))))"),"Romano")</f>
        <v>Romano</v>
      </c>
      <c r="C5031" s="6"/>
      <c r="D5031" s="6" t="s">
        <v>5099</v>
      </c>
      <c r="E5031" s="7" t="s">
        <v>5100</v>
      </c>
    </row>
    <row r="5032">
      <c r="A5032" s="4" t="s">
        <v>5105</v>
      </c>
      <c r="B5032" s="5" t="str">
        <f>IFERROR(__xludf.DUMMYFUNCTION("IF(A5032="""","""",INDEX(SPLIT(A5032,"" ""),COUNTA(SPLIT(A5032,"" ""))))"),"Teverina")</f>
        <v>Teverina</v>
      </c>
      <c r="C5032" s="6"/>
      <c r="D5032" s="6" t="s">
        <v>5099</v>
      </c>
      <c r="E5032" s="7" t="s">
        <v>5100</v>
      </c>
    </row>
    <row r="5033">
      <c r="A5033" s="4" t="s">
        <v>5106</v>
      </c>
      <c r="B5033" s="5" t="str">
        <f>IFERROR(__xludf.DUMMYFUNCTION("IF(A5033="""","""",INDEX(SPLIT(A5033,"" ""),COUNTA(SPLIT(A5033,"" ""))))"),"Blera")</f>
        <v>Blera</v>
      </c>
      <c r="C5033" s="6"/>
      <c r="D5033" s="6" t="s">
        <v>5099</v>
      </c>
      <c r="E5033" s="7" t="s">
        <v>5100</v>
      </c>
    </row>
    <row r="5034">
      <c r="A5034" s="4" t="s">
        <v>5107</v>
      </c>
      <c r="B5034" s="5" t="str">
        <f>IFERROR(__xludf.DUMMYFUNCTION("IF(A5034="""","""",INDEX(SPLIT(A5034,"" ""),COUNTA(SPLIT(A5034,"" ""))))"),"Bolsena")</f>
        <v>Bolsena</v>
      </c>
      <c r="C5034" s="6"/>
      <c r="D5034" s="6" t="s">
        <v>5099</v>
      </c>
      <c r="E5034" s="7" t="s">
        <v>5100</v>
      </c>
    </row>
    <row r="5035">
      <c r="A5035" s="4" t="s">
        <v>5108</v>
      </c>
      <c r="B5035" s="5" t="str">
        <f>IFERROR(__xludf.DUMMYFUNCTION("IF(A5035="""","""",INDEX(SPLIT(A5035,"" ""),COUNTA(SPLIT(A5035,"" ""))))"),"Bomarzo")</f>
        <v>Bomarzo</v>
      </c>
      <c r="C5035" s="6"/>
      <c r="D5035" s="6" t="s">
        <v>5099</v>
      </c>
      <c r="E5035" s="7" t="s">
        <v>5100</v>
      </c>
    </row>
    <row r="5036">
      <c r="A5036" s="4" t="s">
        <v>5109</v>
      </c>
      <c r="B5036" s="5" t="str">
        <f>IFERROR(__xludf.DUMMYFUNCTION("IF(A5036="""","""",INDEX(SPLIT(A5036,"" ""),COUNTA(SPLIT(A5036,"" ""))))"),"Calcata")</f>
        <v>Calcata</v>
      </c>
      <c r="C5036" s="6"/>
      <c r="D5036" s="6" t="s">
        <v>5099</v>
      </c>
      <c r="E5036" s="7" t="s">
        <v>5100</v>
      </c>
    </row>
    <row r="5037">
      <c r="A5037" s="4" t="s">
        <v>5110</v>
      </c>
      <c r="B5037" s="5" t="str">
        <f>IFERROR(__xludf.DUMMYFUNCTION("IF(A5037="""","""",INDEX(SPLIT(A5037,"" ""),COUNTA(SPLIT(A5037,"" ""))))"),"Canepina")</f>
        <v>Canepina</v>
      </c>
      <c r="C5037" s="6"/>
      <c r="D5037" s="6" t="s">
        <v>5099</v>
      </c>
      <c r="E5037" s="7" t="s">
        <v>5100</v>
      </c>
    </row>
    <row r="5038">
      <c r="A5038" s="4" t="s">
        <v>5111</v>
      </c>
      <c r="B5038" s="5" t="str">
        <f>IFERROR(__xludf.DUMMYFUNCTION("IF(A5038="""","""",INDEX(SPLIT(A5038,"" ""),COUNTA(SPLIT(A5038,"" ""))))"),"Canino")</f>
        <v>Canino</v>
      </c>
      <c r="C5038" s="6"/>
      <c r="D5038" s="6" t="s">
        <v>5099</v>
      </c>
      <c r="E5038" s="7" t="s">
        <v>5100</v>
      </c>
    </row>
    <row r="5039">
      <c r="A5039" s="4" t="s">
        <v>5112</v>
      </c>
      <c r="B5039" s="5" t="str">
        <f>IFERROR(__xludf.DUMMYFUNCTION("IF(A5039="""","""",INDEX(SPLIT(A5039,"" ""),COUNTA(SPLIT(A5039,"" ""))))"),"Capodimonte")</f>
        <v>Capodimonte</v>
      </c>
      <c r="C5039" s="6"/>
      <c r="D5039" s="6" t="s">
        <v>5099</v>
      </c>
      <c r="E5039" s="7" t="s">
        <v>5100</v>
      </c>
    </row>
    <row r="5040">
      <c r="A5040" s="4" t="s">
        <v>5113</v>
      </c>
      <c r="B5040" s="5" t="str">
        <f>IFERROR(__xludf.DUMMYFUNCTION("IF(A5040="""","""",INDEX(SPLIT(A5040,"" ""),COUNTA(SPLIT(A5040,"" ""))))"),"Capranica")</f>
        <v>Capranica</v>
      </c>
      <c r="C5040" s="6"/>
      <c r="D5040" s="6" t="s">
        <v>5099</v>
      </c>
      <c r="E5040" s="7" t="s">
        <v>5100</v>
      </c>
    </row>
    <row r="5041">
      <c r="A5041" s="4" t="s">
        <v>5114</v>
      </c>
      <c r="B5041" s="5" t="str">
        <f>IFERROR(__xludf.DUMMYFUNCTION("IF(A5041="""","""",INDEX(SPLIT(A5041,"" ""),COUNTA(SPLIT(A5041,"" ""))))"),"Caprarola")</f>
        <v>Caprarola</v>
      </c>
      <c r="C5041" s="6"/>
      <c r="D5041" s="6" t="s">
        <v>5099</v>
      </c>
      <c r="E5041" s="7" t="s">
        <v>5100</v>
      </c>
    </row>
    <row r="5042">
      <c r="A5042" s="4" t="s">
        <v>5115</v>
      </c>
      <c r="B5042" s="5" t="str">
        <f>IFERROR(__xludf.DUMMYFUNCTION("IF(A5042="""","""",INDEX(SPLIT(A5042,"" ""),COUNTA(SPLIT(A5042,"" ""))))"),"Carbognano")</f>
        <v>Carbognano</v>
      </c>
      <c r="C5042" s="6"/>
      <c r="D5042" s="6" t="s">
        <v>5099</v>
      </c>
      <c r="E5042" s="7" t="s">
        <v>5100</v>
      </c>
    </row>
    <row r="5043">
      <c r="A5043" s="4" t="s">
        <v>5116</v>
      </c>
      <c r="B5043" s="5" t="str">
        <f>IFERROR(__xludf.DUMMYFUNCTION("IF(A5043="""","""",INDEX(SPLIT(A5043,"" ""),COUNTA(SPLIT(A5043,"" ""))))"),"Sant'Elia")</f>
        <v>Sant'Elia</v>
      </c>
      <c r="C5043" s="6"/>
      <c r="D5043" s="6" t="s">
        <v>5099</v>
      </c>
      <c r="E5043" s="7" t="s">
        <v>5100</v>
      </c>
    </row>
    <row r="5044">
      <c r="A5044" s="4" t="s">
        <v>5117</v>
      </c>
      <c r="B5044" s="5" t="str">
        <f>IFERROR(__xludf.DUMMYFUNCTION("IF(A5044="""","""",INDEX(SPLIT(A5044,"" ""),COUNTA(SPLIT(A5044,"" ""))))"),"Teverina")</f>
        <v>Teverina</v>
      </c>
      <c r="C5044" s="6"/>
      <c r="D5044" s="6" t="s">
        <v>5099</v>
      </c>
      <c r="E5044" s="7" t="s">
        <v>5100</v>
      </c>
    </row>
    <row r="5045">
      <c r="A5045" s="4" t="s">
        <v>5118</v>
      </c>
      <c r="B5045" s="5" t="str">
        <f>IFERROR(__xludf.DUMMYFUNCTION("IF(A5045="""","""",INDEX(SPLIT(A5045,"" ""),COUNTA(SPLIT(A5045,"" ""))))"),"Celleno")</f>
        <v>Celleno</v>
      </c>
      <c r="C5045" s="6"/>
      <c r="D5045" s="6" t="s">
        <v>5099</v>
      </c>
      <c r="E5045" s="7" t="s">
        <v>5100</v>
      </c>
    </row>
    <row r="5046">
      <c r="A5046" s="4" t="s">
        <v>5119</v>
      </c>
      <c r="B5046" s="5" t="str">
        <f>IFERROR(__xludf.DUMMYFUNCTION("IF(A5046="""","""",INDEX(SPLIT(A5046,"" ""),COUNTA(SPLIT(A5046,"" ""))))"),"Cellere")</f>
        <v>Cellere</v>
      </c>
      <c r="C5046" s="6"/>
      <c r="D5046" s="6" t="s">
        <v>5099</v>
      </c>
      <c r="E5046" s="7" t="s">
        <v>5100</v>
      </c>
    </row>
    <row r="5047">
      <c r="A5047" s="4" t="s">
        <v>5120</v>
      </c>
      <c r="B5047" s="5" t="str">
        <f>IFERROR(__xludf.DUMMYFUNCTION("IF(A5047="""","""",INDEX(SPLIT(A5047,"" ""),COUNTA(SPLIT(A5047,"" ""))))"),"Castellana")</f>
        <v>Castellana</v>
      </c>
      <c r="C5047" s="6"/>
      <c r="D5047" s="6" t="s">
        <v>5099</v>
      </c>
      <c r="E5047" s="7" t="s">
        <v>5100</v>
      </c>
    </row>
    <row r="5048">
      <c r="A5048" s="4" t="s">
        <v>5121</v>
      </c>
      <c r="B5048" s="5" t="str">
        <f>IFERROR(__xludf.DUMMYFUNCTION("IF(A5048="""","""",INDEX(SPLIT(A5048,"" ""),COUNTA(SPLIT(A5048,"" ""))))"),"d'Agliano")</f>
        <v>d'Agliano</v>
      </c>
      <c r="C5048" s="6"/>
      <c r="D5048" s="6" t="s">
        <v>5099</v>
      </c>
      <c r="E5048" s="7" t="s">
        <v>5100</v>
      </c>
    </row>
    <row r="5049">
      <c r="A5049" s="4" t="s">
        <v>5122</v>
      </c>
      <c r="B5049" s="5" t="str">
        <f>IFERROR(__xludf.DUMMYFUNCTION("IF(A5049="""","""",INDEX(SPLIT(A5049,"" ""),COUNTA(SPLIT(A5049,"" ""))))"),"Corchiano")</f>
        <v>Corchiano</v>
      </c>
      <c r="C5049" s="6"/>
      <c r="D5049" s="6" t="s">
        <v>5099</v>
      </c>
      <c r="E5049" s="7" t="s">
        <v>5100</v>
      </c>
    </row>
    <row r="5050">
      <c r="A5050" s="4" t="s">
        <v>5123</v>
      </c>
      <c r="B5050" s="5" t="str">
        <f>IFERROR(__xludf.DUMMYFUNCTION("IF(A5050="""","""",INDEX(SPLIT(A5050,"" ""),COUNTA(SPLIT(A5050,"" ""))))"),"Roma")</f>
        <v>Roma</v>
      </c>
      <c r="C5050" s="6"/>
      <c r="D5050" s="6" t="s">
        <v>5099</v>
      </c>
      <c r="E5050" s="7" t="s">
        <v>5100</v>
      </c>
    </row>
    <row r="5051">
      <c r="A5051" s="4" t="s">
        <v>5124</v>
      </c>
      <c r="B5051" s="5" t="str">
        <f>IFERROR(__xludf.DUMMYFUNCTION("IF(A5051="""","""",INDEX(SPLIT(A5051,"" ""),COUNTA(SPLIT(A5051,"" ""))))"),"Faleria")</f>
        <v>Faleria</v>
      </c>
      <c r="C5051" s="6"/>
      <c r="D5051" s="6" t="s">
        <v>5099</v>
      </c>
      <c r="E5051" s="7" t="s">
        <v>5100</v>
      </c>
    </row>
    <row r="5052">
      <c r="A5052" s="4" t="s">
        <v>5125</v>
      </c>
      <c r="B5052" s="5" t="str">
        <f>IFERROR(__xludf.DUMMYFUNCTION("IF(A5052="""","""",INDEX(SPLIT(A5052,"" ""),COUNTA(SPLIT(A5052,"" ""))))"),"Farnese")</f>
        <v>Farnese</v>
      </c>
      <c r="C5052" s="6"/>
      <c r="D5052" s="6" t="s">
        <v>5099</v>
      </c>
      <c r="E5052" s="7" t="s">
        <v>5100</v>
      </c>
    </row>
    <row r="5053">
      <c r="A5053" s="4" t="s">
        <v>5126</v>
      </c>
      <c r="B5053" s="5" t="str">
        <f>IFERROR(__xludf.DUMMYFUNCTION("IF(A5053="""","""",INDEX(SPLIT(A5053,"" ""),COUNTA(SPLIT(A5053,"" ""))))"),"Gallese")</f>
        <v>Gallese</v>
      </c>
      <c r="C5053" s="6"/>
      <c r="D5053" s="6" t="s">
        <v>5099</v>
      </c>
      <c r="E5053" s="7" t="s">
        <v>5100</v>
      </c>
    </row>
    <row r="5054">
      <c r="A5054" s="4" t="s">
        <v>5127</v>
      </c>
      <c r="B5054" s="5" t="str">
        <f>IFERROR(__xludf.DUMMYFUNCTION("IF(A5054="""","""",INDEX(SPLIT(A5054,"" ""),COUNTA(SPLIT(A5054,"" ""))))"),"Gradoli")</f>
        <v>Gradoli</v>
      </c>
      <c r="C5054" s="6"/>
      <c r="D5054" s="6" t="s">
        <v>5099</v>
      </c>
      <c r="E5054" s="7" t="s">
        <v>5100</v>
      </c>
    </row>
    <row r="5055">
      <c r="A5055" s="4" t="s">
        <v>5128</v>
      </c>
      <c r="B5055" s="5" t="str">
        <f>IFERROR(__xludf.DUMMYFUNCTION("IF(A5055="""","""",INDEX(SPLIT(A5055,"" ""),COUNTA(SPLIT(A5055,"" ""))))"),"Graffignano")</f>
        <v>Graffignano</v>
      </c>
      <c r="C5055" s="6"/>
      <c r="D5055" s="6" t="s">
        <v>5099</v>
      </c>
      <c r="E5055" s="7" t="s">
        <v>5100</v>
      </c>
    </row>
    <row r="5056">
      <c r="A5056" s="4" t="s">
        <v>5129</v>
      </c>
      <c r="B5056" s="5" t="str">
        <f>IFERROR(__xludf.DUMMYFUNCTION("IF(A5056="""","""",INDEX(SPLIT(A5056,"" ""),COUNTA(SPLIT(A5056,"" ""))))"),"Castro")</f>
        <v>Castro</v>
      </c>
      <c r="C5056" s="6"/>
      <c r="D5056" s="6" t="s">
        <v>5099</v>
      </c>
      <c r="E5056" s="7" t="s">
        <v>5100</v>
      </c>
    </row>
    <row r="5057">
      <c r="A5057" s="4" t="s">
        <v>5130</v>
      </c>
      <c r="B5057" s="5" t="str">
        <f>IFERROR(__xludf.DUMMYFUNCTION("IF(A5057="""","""",INDEX(SPLIT(A5057,"" ""),COUNTA(SPLIT(A5057,"" ""))))"),"Castro")</f>
        <v>Castro</v>
      </c>
      <c r="C5057" s="6"/>
      <c r="D5057" s="6" t="s">
        <v>5099</v>
      </c>
      <c r="E5057" s="7" t="s">
        <v>5100</v>
      </c>
    </row>
    <row r="5058">
      <c r="A5058" s="4" t="s">
        <v>5131</v>
      </c>
      <c r="B5058" s="5" t="str">
        <f>IFERROR(__xludf.DUMMYFUNCTION("IF(A5058="""","""",INDEX(SPLIT(A5058,"" ""),COUNTA(SPLIT(A5058,"" ""))))"),"Latera")</f>
        <v>Latera</v>
      </c>
      <c r="C5058" s="6"/>
      <c r="D5058" s="6" t="s">
        <v>5099</v>
      </c>
      <c r="E5058" s="7" t="s">
        <v>5100</v>
      </c>
    </row>
    <row r="5059">
      <c r="A5059" s="4" t="s">
        <v>5132</v>
      </c>
      <c r="B5059" s="5" t="str">
        <f>IFERROR(__xludf.DUMMYFUNCTION("IF(A5059="""","""",INDEX(SPLIT(A5059,"" ""),COUNTA(SPLIT(A5059,"" ""))))"),"Lubriano")</f>
        <v>Lubriano</v>
      </c>
      <c r="C5059" s="6"/>
      <c r="D5059" s="6" t="s">
        <v>5099</v>
      </c>
      <c r="E5059" s="7" t="s">
        <v>5100</v>
      </c>
    </row>
    <row r="5060">
      <c r="A5060" s="4" t="s">
        <v>5133</v>
      </c>
      <c r="B5060" s="5" t="str">
        <f>IFERROR(__xludf.DUMMYFUNCTION("IF(A5060="""","""",INDEX(SPLIT(A5060,"" ""),COUNTA(SPLIT(A5060,"" ""))))"),"Marta")</f>
        <v>Marta</v>
      </c>
      <c r="C5060" s="6"/>
      <c r="D5060" s="6" t="s">
        <v>5099</v>
      </c>
      <c r="E5060" s="7" t="s">
        <v>5100</v>
      </c>
    </row>
    <row r="5061">
      <c r="A5061" s="4" t="s">
        <v>5134</v>
      </c>
      <c r="B5061" s="5" t="str">
        <f>IFERROR(__xludf.DUMMYFUNCTION("IF(A5061="""","""",INDEX(SPLIT(A5061,"" ""),COUNTA(SPLIT(A5061,"" ""))))"),"Castro")</f>
        <v>Castro</v>
      </c>
      <c r="C5061" s="6"/>
      <c r="D5061" s="6" t="s">
        <v>5099</v>
      </c>
      <c r="E5061" s="7" t="s">
        <v>5100</v>
      </c>
    </row>
    <row r="5062">
      <c r="A5062" s="4" t="s">
        <v>5135</v>
      </c>
      <c r="B5062" s="5" t="str">
        <f>IFERROR(__xludf.DUMMYFUNCTION("IF(A5062="""","""",INDEX(SPLIT(A5062,"" ""),COUNTA(SPLIT(A5062,"" ""))))"),"Montefiascone")</f>
        <v>Montefiascone</v>
      </c>
      <c r="C5062" s="6"/>
      <c r="D5062" s="6" t="s">
        <v>5099</v>
      </c>
      <c r="E5062" s="7" t="s">
        <v>5100</v>
      </c>
    </row>
    <row r="5063">
      <c r="A5063" s="4" t="s">
        <v>5136</v>
      </c>
      <c r="B5063" s="5" t="str">
        <f>IFERROR(__xludf.DUMMYFUNCTION("IF(A5063="""","""",INDEX(SPLIT(A5063,"" ""),COUNTA(SPLIT(A5063,"" ""))))"),"Romano")</f>
        <v>Romano</v>
      </c>
      <c r="C5063" s="6"/>
      <c r="D5063" s="6" t="s">
        <v>5099</v>
      </c>
      <c r="E5063" s="7" t="s">
        <v>5100</v>
      </c>
    </row>
    <row r="5064">
      <c r="A5064" s="4" t="s">
        <v>5137</v>
      </c>
      <c r="B5064" s="5" t="str">
        <f>IFERROR(__xludf.DUMMYFUNCTION("IF(A5064="""","""",INDEX(SPLIT(A5064,"" ""),COUNTA(SPLIT(A5064,"" ""))))"),"Monterosi")</f>
        <v>Monterosi</v>
      </c>
      <c r="C5064" s="6"/>
      <c r="D5064" s="6" t="s">
        <v>5099</v>
      </c>
      <c r="E5064" s="7" t="s">
        <v>5100</v>
      </c>
    </row>
    <row r="5065">
      <c r="A5065" s="4" t="s">
        <v>5138</v>
      </c>
      <c r="B5065" s="5" t="str">
        <f>IFERROR(__xludf.DUMMYFUNCTION("IF(A5065="""","""",INDEX(SPLIT(A5065,"" ""),COUNTA(SPLIT(A5065,"" ""))))"),"Nepi")</f>
        <v>Nepi</v>
      </c>
      <c r="C5065" s="6"/>
      <c r="D5065" s="6" t="s">
        <v>5099</v>
      </c>
      <c r="E5065" s="7" t="s">
        <v>5100</v>
      </c>
    </row>
    <row r="5066">
      <c r="A5066" s="4" t="s">
        <v>5139</v>
      </c>
      <c r="B5066" s="5" t="str">
        <f>IFERROR(__xludf.DUMMYFUNCTION("IF(A5066="""","""",INDEX(SPLIT(A5066,"" ""),COUNTA(SPLIT(A5066,"" ""))))"),"Onano")</f>
        <v>Onano</v>
      </c>
      <c r="C5066" s="6"/>
      <c r="D5066" s="6" t="s">
        <v>5099</v>
      </c>
      <c r="E5066" s="7" t="s">
        <v>5100</v>
      </c>
    </row>
    <row r="5067">
      <c r="A5067" s="4" t="s">
        <v>5140</v>
      </c>
      <c r="B5067" s="5" t="str">
        <f>IFERROR(__xludf.DUMMYFUNCTION("IF(A5067="""","""",INDEX(SPLIT(A5067,"" ""),COUNTA(SPLIT(A5067,"" ""))))"),"Romano")</f>
        <v>Romano</v>
      </c>
      <c r="C5067" s="6"/>
      <c r="D5067" s="6" t="s">
        <v>5099</v>
      </c>
      <c r="E5067" s="7" t="s">
        <v>5100</v>
      </c>
    </row>
    <row r="5068">
      <c r="A5068" s="4" t="s">
        <v>5141</v>
      </c>
      <c r="B5068" s="5" t="str">
        <f>IFERROR(__xludf.DUMMYFUNCTION("IF(A5068="""","""",INDEX(SPLIT(A5068,"" ""),COUNTA(SPLIT(A5068,"" ""))))"),"Orte")</f>
        <v>Orte</v>
      </c>
      <c r="C5068" s="6"/>
      <c r="D5068" s="6" t="s">
        <v>5099</v>
      </c>
      <c r="E5068" s="7" t="s">
        <v>5100</v>
      </c>
    </row>
    <row r="5069">
      <c r="A5069" s="4" t="s">
        <v>5142</v>
      </c>
      <c r="B5069" s="5" t="str">
        <f>IFERROR(__xludf.DUMMYFUNCTION("IF(A5069="""","""",INDEX(SPLIT(A5069,"" ""),COUNTA(SPLIT(A5069,"" ""))))"),"Piansano")</f>
        <v>Piansano</v>
      </c>
      <c r="C5069" s="6"/>
      <c r="D5069" s="6" t="s">
        <v>5099</v>
      </c>
      <c r="E5069" s="7" t="s">
        <v>5100</v>
      </c>
    </row>
    <row r="5070">
      <c r="A5070" s="4" t="s">
        <v>5143</v>
      </c>
      <c r="B5070" s="5" t="str">
        <f>IFERROR(__xludf.DUMMYFUNCTION("IF(A5070="""","""",INDEX(SPLIT(A5070,"" ""),COUNTA(SPLIT(A5070,"" ""))))"),"Proceno")</f>
        <v>Proceno</v>
      </c>
      <c r="C5070" s="6"/>
      <c r="D5070" s="6" t="s">
        <v>5099</v>
      </c>
      <c r="E5070" s="7" t="s">
        <v>5100</v>
      </c>
    </row>
    <row r="5071">
      <c r="A5071" s="4" t="s">
        <v>5144</v>
      </c>
      <c r="B5071" s="5" t="str">
        <f>IFERROR(__xludf.DUMMYFUNCTION("IF(A5071="""","""",INDEX(SPLIT(A5071,"" ""),COUNTA(SPLIT(A5071,"" ""))))"),"Ronciglione")</f>
        <v>Ronciglione</v>
      </c>
      <c r="C5071" s="6"/>
      <c r="D5071" s="6" t="s">
        <v>5099</v>
      </c>
      <c r="E5071" s="7" t="s">
        <v>5100</v>
      </c>
    </row>
    <row r="5072">
      <c r="A5072" s="4" t="s">
        <v>5145</v>
      </c>
      <c r="B5072" s="5" t="str">
        <f>IFERROR(__xludf.DUMMYFUNCTION("IF(A5072="""","""",INDEX(SPLIT(A5072,"" ""),COUNTA(SPLIT(A5072,"" ""))))"),"Tuscia")</f>
        <v>Tuscia</v>
      </c>
      <c r="C5072" s="6"/>
      <c r="D5072" s="6" t="s">
        <v>5099</v>
      </c>
      <c r="E5072" s="7" t="s">
        <v>5100</v>
      </c>
    </row>
    <row r="5073">
      <c r="A5073" s="4" t="s">
        <v>5146</v>
      </c>
      <c r="B5073" s="5" t="str">
        <f>IFERROR(__xludf.DUMMYFUNCTION("IF(A5073="""","""",INDEX(SPLIT(A5073,"" ""),COUNTA(SPLIT(A5073,"" ""))))"),"Nuovo")</f>
        <v>Nuovo</v>
      </c>
      <c r="C5073" s="6"/>
      <c r="D5073" s="6" t="s">
        <v>5099</v>
      </c>
      <c r="E5073" s="7" t="s">
        <v>5100</v>
      </c>
    </row>
    <row r="5074">
      <c r="A5074" s="4" t="s">
        <v>5147</v>
      </c>
      <c r="B5074" s="5" t="str">
        <f>IFERROR(__xludf.DUMMYFUNCTION("IF(A5074="""","""",INDEX(SPLIT(A5074,"" ""),COUNTA(SPLIT(A5074,"" ""))))"),"Cimino")</f>
        <v>Cimino</v>
      </c>
      <c r="C5074" s="6"/>
      <c r="D5074" s="6" t="s">
        <v>5099</v>
      </c>
      <c r="E5074" s="7" t="s">
        <v>5100</v>
      </c>
    </row>
    <row r="5075">
      <c r="A5075" s="4" t="s">
        <v>5148</v>
      </c>
      <c r="B5075" s="5" t="str">
        <f>IFERROR(__xludf.DUMMYFUNCTION("IF(A5075="""","""",INDEX(SPLIT(A5075,"" ""),COUNTA(SPLIT(A5075,"" ""))))"),"Sutri")</f>
        <v>Sutri</v>
      </c>
      <c r="C5075" s="6"/>
      <c r="D5075" s="6" t="s">
        <v>5099</v>
      </c>
      <c r="E5075" s="7" t="s">
        <v>5100</v>
      </c>
    </row>
    <row r="5076">
      <c r="A5076" s="4" t="s">
        <v>5149</v>
      </c>
      <c r="B5076" s="5" t="str">
        <f>IFERROR(__xludf.DUMMYFUNCTION("IF(A5076="""","""",INDEX(SPLIT(A5076,"" ""),COUNTA(SPLIT(A5076,"" ""))))"),"Tarquinia")</f>
        <v>Tarquinia</v>
      </c>
      <c r="C5076" s="6"/>
      <c r="D5076" s="6" t="s">
        <v>5099</v>
      </c>
      <c r="E5076" s="7" t="s">
        <v>5100</v>
      </c>
    </row>
    <row r="5077">
      <c r="A5077" s="4" t="s">
        <v>5150</v>
      </c>
      <c r="B5077" s="5" t="str">
        <f>IFERROR(__xludf.DUMMYFUNCTION("IF(A5077="""","""",INDEX(SPLIT(A5077,"" ""),COUNTA(SPLIT(A5077,"" ""))))"),"Tessennano")</f>
        <v>Tessennano</v>
      </c>
      <c r="C5077" s="6"/>
      <c r="D5077" s="6" t="s">
        <v>5099</v>
      </c>
      <c r="E5077" s="7" t="s">
        <v>5100</v>
      </c>
    </row>
    <row r="5078">
      <c r="A5078" s="4" t="s">
        <v>5151</v>
      </c>
      <c r="B5078" s="5" t="str">
        <f>IFERROR(__xludf.DUMMYFUNCTION("IF(A5078="""","""",INDEX(SPLIT(A5078,"" ""),COUNTA(SPLIT(A5078,"" ""))))"),"Tuscania")</f>
        <v>Tuscania</v>
      </c>
      <c r="C5078" s="6"/>
      <c r="D5078" s="6" t="s">
        <v>5099</v>
      </c>
      <c r="E5078" s="7" t="s">
        <v>5100</v>
      </c>
    </row>
    <row r="5079">
      <c r="A5079" s="4" t="s">
        <v>5152</v>
      </c>
      <c r="B5079" s="5" t="str">
        <f>IFERROR(__xludf.DUMMYFUNCTION("IF(A5079="""","""",INDEX(SPLIT(A5079,"" ""),COUNTA(SPLIT(A5079,"" ""))))"),"Valentano")</f>
        <v>Valentano</v>
      </c>
      <c r="C5079" s="6"/>
      <c r="D5079" s="6" t="s">
        <v>5099</v>
      </c>
      <c r="E5079" s="7" t="s">
        <v>5100</v>
      </c>
    </row>
    <row r="5080">
      <c r="A5080" s="4" t="s">
        <v>5153</v>
      </c>
      <c r="B5080" s="5" t="str">
        <f>IFERROR(__xludf.DUMMYFUNCTION("IF(A5080="""","""",INDEX(SPLIT(A5080,"" ""),COUNTA(SPLIT(A5080,"" ""))))"),"Vallerano")</f>
        <v>Vallerano</v>
      </c>
      <c r="C5080" s="6"/>
      <c r="D5080" s="6" t="s">
        <v>5099</v>
      </c>
      <c r="E5080" s="7" t="s">
        <v>5100</v>
      </c>
    </row>
    <row r="5081">
      <c r="A5081" s="4" t="s">
        <v>5154</v>
      </c>
      <c r="B5081" s="5" t="str">
        <f>IFERROR(__xludf.DUMMYFUNCTION("IF(A5081="""","""",INDEX(SPLIT(A5081,"" ""),COUNTA(SPLIT(A5081,"" ""))))"),"Vasanello")</f>
        <v>Vasanello</v>
      </c>
      <c r="C5081" s="6"/>
      <c r="D5081" s="6" t="s">
        <v>5099</v>
      </c>
      <c r="E5081" s="7" t="s">
        <v>5100</v>
      </c>
    </row>
    <row r="5082">
      <c r="A5082" s="4" t="s">
        <v>5155</v>
      </c>
      <c r="B5082" s="5" t="str">
        <f>IFERROR(__xludf.DUMMYFUNCTION("IF(A5082="""","""",INDEX(SPLIT(A5082,"" ""),COUNTA(SPLIT(A5082,"" ""))))"),"Vejano")</f>
        <v>Vejano</v>
      </c>
      <c r="C5082" s="6"/>
      <c r="D5082" s="6" t="s">
        <v>5099</v>
      </c>
      <c r="E5082" s="7" t="s">
        <v>5100</v>
      </c>
    </row>
    <row r="5083">
      <c r="A5083" s="4" t="s">
        <v>5156</v>
      </c>
      <c r="B5083" s="5" t="str">
        <f>IFERROR(__xludf.DUMMYFUNCTION("IF(A5083="""","""",INDEX(SPLIT(A5083,"" ""),COUNTA(SPLIT(A5083,"" ""))))"),"Vetralla")</f>
        <v>Vetralla</v>
      </c>
      <c r="C5083" s="6"/>
      <c r="D5083" s="6" t="s">
        <v>5099</v>
      </c>
      <c r="E5083" s="7" t="s">
        <v>5100</v>
      </c>
    </row>
    <row r="5084">
      <c r="A5084" s="4" t="s">
        <v>5157</v>
      </c>
      <c r="B5084" s="5" t="str">
        <f>IFERROR(__xludf.DUMMYFUNCTION("IF(A5084="""","""",INDEX(SPLIT(A5084,"" ""),COUNTA(SPLIT(A5084,"" ""))))"),"Vignanello")</f>
        <v>Vignanello</v>
      </c>
      <c r="C5084" s="6"/>
      <c r="D5084" s="6" t="s">
        <v>5099</v>
      </c>
      <c r="E5084" s="7" t="s">
        <v>5100</v>
      </c>
    </row>
    <row r="5085">
      <c r="A5085" s="4" t="s">
        <v>5099</v>
      </c>
      <c r="B5085" s="5" t="str">
        <f>IFERROR(__xludf.DUMMYFUNCTION("IF(A5085="""","""",INDEX(SPLIT(A5085,"" ""),COUNTA(SPLIT(A5085,"" ""))))"),"Viterbo")</f>
        <v>Viterbo</v>
      </c>
      <c r="C5085" s="6"/>
      <c r="D5085" s="6" t="s">
        <v>5099</v>
      </c>
      <c r="E5085" s="7" t="s">
        <v>5100</v>
      </c>
    </row>
    <row r="5086">
      <c r="A5086" s="4" t="s">
        <v>5158</v>
      </c>
      <c r="B5086" s="5" t="str">
        <f>IFERROR(__xludf.DUMMYFUNCTION("IF(A5086="""","""",INDEX(SPLIT(A5086,"" ""),COUNTA(SPLIT(A5086,"" ""))))"),"Vitorchiano")</f>
        <v>Vitorchiano</v>
      </c>
      <c r="C5086" s="6"/>
      <c r="D5086" s="6" t="s">
        <v>5099</v>
      </c>
      <c r="E5086" s="7" t="s">
        <v>5100</v>
      </c>
    </row>
    <row r="5087">
      <c r="A5087" s="4" t="s">
        <v>5159</v>
      </c>
      <c r="B5087" s="5" t="str">
        <f>IFERROR(__xludf.DUMMYFUNCTION("IF(A5087="""","""",INDEX(SPLIT(A5087,"" ""),COUNTA(SPLIT(A5087,"" ""))))"),"Accumoli")</f>
        <v>Accumoli</v>
      </c>
      <c r="C5087" s="6"/>
      <c r="D5087" s="6" t="s">
        <v>5160</v>
      </c>
      <c r="E5087" s="7" t="s">
        <v>5161</v>
      </c>
    </row>
    <row r="5088">
      <c r="A5088" s="4" t="s">
        <v>5162</v>
      </c>
      <c r="B5088" s="5" t="str">
        <f>IFERROR(__xludf.DUMMYFUNCTION("IF(A5088="""","""",INDEX(SPLIT(A5088,"" ""),COUNTA(SPLIT(A5088,"" ""))))"),"Amatrice")</f>
        <v>Amatrice</v>
      </c>
      <c r="C5088" s="6"/>
      <c r="D5088" s="6" t="s">
        <v>5160</v>
      </c>
      <c r="E5088" s="7" t="s">
        <v>5161</v>
      </c>
    </row>
    <row r="5089">
      <c r="A5089" s="4" t="s">
        <v>5163</v>
      </c>
      <c r="B5089" s="5" t="str">
        <f>IFERROR(__xludf.DUMMYFUNCTION("IF(A5089="""","""",INDEX(SPLIT(A5089,"" ""),COUNTA(SPLIT(A5089,"" ""))))"),"Antrodoco")</f>
        <v>Antrodoco</v>
      </c>
      <c r="C5089" s="6"/>
      <c r="D5089" s="6" t="s">
        <v>5160</v>
      </c>
      <c r="E5089" s="7" t="s">
        <v>5161</v>
      </c>
    </row>
    <row r="5090">
      <c r="A5090" s="4" t="s">
        <v>5164</v>
      </c>
      <c r="B5090" s="5" t="str">
        <f>IFERROR(__xludf.DUMMYFUNCTION("IF(A5090="""","""",INDEX(SPLIT(A5090,"" ""),COUNTA(SPLIT(A5090,"" ""))))"),"Ascrea")</f>
        <v>Ascrea</v>
      </c>
      <c r="C5090" s="6"/>
      <c r="D5090" s="6" t="s">
        <v>5160</v>
      </c>
      <c r="E5090" s="7" t="s">
        <v>5161</v>
      </c>
    </row>
    <row r="5091">
      <c r="A5091" s="4" t="s">
        <v>5165</v>
      </c>
      <c r="B5091" s="5" t="str">
        <f>IFERROR(__xludf.DUMMYFUNCTION("IF(A5091="""","""",INDEX(SPLIT(A5091,"" ""),COUNTA(SPLIT(A5091,"" ""))))"),"Sabina")</f>
        <v>Sabina</v>
      </c>
      <c r="C5091" s="6"/>
      <c r="D5091" s="6" t="s">
        <v>5160</v>
      </c>
      <c r="E5091" s="7" t="s">
        <v>5161</v>
      </c>
    </row>
    <row r="5092">
      <c r="A5092" s="4" t="s">
        <v>5166</v>
      </c>
      <c r="B5092" s="5" t="str">
        <f>IFERROR(__xludf.DUMMYFUNCTION("IF(A5092="""","""",INDEX(SPLIT(A5092,"" ""),COUNTA(SPLIT(A5092,"" ""))))"),"Borbona")</f>
        <v>Borbona</v>
      </c>
      <c r="C5092" s="6"/>
      <c r="D5092" s="6" t="s">
        <v>5160</v>
      </c>
      <c r="E5092" s="7" t="s">
        <v>5161</v>
      </c>
    </row>
    <row r="5093">
      <c r="A5093" s="4" t="s">
        <v>5167</v>
      </c>
      <c r="B5093" s="5" t="str">
        <f>IFERROR(__xludf.DUMMYFUNCTION("IF(A5093="""","""",INDEX(SPLIT(A5093,"" ""),COUNTA(SPLIT(A5093,"" ""))))"),"Borgorose")</f>
        <v>Borgorose</v>
      </c>
      <c r="C5093" s="6"/>
      <c r="D5093" s="6" t="s">
        <v>5160</v>
      </c>
      <c r="E5093" s="7" t="s">
        <v>5161</v>
      </c>
    </row>
    <row r="5094">
      <c r="A5094" s="4" t="s">
        <v>5168</v>
      </c>
      <c r="B5094" s="5" t="str">
        <f>IFERROR(__xludf.DUMMYFUNCTION("IF(A5094="""","""",INDEX(SPLIT(A5094,"" ""),COUNTA(SPLIT(A5094,"" ""))))"),"Velino")</f>
        <v>Velino</v>
      </c>
      <c r="C5094" s="6"/>
      <c r="D5094" s="6" t="s">
        <v>5160</v>
      </c>
      <c r="E5094" s="7" t="s">
        <v>5161</v>
      </c>
    </row>
    <row r="5095">
      <c r="A5095" s="4" t="s">
        <v>5169</v>
      </c>
      <c r="B5095" s="5" t="str">
        <f>IFERROR(__xludf.DUMMYFUNCTION("IF(A5095="""","""",INDEX(SPLIT(A5095,"" ""),COUNTA(SPLIT(A5095,"" ""))))"),"Cantalice")</f>
        <v>Cantalice</v>
      </c>
      <c r="C5095" s="6"/>
      <c r="D5095" s="6" t="s">
        <v>5160</v>
      </c>
      <c r="E5095" s="7" t="s">
        <v>5161</v>
      </c>
    </row>
    <row r="5096">
      <c r="A5096" s="4" t="s">
        <v>5170</v>
      </c>
      <c r="B5096" s="5" t="str">
        <f>IFERROR(__xludf.DUMMYFUNCTION("IF(A5096="""","""",INDEX(SPLIT(A5096,"" ""),COUNTA(SPLIT(A5096,"" ""))))"),"Sabina")</f>
        <v>Sabina</v>
      </c>
      <c r="C5096" s="6"/>
      <c r="D5096" s="6" t="s">
        <v>5160</v>
      </c>
      <c r="E5096" s="7" t="s">
        <v>5161</v>
      </c>
    </row>
    <row r="5097">
      <c r="A5097" s="4" t="s">
        <v>5171</v>
      </c>
      <c r="B5097" s="5" t="str">
        <f>IFERROR(__xludf.DUMMYFUNCTION("IF(A5097="""","""",INDEX(SPLIT(A5097,"" ""),COUNTA(SPLIT(A5097,"" ""))))"),"Casaprota")</f>
        <v>Casaprota</v>
      </c>
      <c r="C5097" s="6"/>
      <c r="D5097" s="6" t="s">
        <v>5160</v>
      </c>
      <c r="E5097" s="7" t="s">
        <v>5161</v>
      </c>
    </row>
    <row r="5098">
      <c r="A5098" s="4" t="s">
        <v>5172</v>
      </c>
      <c r="B5098" s="5" t="str">
        <f>IFERROR(__xludf.DUMMYFUNCTION("IF(A5098="""","""",INDEX(SPLIT(A5098,"" ""),COUNTA(SPLIT(A5098,"" ""))))"),"Casperia")</f>
        <v>Casperia</v>
      </c>
      <c r="C5098" s="6"/>
      <c r="D5098" s="6" t="s">
        <v>5160</v>
      </c>
      <c r="E5098" s="7" t="s">
        <v>5161</v>
      </c>
    </row>
    <row r="5099">
      <c r="A5099" s="4" t="s">
        <v>5173</v>
      </c>
      <c r="B5099" s="5" t="str">
        <f>IFERROR(__xludf.DUMMYFUNCTION("IF(A5099="""","""",INDEX(SPLIT(A5099,"" ""),COUNTA(SPLIT(A5099,"" ""))))"),"Tora")</f>
        <v>Tora</v>
      </c>
      <c r="C5099" s="6"/>
      <c r="D5099" s="6" t="s">
        <v>5160</v>
      </c>
      <c r="E5099" s="7" t="s">
        <v>5161</v>
      </c>
    </row>
    <row r="5100">
      <c r="A5100" s="4" t="s">
        <v>5174</v>
      </c>
      <c r="B5100" s="5" t="str">
        <f>IFERROR(__xludf.DUMMYFUNCTION("IF(A5100="""","""",INDEX(SPLIT(A5100,"" ""),COUNTA(SPLIT(A5100,"" ""))))"),"Farfa")</f>
        <v>Farfa</v>
      </c>
      <c r="C5100" s="6"/>
      <c r="D5100" s="6" t="s">
        <v>5160</v>
      </c>
      <c r="E5100" s="7" t="s">
        <v>5161</v>
      </c>
    </row>
    <row r="5101">
      <c r="A5101" s="4" t="s">
        <v>5175</v>
      </c>
      <c r="B5101" s="5" t="str">
        <f>IFERROR(__xludf.DUMMYFUNCTION("IF(A5101="""","""",INDEX(SPLIT(A5101,"" ""),COUNTA(SPLIT(A5101,"" ""))))"),"Sant'Angelo")</f>
        <v>Sant'Angelo</v>
      </c>
      <c r="C5101" s="6"/>
      <c r="D5101" s="6" t="s">
        <v>5160</v>
      </c>
      <c r="E5101" s="7" t="s">
        <v>5161</v>
      </c>
    </row>
    <row r="5102">
      <c r="A5102" s="4" t="s">
        <v>5176</v>
      </c>
      <c r="B5102" s="5" t="str">
        <f>IFERROR(__xludf.DUMMYFUNCTION("IF(A5102="""","""",INDEX(SPLIT(A5102,"" ""),COUNTA(SPLIT(A5102,"" ""))))"),"Cittaducale")</f>
        <v>Cittaducale</v>
      </c>
      <c r="C5102" s="6"/>
      <c r="D5102" s="6" t="s">
        <v>5160</v>
      </c>
      <c r="E5102" s="7" t="s">
        <v>5161</v>
      </c>
    </row>
    <row r="5103">
      <c r="A5103" s="4" t="s">
        <v>5177</v>
      </c>
      <c r="B5103" s="5" t="str">
        <f>IFERROR(__xludf.DUMMYFUNCTION("IF(A5103="""","""",INDEX(SPLIT(A5103,"" ""),COUNTA(SPLIT(A5103,"" ""))))"),"Cittareale")</f>
        <v>Cittareale</v>
      </c>
      <c r="C5103" s="6"/>
      <c r="D5103" s="6" t="s">
        <v>5160</v>
      </c>
      <c r="E5103" s="7" t="s">
        <v>5161</v>
      </c>
    </row>
    <row r="5104">
      <c r="A5104" s="4" t="s">
        <v>5178</v>
      </c>
      <c r="B5104" s="5" t="str">
        <f>IFERROR(__xludf.DUMMYFUNCTION("IF(A5104="""","""",INDEX(SPLIT(A5104,"" ""),COUNTA(SPLIT(A5104,"" ""))))"),"Sabino")</f>
        <v>Sabino</v>
      </c>
      <c r="C5104" s="6"/>
      <c r="D5104" s="6" t="s">
        <v>5160</v>
      </c>
      <c r="E5104" s="7" t="s">
        <v>5161</v>
      </c>
    </row>
    <row r="5105">
      <c r="A5105" s="4" t="s">
        <v>5179</v>
      </c>
      <c r="B5105" s="5" t="str">
        <f>IFERROR(__xludf.DUMMYFUNCTION("IF(A5105="""","""",INDEX(SPLIT(A5105,"" ""),COUNTA(SPLIT(A5105,"" ""))))"),"Tora")</f>
        <v>Tora</v>
      </c>
      <c r="C5105" s="6"/>
      <c r="D5105" s="6" t="s">
        <v>5160</v>
      </c>
      <c r="E5105" s="7" t="s">
        <v>5161</v>
      </c>
    </row>
    <row r="5106">
      <c r="A5106" s="4" t="s">
        <v>5180</v>
      </c>
      <c r="B5106" s="5" t="str">
        <f>IFERROR(__xludf.DUMMYFUNCTION("IF(A5106="""","""",INDEX(SPLIT(A5106,"" ""),COUNTA(SPLIT(A5106,"" ""))))"),"Collegiove")</f>
        <v>Collegiove</v>
      </c>
      <c r="C5106" s="6"/>
      <c r="D5106" s="6" t="s">
        <v>5160</v>
      </c>
      <c r="E5106" s="7" t="s">
        <v>5161</v>
      </c>
    </row>
    <row r="5107">
      <c r="A5107" s="4" t="s">
        <v>5181</v>
      </c>
      <c r="B5107" s="5" t="str">
        <f>IFERROR(__xludf.DUMMYFUNCTION("IF(A5107="""","""",INDEX(SPLIT(A5107,"" ""),COUNTA(SPLIT(A5107,"" ""))))"),"Collevecchio")</f>
        <v>Collevecchio</v>
      </c>
      <c r="C5107" s="6"/>
      <c r="D5107" s="6" t="s">
        <v>5160</v>
      </c>
      <c r="E5107" s="7" t="s">
        <v>5161</v>
      </c>
    </row>
    <row r="5108">
      <c r="A5108" s="4" t="s">
        <v>5182</v>
      </c>
      <c r="B5108" s="5" t="str">
        <f>IFERROR(__xludf.DUMMYFUNCTION("IF(A5108="""","""",INDEX(SPLIT(A5108,"" ""),COUNTA(SPLIT(A5108,"" ""))))"),"Velino")</f>
        <v>Velino</v>
      </c>
      <c r="C5108" s="6"/>
      <c r="D5108" s="6" t="s">
        <v>5160</v>
      </c>
      <c r="E5108" s="7" t="s">
        <v>5161</v>
      </c>
    </row>
    <row r="5109">
      <c r="A5109" s="4" t="s">
        <v>5183</v>
      </c>
      <c r="B5109" s="5" t="str">
        <f>IFERROR(__xludf.DUMMYFUNCTION("IF(A5109="""","""",INDEX(SPLIT(A5109,"" ""),COUNTA(SPLIT(A5109,"" ""))))"),"Concerviano")</f>
        <v>Concerviano</v>
      </c>
      <c r="C5109" s="6"/>
      <c r="D5109" s="6" t="s">
        <v>5160</v>
      </c>
      <c r="E5109" s="7" t="s">
        <v>5161</v>
      </c>
    </row>
    <row r="5110">
      <c r="A5110" s="4" t="s">
        <v>5184</v>
      </c>
      <c r="B5110" s="5" t="str">
        <f>IFERROR(__xludf.DUMMYFUNCTION("IF(A5110="""","""",INDEX(SPLIT(A5110,"" ""),COUNTA(SPLIT(A5110,"" ""))))"),"Configni")</f>
        <v>Configni</v>
      </c>
      <c r="C5110" s="6"/>
      <c r="D5110" s="6" t="s">
        <v>5160</v>
      </c>
      <c r="E5110" s="7" t="s">
        <v>5161</v>
      </c>
    </row>
    <row r="5111">
      <c r="A5111" s="4" t="s">
        <v>5185</v>
      </c>
      <c r="B5111" s="5" t="str">
        <f>IFERROR(__xludf.DUMMYFUNCTION("IF(A5111="""","""",INDEX(SPLIT(A5111,"" ""),COUNTA(SPLIT(A5111,"" ""))))"),"Contigliano")</f>
        <v>Contigliano</v>
      </c>
      <c r="C5111" s="6"/>
      <c r="D5111" s="6" t="s">
        <v>5160</v>
      </c>
      <c r="E5111" s="7" t="s">
        <v>5161</v>
      </c>
    </row>
    <row r="5112">
      <c r="A5112" s="4" t="s">
        <v>5186</v>
      </c>
      <c r="B5112" s="5" t="str">
        <f>IFERROR(__xludf.DUMMYFUNCTION("IF(A5112="""","""",INDEX(SPLIT(A5112,"" ""),COUNTA(SPLIT(A5112,"" ""))))"),"Cottanello")</f>
        <v>Cottanello</v>
      </c>
      <c r="C5112" s="6"/>
      <c r="D5112" s="6" t="s">
        <v>5160</v>
      </c>
      <c r="E5112" s="7" t="s">
        <v>5161</v>
      </c>
    </row>
    <row r="5113">
      <c r="A5113" s="4" t="s">
        <v>5187</v>
      </c>
      <c r="B5113" s="5" t="str">
        <f>IFERROR(__xludf.DUMMYFUNCTION("IF(A5113="""","""",INDEX(SPLIT(A5113,"" ""),COUNTA(SPLIT(A5113,"" ""))))"),"Sabina")</f>
        <v>Sabina</v>
      </c>
      <c r="C5113" s="6"/>
      <c r="D5113" s="6" t="s">
        <v>5160</v>
      </c>
      <c r="E5113" s="7" t="s">
        <v>5161</v>
      </c>
    </row>
    <row r="5114">
      <c r="A5114" s="4" t="s">
        <v>5188</v>
      </c>
      <c r="B5114" s="5" t="str">
        <f>IFERROR(__xludf.DUMMYFUNCTION("IF(A5114="""","""",INDEX(SPLIT(A5114,"" ""),COUNTA(SPLIT(A5114,"" ""))))"),"Fiamignano")</f>
        <v>Fiamignano</v>
      </c>
      <c r="C5114" s="6"/>
      <c r="D5114" s="6" t="s">
        <v>5160</v>
      </c>
      <c r="E5114" s="7" t="s">
        <v>5161</v>
      </c>
    </row>
    <row r="5115">
      <c r="A5115" s="4" t="s">
        <v>5189</v>
      </c>
      <c r="B5115" s="5" t="str">
        <f>IFERROR(__xludf.DUMMYFUNCTION("IF(A5115="""","""",INDEX(SPLIT(A5115,"" ""),COUNTA(SPLIT(A5115,"" ""))))"),"Forano")</f>
        <v>Forano</v>
      </c>
      <c r="C5115" s="6"/>
      <c r="D5115" s="6" t="s">
        <v>5160</v>
      </c>
      <c r="E5115" s="7" t="s">
        <v>5161</v>
      </c>
    </row>
    <row r="5116">
      <c r="A5116" s="4" t="s">
        <v>5190</v>
      </c>
      <c r="B5116" s="5" t="str">
        <f>IFERROR(__xludf.DUMMYFUNCTION("IF(A5116="""","""",INDEX(SPLIT(A5116,"" ""),COUNTA(SPLIT(A5116,"" ""))))"),"Sabino")</f>
        <v>Sabino</v>
      </c>
      <c r="C5116" s="6"/>
      <c r="D5116" s="6" t="s">
        <v>5160</v>
      </c>
      <c r="E5116" s="7" t="s">
        <v>5161</v>
      </c>
    </row>
    <row r="5117">
      <c r="A5117" s="4" t="s">
        <v>5191</v>
      </c>
      <c r="B5117" s="5" t="str">
        <f>IFERROR(__xludf.DUMMYFUNCTION("IF(A5117="""","""",INDEX(SPLIT(A5117,"" ""),COUNTA(SPLIT(A5117,"" ""))))"),"Greccio")</f>
        <v>Greccio</v>
      </c>
      <c r="C5117" s="6"/>
      <c r="D5117" s="6" t="s">
        <v>5160</v>
      </c>
      <c r="E5117" s="7" t="s">
        <v>5161</v>
      </c>
    </row>
    <row r="5118">
      <c r="A5118" s="4" t="s">
        <v>5192</v>
      </c>
      <c r="B5118" s="5" t="str">
        <f>IFERROR(__xludf.DUMMYFUNCTION("IF(A5118="""","""",INDEX(SPLIT(A5118,"" ""),COUNTA(SPLIT(A5118,"" ""))))"),"Labro")</f>
        <v>Labro</v>
      </c>
      <c r="C5118" s="6"/>
      <c r="D5118" s="6" t="s">
        <v>5160</v>
      </c>
      <c r="E5118" s="7" t="s">
        <v>5161</v>
      </c>
    </row>
    <row r="5119">
      <c r="A5119" s="4" t="s">
        <v>5193</v>
      </c>
      <c r="B5119" s="5" t="str">
        <f>IFERROR(__xludf.DUMMYFUNCTION("IF(A5119="""","""",INDEX(SPLIT(A5119,"" ""),COUNTA(SPLIT(A5119,"" ""))))"),"Leonessa")</f>
        <v>Leonessa</v>
      </c>
      <c r="C5119" s="6"/>
      <c r="D5119" s="6" t="s">
        <v>5160</v>
      </c>
      <c r="E5119" s="7" t="s">
        <v>5161</v>
      </c>
    </row>
    <row r="5120">
      <c r="A5120" s="4" t="s">
        <v>5194</v>
      </c>
      <c r="B5120" s="5" t="str">
        <f>IFERROR(__xludf.DUMMYFUNCTION("IF(A5120="""","""",INDEX(SPLIT(A5120,"" ""),COUNTA(SPLIT(A5120,"" ""))))"),"Sabino")</f>
        <v>Sabino</v>
      </c>
      <c r="C5120" s="6"/>
      <c r="D5120" s="6" t="s">
        <v>5160</v>
      </c>
      <c r="E5120" s="7" t="s">
        <v>5161</v>
      </c>
    </row>
    <row r="5121">
      <c r="A5121" s="4" t="s">
        <v>5195</v>
      </c>
      <c r="B5121" s="5" t="str">
        <f>IFERROR(__xludf.DUMMYFUNCTION("IF(A5121="""","""",INDEX(SPLIT(A5121,"" ""),COUNTA(SPLIT(A5121,"" ""))))"),"Sabina")</f>
        <v>Sabina</v>
      </c>
      <c r="C5121" s="6"/>
      <c r="D5121" s="6" t="s">
        <v>5160</v>
      </c>
      <c r="E5121" s="7" t="s">
        <v>5161</v>
      </c>
    </row>
    <row r="5122">
      <c r="A5122" s="4" t="s">
        <v>5196</v>
      </c>
      <c r="B5122" s="5" t="str">
        <f>IFERROR(__xludf.DUMMYFUNCTION("IF(A5122="""","""",INDEX(SPLIT(A5122,"" ""),COUNTA(SPLIT(A5122,"" ""))))"),"Marcetelli")</f>
        <v>Marcetelli</v>
      </c>
      <c r="C5122" s="6"/>
      <c r="D5122" s="6" t="s">
        <v>5160</v>
      </c>
      <c r="E5122" s="7" t="s">
        <v>5161</v>
      </c>
    </row>
    <row r="5123">
      <c r="A5123" s="4" t="s">
        <v>5197</v>
      </c>
      <c r="B5123" s="5" t="str">
        <f>IFERROR(__xludf.DUMMYFUNCTION("IF(A5123="""","""",INDEX(SPLIT(A5123,"" ""),COUNTA(SPLIT(A5123,"" ""))))"),"Micigliano")</f>
        <v>Micigliano</v>
      </c>
      <c r="C5123" s="6"/>
      <c r="D5123" s="6" t="s">
        <v>5160</v>
      </c>
      <c r="E5123" s="7" t="s">
        <v>5161</v>
      </c>
    </row>
    <row r="5124">
      <c r="A5124" s="4" t="s">
        <v>5198</v>
      </c>
      <c r="B5124" s="5" t="str">
        <f>IFERROR(__xludf.DUMMYFUNCTION("IF(A5124="""","""",INDEX(SPLIT(A5124,"" ""),COUNTA(SPLIT(A5124,"" ""))))"),"Mompeo")</f>
        <v>Mompeo</v>
      </c>
      <c r="C5124" s="6"/>
      <c r="D5124" s="6" t="s">
        <v>5160</v>
      </c>
      <c r="E5124" s="7" t="s">
        <v>5161</v>
      </c>
    </row>
    <row r="5125">
      <c r="A5125" s="4" t="s">
        <v>5199</v>
      </c>
      <c r="B5125" s="5" t="str">
        <f>IFERROR(__xludf.DUMMYFUNCTION("IF(A5125="""","""",INDEX(SPLIT(A5125,"" ""),COUNTA(SPLIT(A5125,"" ""))))"),"Montasola")</f>
        <v>Montasola</v>
      </c>
      <c r="C5125" s="6"/>
      <c r="D5125" s="6" t="s">
        <v>5160</v>
      </c>
      <c r="E5125" s="7" t="s">
        <v>5161</v>
      </c>
    </row>
    <row r="5126">
      <c r="A5126" s="4" t="s">
        <v>5200</v>
      </c>
      <c r="B5126" s="5" t="str">
        <f>IFERROR(__xludf.DUMMYFUNCTION("IF(A5126="""","""",INDEX(SPLIT(A5126,"" ""),COUNTA(SPLIT(A5126,"" ""))))"),"Montebuono")</f>
        <v>Montebuono</v>
      </c>
      <c r="C5126" s="6"/>
      <c r="D5126" s="6" t="s">
        <v>5160</v>
      </c>
      <c r="E5126" s="7" t="s">
        <v>5161</v>
      </c>
    </row>
    <row r="5127">
      <c r="A5127" s="4" t="s">
        <v>5201</v>
      </c>
      <c r="B5127" s="5" t="str">
        <f>IFERROR(__xludf.DUMMYFUNCTION("IF(A5127="""","""",INDEX(SPLIT(A5127,"" ""),COUNTA(SPLIT(A5127,"" ""))))"),"Sabino")</f>
        <v>Sabino</v>
      </c>
      <c r="C5127" s="6"/>
      <c r="D5127" s="6" t="s">
        <v>5160</v>
      </c>
      <c r="E5127" s="7" t="s">
        <v>5161</v>
      </c>
    </row>
    <row r="5128">
      <c r="A5128" s="4" t="s">
        <v>5202</v>
      </c>
      <c r="B5128" s="5" t="str">
        <f>IFERROR(__xludf.DUMMYFUNCTION("IF(A5128="""","""",INDEX(SPLIT(A5128,"" ""),COUNTA(SPLIT(A5128,"" ""))))"),"Sabino")</f>
        <v>Sabino</v>
      </c>
      <c r="C5128" s="6"/>
      <c r="D5128" s="6" t="s">
        <v>5160</v>
      </c>
      <c r="E5128" s="7" t="s">
        <v>5161</v>
      </c>
    </row>
    <row r="5129">
      <c r="A5129" s="4" t="s">
        <v>5203</v>
      </c>
      <c r="B5129" s="5" t="str">
        <f>IFERROR(__xludf.DUMMYFUNCTION("IF(A5129="""","""",INDEX(SPLIT(A5129,"" ""),COUNTA(SPLIT(A5129,"" ""))))"),"Sabina")</f>
        <v>Sabina</v>
      </c>
      <c r="C5129" s="6"/>
      <c r="D5129" s="6" t="s">
        <v>5160</v>
      </c>
      <c r="E5129" s="7" t="s">
        <v>5161</v>
      </c>
    </row>
    <row r="5130">
      <c r="A5130" s="4" t="s">
        <v>5204</v>
      </c>
      <c r="B5130" s="5" t="str">
        <f>IFERROR(__xludf.DUMMYFUNCTION("IF(A5130="""","""",INDEX(SPLIT(A5130,"" ""),COUNTA(SPLIT(A5130,"" ""))))"),"Sabina")</f>
        <v>Sabina</v>
      </c>
      <c r="C5130" s="6"/>
      <c r="D5130" s="6" t="s">
        <v>5160</v>
      </c>
      <c r="E5130" s="7" t="s">
        <v>5161</v>
      </c>
    </row>
    <row r="5131">
      <c r="A5131" s="4" t="s">
        <v>5205</v>
      </c>
      <c r="B5131" s="5" t="str">
        <f>IFERROR(__xludf.DUMMYFUNCTION("IF(A5131="""","""",INDEX(SPLIT(A5131,"" ""),COUNTA(SPLIT(A5131,"" ""))))"),"Reatino")</f>
        <v>Reatino</v>
      </c>
      <c r="C5131" s="6"/>
      <c r="D5131" s="6" t="s">
        <v>5160</v>
      </c>
      <c r="E5131" s="7" t="s">
        <v>5161</v>
      </c>
    </row>
    <row r="5132">
      <c r="A5132" s="4" t="s">
        <v>5206</v>
      </c>
      <c r="B5132" s="5" t="str">
        <f>IFERROR(__xludf.DUMMYFUNCTION("IF(A5132="""","""",INDEX(SPLIT(A5132,"" ""),COUNTA(SPLIT(A5132,"" ""))))"),"Nespolo")</f>
        <v>Nespolo</v>
      </c>
      <c r="C5132" s="6"/>
      <c r="D5132" s="6" t="s">
        <v>5160</v>
      </c>
      <c r="E5132" s="7" t="s">
        <v>5161</v>
      </c>
    </row>
    <row r="5133">
      <c r="A5133" s="4" t="s">
        <v>5207</v>
      </c>
      <c r="B5133" s="5" t="str">
        <f>IFERROR(__xludf.DUMMYFUNCTION("IF(A5133="""","""",INDEX(SPLIT(A5133,"" ""),COUNTA(SPLIT(A5133,"" ""))))"),"Orvinio")</f>
        <v>Orvinio</v>
      </c>
      <c r="C5133" s="6"/>
      <c r="D5133" s="6" t="s">
        <v>5160</v>
      </c>
      <c r="E5133" s="7" t="s">
        <v>5161</v>
      </c>
    </row>
    <row r="5134">
      <c r="A5134" s="4" t="s">
        <v>5208</v>
      </c>
      <c r="B5134" s="5" t="str">
        <f>IFERROR(__xludf.DUMMYFUNCTION("IF(A5134="""","""",INDEX(SPLIT(A5134,"" ""),COUNTA(SPLIT(A5134,"" ""))))"),"Sabino")</f>
        <v>Sabino</v>
      </c>
      <c r="C5134" s="6"/>
      <c r="D5134" s="6" t="s">
        <v>5160</v>
      </c>
      <c r="E5134" s="7" t="s">
        <v>5161</v>
      </c>
    </row>
    <row r="5135">
      <c r="A5135" s="4" t="s">
        <v>5209</v>
      </c>
      <c r="B5135" s="5" t="str">
        <f>IFERROR(__xludf.DUMMYFUNCTION("IF(A5135="""","""",INDEX(SPLIT(A5135,"" ""),COUNTA(SPLIT(A5135,"" ""))))"),"Pescorocchiano")</f>
        <v>Pescorocchiano</v>
      </c>
      <c r="C5135" s="6"/>
      <c r="D5135" s="6" t="s">
        <v>5160</v>
      </c>
      <c r="E5135" s="7" t="s">
        <v>5161</v>
      </c>
    </row>
    <row r="5136">
      <c r="A5136" s="4" t="s">
        <v>5210</v>
      </c>
      <c r="B5136" s="5" t="str">
        <f>IFERROR(__xludf.DUMMYFUNCTION("IF(A5136="""","""",INDEX(SPLIT(A5136,"" ""),COUNTA(SPLIT(A5136,"" ""))))"),"Salto")</f>
        <v>Salto</v>
      </c>
      <c r="C5136" s="6"/>
      <c r="D5136" s="6" t="s">
        <v>5160</v>
      </c>
      <c r="E5136" s="7" t="s">
        <v>5161</v>
      </c>
    </row>
    <row r="5137">
      <c r="A5137" s="4" t="s">
        <v>5211</v>
      </c>
      <c r="B5137" s="5" t="str">
        <f>IFERROR(__xludf.DUMMYFUNCTION("IF(A5137="""","""",INDEX(SPLIT(A5137,"" ""),COUNTA(SPLIT(A5137,"" ""))))"),"Bustone")</f>
        <v>Bustone</v>
      </c>
      <c r="C5137" s="6"/>
      <c r="D5137" s="6" t="s">
        <v>5160</v>
      </c>
      <c r="E5137" s="7" t="s">
        <v>5161</v>
      </c>
    </row>
    <row r="5138">
      <c r="A5138" s="4" t="s">
        <v>5212</v>
      </c>
      <c r="B5138" s="5" t="str">
        <f>IFERROR(__xludf.DUMMYFUNCTION("IF(A5138="""","""",INDEX(SPLIT(A5138,"" ""),COUNTA(SPLIT(A5138,"" ""))))"),"Catino")</f>
        <v>Catino</v>
      </c>
      <c r="C5138" s="6"/>
      <c r="D5138" s="6" t="s">
        <v>5160</v>
      </c>
      <c r="E5138" s="7" t="s">
        <v>5161</v>
      </c>
    </row>
    <row r="5139">
      <c r="A5139" s="4" t="s">
        <v>5213</v>
      </c>
      <c r="B5139" s="5" t="str">
        <f>IFERROR(__xludf.DUMMYFUNCTION("IF(A5139="""","""",INDEX(SPLIT(A5139,"" ""),COUNTA(SPLIT(A5139,"" ""))))"),"Mirteto")</f>
        <v>Mirteto</v>
      </c>
      <c r="C5139" s="6"/>
      <c r="D5139" s="6" t="s">
        <v>5160</v>
      </c>
      <c r="E5139" s="7" t="s">
        <v>5161</v>
      </c>
    </row>
    <row r="5140">
      <c r="A5140" s="4" t="s">
        <v>5214</v>
      </c>
      <c r="B5140" s="5" t="str">
        <f>IFERROR(__xludf.DUMMYFUNCTION("IF(A5140="""","""",INDEX(SPLIT(A5140,"" ""),COUNTA(SPLIT(A5140,"" ""))))"),"Moiano")</f>
        <v>Moiano</v>
      </c>
      <c r="C5140" s="6"/>
      <c r="D5140" s="6" t="s">
        <v>5160</v>
      </c>
      <c r="E5140" s="7" t="s">
        <v>5161</v>
      </c>
    </row>
    <row r="5141">
      <c r="A5141" s="4" t="s">
        <v>5215</v>
      </c>
      <c r="B5141" s="5" t="str">
        <f>IFERROR(__xludf.DUMMYFUNCTION("IF(A5141="""","""",INDEX(SPLIT(A5141,"" ""),COUNTA(SPLIT(A5141,"" ""))))"),"Nativo")</f>
        <v>Nativo</v>
      </c>
      <c r="C5141" s="6"/>
      <c r="D5141" s="6" t="s">
        <v>5160</v>
      </c>
      <c r="E5141" s="7" t="s">
        <v>5161</v>
      </c>
    </row>
    <row r="5142">
      <c r="A5142" s="4" t="s">
        <v>5216</v>
      </c>
      <c r="B5142" s="5" t="str">
        <f>IFERROR(__xludf.DUMMYFUNCTION("IF(A5142="""","""",INDEX(SPLIT(A5142,"" ""),COUNTA(SPLIT(A5142,"" ""))))"),"Lorenzo")</f>
        <v>Lorenzo</v>
      </c>
      <c r="C5142" s="6"/>
      <c r="D5142" s="6" t="s">
        <v>5160</v>
      </c>
      <c r="E5142" s="7" t="s">
        <v>5161</v>
      </c>
    </row>
    <row r="5143">
      <c r="A5143" s="4" t="s">
        <v>5217</v>
      </c>
      <c r="B5143" s="5" t="str">
        <f>IFERROR(__xludf.DUMMYFUNCTION("IF(A5143="""","""",INDEX(SPLIT(A5143,"" ""),COUNTA(SPLIT(A5143,"" ""))))"),"Posta")</f>
        <v>Posta</v>
      </c>
      <c r="C5143" s="6"/>
      <c r="D5143" s="6" t="s">
        <v>5160</v>
      </c>
      <c r="E5143" s="7" t="s">
        <v>5161</v>
      </c>
    </row>
    <row r="5144">
      <c r="A5144" s="4" t="s">
        <v>5218</v>
      </c>
      <c r="B5144" s="5" t="str">
        <f>IFERROR(__xludf.DUMMYFUNCTION("IF(A5144="""","""",INDEX(SPLIT(A5144,"" ""),COUNTA(SPLIT(A5144,"" ""))))"),"Sabina")</f>
        <v>Sabina</v>
      </c>
      <c r="C5144" s="6"/>
      <c r="D5144" s="6" t="s">
        <v>5160</v>
      </c>
      <c r="E5144" s="7" t="s">
        <v>5161</v>
      </c>
    </row>
    <row r="5145">
      <c r="A5145" s="4" t="s">
        <v>5160</v>
      </c>
      <c r="B5145" s="5" t="str">
        <f>IFERROR(__xludf.DUMMYFUNCTION("IF(A5145="""","""",INDEX(SPLIT(A5145,"" ""),COUNTA(SPLIT(A5145,"" ""))))"),"Rieti")</f>
        <v>Rieti</v>
      </c>
      <c r="C5145" s="6"/>
      <c r="D5145" s="6" t="s">
        <v>5160</v>
      </c>
      <c r="E5145" s="7" t="s">
        <v>5161</v>
      </c>
    </row>
    <row r="5146">
      <c r="A5146" s="4" t="s">
        <v>5219</v>
      </c>
      <c r="B5146" s="5" t="str">
        <f>IFERROR(__xludf.DUMMYFUNCTION("IF(A5146="""","""",INDEX(SPLIT(A5146,"" ""),COUNTA(SPLIT(A5146,"" ""))))"),"Rivodutri")</f>
        <v>Rivodutri</v>
      </c>
      <c r="C5146" s="6"/>
      <c r="D5146" s="6" t="s">
        <v>5160</v>
      </c>
      <c r="E5146" s="7" t="s">
        <v>5161</v>
      </c>
    </row>
    <row r="5147">
      <c r="A5147" s="4" t="s">
        <v>5220</v>
      </c>
      <c r="B5147" s="5" t="str">
        <f>IFERROR(__xludf.DUMMYFUNCTION("IF(A5147="""","""",INDEX(SPLIT(A5147,"" ""),COUNTA(SPLIT(A5147,"" ""))))"),"Roccantica")</f>
        <v>Roccantica</v>
      </c>
      <c r="C5147" s="6"/>
      <c r="D5147" s="6" t="s">
        <v>5160</v>
      </c>
      <c r="E5147" s="7" t="s">
        <v>5161</v>
      </c>
    </row>
    <row r="5148">
      <c r="A5148" s="4" t="s">
        <v>5221</v>
      </c>
      <c r="B5148" s="5" t="str">
        <f>IFERROR(__xludf.DUMMYFUNCTION("IF(A5148="""","""",INDEX(SPLIT(A5148,"" ""),COUNTA(SPLIT(A5148,"" ""))))"),"Sinibalda")</f>
        <v>Sinibalda</v>
      </c>
      <c r="C5148" s="6"/>
      <c r="D5148" s="6" t="s">
        <v>5160</v>
      </c>
      <c r="E5148" s="7" t="s">
        <v>5161</v>
      </c>
    </row>
    <row r="5149">
      <c r="A5149" s="4" t="s">
        <v>5222</v>
      </c>
      <c r="B5149" s="5" t="str">
        <f>IFERROR(__xludf.DUMMYFUNCTION("IF(A5149="""","""",INDEX(SPLIT(A5149,"" ""),COUNTA(SPLIT(A5149,"" ""))))"),"Salisano")</f>
        <v>Salisano</v>
      </c>
      <c r="C5149" s="6"/>
      <c r="D5149" s="6" t="s">
        <v>5160</v>
      </c>
      <c r="E5149" s="7" t="s">
        <v>5161</v>
      </c>
    </row>
    <row r="5150">
      <c r="A5150" s="4" t="s">
        <v>5223</v>
      </c>
      <c r="B5150" s="5" t="str">
        <f>IFERROR(__xludf.DUMMYFUNCTION("IF(A5150="""","""",INDEX(SPLIT(A5150,"" ""),COUNTA(SPLIT(A5150,"" ""))))"),"Scandriglia")</f>
        <v>Scandriglia</v>
      </c>
      <c r="C5150" s="6"/>
      <c r="D5150" s="6" t="s">
        <v>5160</v>
      </c>
      <c r="E5150" s="7" t="s">
        <v>5161</v>
      </c>
    </row>
    <row r="5151">
      <c r="A5151" s="4" t="s">
        <v>5224</v>
      </c>
      <c r="B5151" s="5" t="str">
        <f>IFERROR(__xludf.DUMMYFUNCTION("IF(A5151="""","""",INDEX(SPLIT(A5151,"" ""),COUNTA(SPLIT(A5151,"" ""))))"),"Selci")</f>
        <v>Selci</v>
      </c>
      <c r="C5151" s="6"/>
      <c r="D5151" s="6" t="s">
        <v>5160</v>
      </c>
      <c r="E5151" s="7" t="s">
        <v>5161</v>
      </c>
    </row>
    <row r="5152">
      <c r="A5152" s="4" t="s">
        <v>5225</v>
      </c>
      <c r="B5152" s="5" t="str">
        <f>IFERROR(__xludf.DUMMYFUNCTION("IF(A5152="""","""",INDEX(SPLIT(A5152,"" ""),COUNTA(SPLIT(A5152,"" ""))))"),"Stimigliano")</f>
        <v>Stimigliano</v>
      </c>
      <c r="C5152" s="6"/>
      <c r="D5152" s="6" t="s">
        <v>5160</v>
      </c>
      <c r="E5152" s="7" t="s">
        <v>5161</v>
      </c>
    </row>
    <row r="5153">
      <c r="A5153" s="4" t="s">
        <v>5226</v>
      </c>
      <c r="B5153" s="5" t="str">
        <f>IFERROR(__xludf.DUMMYFUNCTION("IF(A5153="""","""",INDEX(SPLIT(A5153,"" ""),COUNTA(SPLIT(A5153,"" ""))))"),"Tarano")</f>
        <v>Tarano</v>
      </c>
      <c r="C5153" s="6"/>
      <c r="D5153" s="6" t="s">
        <v>5160</v>
      </c>
      <c r="E5153" s="7" t="s">
        <v>5161</v>
      </c>
    </row>
    <row r="5154">
      <c r="A5154" s="4" t="s">
        <v>5227</v>
      </c>
      <c r="B5154" s="5" t="str">
        <f>IFERROR(__xludf.DUMMYFUNCTION("IF(A5154="""","""",INDEX(SPLIT(A5154,"" ""),COUNTA(SPLIT(A5154,"" ""))))"),"Toffia")</f>
        <v>Toffia</v>
      </c>
      <c r="C5154" s="6"/>
      <c r="D5154" s="6" t="s">
        <v>5160</v>
      </c>
      <c r="E5154" s="7" t="s">
        <v>5161</v>
      </c>
    </row>
    <row r="5155">
      <c r="A5155" s="4" t="s">
        <v>5228</v>
      </c>
      <c r="B5155" s="5" t="str">
        <f>IFERROR(__xludf.DUMMYFUNCTION("IF(A5155="""","""",INDEX(SPLIT(A5155,"" ""),COUNTA(SPLIT(A5155,"" ""))))"),"Sabina")</f>
        <v>Sabina</v>
      </c>
      <c r="C5155" s="6"/>
      <c r="D5155" s="6" t="s">
        <v>5160</v>
      </c>
      <c r="E5155" s="7" t="s">
        <v>5161</v>
      </c>
    </row>
    <row r="5156">
      <c r="A5156" s="4" t="s">
        <v>5229</v>
      </c>
      <c r="B5156" s="5" t="str">
        <f>IFERROR(__xludf.DUMMYFUNCTION("IF(A5156="""","""",INDEX(SPLIT(A5156,"" ""),COUNTA(SPLIT(A5156,"" ""))))"),"Sabina")</f>
        <v>Sabina</v>
      </c>
      <c r="C5156" s="6"/>
      <c r="D5156" s="6" t="s">
        <v>5160</v>
      </c>
      <c r="E5156" s="7" t="s">
        <v>5161</v>
      </c>
    </row>
    <row r="5157">
      <c r="A5157" s="4" t="s">
        <v>5230</v>
      </c>
      <c r="B5157" s="5" t="str">
        <f>IFERROR(__xludf.DUMMYFUNCTION("IF(A5157="""","""",INDEX(SPLIT(A5157,"" ""),COUNTA(SPLIT(A5157,"" ""))))"),"Turania")</f>
        <v>Turania</v>
      </c>
      <c r="C5157" s="6"/>
      <c r="D5157" s="6" t="s">
        <v>5160</v>
      </c>
      <c r="E5157" s="7" t="s">
        <v>5161</v>
      </c>
    </row>
    <row r="5158">
      <c r="A5158" s="4" t="s">
        <v>5231</v>
      </c>
      <c r="B5158" s="5" t="str">
        <f>IFERROR(__xludf.DUMMYFUNCTION("IF(A5158="""","""",INDEX(SPLIT(A5158,"" ""),COUNTA(SPLIT(A5158,"" ""))))"),"Vacone")</f>
        <v>Vacone</v>
      </c>
      <c r="C5158" s="6"/>
      <c r="D5158" s="6" t="s">
        <v>5160</v>
      </c>
      <c r="E5158" s="7" t="s">
        <v>5161</v>
      </c>
    </row>
    <row r="5159">
      <c r="A5159" s="4" t="s">
        <v>5232</v>
      </c>
      <c r="B5159" s="5" t="str">
        <f>IFERROR(__xludf.DUMMYFUNCTION("IF(A5159="""","""",INDEX(SPLIT(A5159,"" ""),COUNTA(SPLIT(A5159,"" ""))))"),"Sabino")</f>
        <v>Sabino</v>
      </c>
      <c r="C5159" s="6"/>
      <c r="D5159" s="6" t="s">
        <v>5160</v>
      </c>
      <c r="E5159" s="7" t="s">
        <v>5161</v>
      </c>
    </row>
    <row r="5160">
      <c r="A5160" s="4" t="s">
        <v>5233</v>
      </c>
      <c r="B5160" s="5" t="str">
        <f>IFERROR(__xludf.DUMMYFUNCTION("IF(A5160="""","""",INDEX(SPLIT(A5160,"" ""),COUNTA(SPLIT(A5160,"" ""))))"),"Affile")</f>
        <v>Affile</v>
      </c>
      <c r="C5160" s="6" t="s">
        <v>5234</v>
      </c>
      <c r="D5160" s="6"/>
      <c r="E5160" s="7" t="s">
        <v>5235</v>
      </c>
    </row>
    <row r="5161">
      <c r="A5161" s="4" t="s">
        <v>5236</v>
      </c>
      <c r="B5161" s="5" t="str">
        <f>IFERROR(__xludf.DUMMYFUNCTION("IF(A5161="""","""",INDEX(SPLIT(A5161,"" ""),COUNTA(SPLIT(A5161,"" ""))))"),"Agosta")</f>
        <v>Agosta</v>
      </c>
      <c r="C5161" s="6" t="s">
        <v>5234</v>
      </c>
      <c r="D5161" s="6"/>
      <c r="E5161" s="7" t="s">
        <v>5235</v>
      </c>
    </row>
    <row r="5162">
      <c r="A5162" s="4" t="s">
        <v>5237</v>
      </c>
      <c r="B5162" s="5" t="str">
        <f>IFERROR(__xludf.DUMMYFUNCTION("IF(A5162="""","""",INDEX(SPLIT(A5162,"" ""),COUNTA(SPLIT(A5162,"" ""))))"),"Laziale")</f>
        <v>Laziale</v>
      </c>
      <c r="C5162" s="6" t="s">
        <v>5234</v>
      </c>
      <c r="D5162" s="6"/>
      <c r="E5162" s="7" t="s">
        <v>5235</v>
      </c>
    </row>
    <row r="5163">
      <c r="A5163" s="4" t="s">
        <v>5238</v>
      </c>
      <c r="B5163" s="5" t="str">
        <f>IFERROR(__xludf.DUMMYFUNCTION("IF(A5163="""","""",INDEX(SPLIT(A5163,"" ""),COUNTA(SPLIT(A5163,"" ""))))"),"Allumiere")</f>
        <v>Allumiere</v>
      </c>
      <c r="C5163" s="6" t="s">
        <v>5234</v>
      </c>
      <c r="D5163" s="6"/>
      <c r="E5163" s="7" t="s">
        <v>5235</v>
      </c>
    </row>
    <row r="5164">
      <c r="A5164" s="4" t="s">
        <v>5239</v>
      </c>
      <c r="B5164" s="5" t="str">
        <f>IFERROR(__xludf.DUMMYFUNCTION("IF(A5164="""","""",INDEX(SPLIT(A5164,"" ""),COUNTA(SPLIT(A5164,"" ""))))"),"Sabazia")</f>
        <v>Sabazia</v>
      </c>
      <c r="C5164" s="6" t="s">
        <v>5234</v>
      </c>
      <c r="D5164" s="6"/>
      <c r="E5164" s="7" t="s">
        <v>5235</v>
      </c>
    </row>
    <row r="5165">
      <c r="A5165" s="4" t="s">
        <v>5240</v>
      </c>
      <c r="B5165" s="5" t="str">
        <f>IFERROR(__xludf.DUMMYFUNCTION("IF(A5165="""","""",INDEX(SPLIT(A5165,"" ""),COUNTA(SPLIT(A5165,"" ""))))"),"Corrado")</f>
        <v>Corrado</v>
      </c>
      <c r="C5165" s="6" t="s">
        <v>5234</v>
      </c>
      <c r="D5165" s="6"/>
      <c r="E5165" s="7" t="s">
        <v>5235</v>
      </c>
    </row>
    <row r="5166">
      <c r="A5166" s="4" t="s">
        <v>5241</v>
      </c>
      <c r="B5166" s="5" t="str">
        <f>IFERROR(__xludf.DUMMYFUNCTION("IF(A5166="""","""",INDEX(SPLIT(A5166,"" ""),COUNTA(SPLIT(A5166,"" ""))))"),"Anzio")</f>
        <v>Anzio</v>
      </c>
      <c r="C5166" s="6" t="s">
        <v>5234</v>
      </c>
      <c r="D5166" s="6"/>
      <c r="E5166" s="7" t="s">
        <v>5235</v>
      </c>
    </row>
    <row r="5167">
      <c r="A5167" s="4" t="s">
        <v>5242</v>
      </c>
      <c r="B5167" s="5" t="str">
        <f>IFERROR(__xludf.DUMMYFUNCTION("IF(A5167="""","""",INDEX(SPLIT(A5167,"" ""),COUNTA(SPLIT(A5167,"" ""))))"),"Romano")</f>
        <v>Romano</v>
      </c>
      <c r="C5167" s="6" t="s">
        <v>5234</v>
      </c>
      <c r="D5167" s="6"/>
      <c r="E5167" s="7" t="s">
        <v>5235</v>
      </c>
    </row>
    <row r="5168">
      <c r="A5168" s="4" t="s">
        <v>5243</v>
      </c>
      <c r="B5168" s="5" t="str">
        <f>IFERROR(__xludf.DUMMYFUNCTION("IF(A5168="""","""",INDEX(SPLIT(A5168,"" ""),COUNTA(SPLIT(A5168,"" ""))))"),"Ariccia")</f>
        <v>Ariccia</v>
      </c>
      <c r="C5168" s="6" t="s">
        <v>5234</v>
      </c>
      <c r="D5168" s="6"/>
      <c r="E5168" s="7" t="s">
        <v>5235</v>
      </c>
    </row>
    <row r="5169">
      <c r="A5169" s="4" t="s">
        <v>5244</v>
      </c>
      <c r="B5169" s="5" t="str">
        <f>IFERROR(__xludf.DUMMYFUNCTION("IF(A5169="""","""",INDEX(SPLIT(A5169,"" ""),COUNTA(SPLIT(A5169,"" ""))))"),"Arsoli")</f>
        <v>Arsoli</v>
      </c>
      <c r="C5169" s="6" t="s">
        <v>5234</v>
      </c>
      <c r="D5169" s="6"/>
      <c r="E5169" s="7" t="s">
        <v>5235</v>
      </c>
    </row>
    <row r="5170">
      <c r="A5170" s="4" t="s">
        <v>5245</v>
      </c>
      <c r="B5170" s="5" t="str">
        <f>IFERROR(__xludf.DUMMYFUNCTION("IF(A5170="""","""",INDEX(SPLIT(A5170,"" ""),COUNTA(SPLIT(A5170,"" ""))))"),"Artena")</f>
        <v>Artena</v>
      </c>
      <c r="C5170" s="6" t="s">
        <v>5234</v>
      </c>
      <c r="D5170" s="6"/>
      <c r="E5170" s="7" t="s">
        <v>5235</v>
      </c>
    </row>
    <row r="5171">
      <c r="A5171" s="4" t="s">
        <v>5246</v>
      </c>
      <c r="B5171" s="5" t="str">
        <f>IFERROR(__xludf.DUMMYFUNCTION("IF(A5171="""","""",INDEX(SPLIT(A5171,"" ""),COUNTA(SPLIT(A5171,"" ""))))"),"Bellegra")</f>
        <v>Bellegra</v>
      </c>
      <c r="C5171" s="6" t="s">
        <v>5234</v>
      </c>
      <c r="D5171" s="6"/>
      <c r="E5171" s="7" t="s">
        <v>5235</v>
      </c>
    </row>
    <row r="5172">
      <c r="A5172" s="4" t="s">
        <v>5247</v>
      </c>
      <c r="B5172" s="5" t="str">
        <f>IFERROR(__xludf.DUMMYFUNCTION("IF(A5172="""","""",INDEX(SPLIT(A5172,"" ""),COUNTA(SPLIT(A5172,"" ""))))"),"Bracciano")</f>
        <v>Bracciano</v>
      </c>
      <c r="C5172" s="6" t="s">
        <v>5234</v>
      </c>
      <c r="D5172" s="6"/>
      <c r="E5172" s="7" t="s">
        <v>5235</v>
      </c>
    </row>
    <row r="5173">
      <c r="A5173" s="4" t="s">
        <v>5248</v>
      </c>
      <c r="B5173" s="5" t="str">
        <f>IFERROR(__xludf.DUMMYFUNCTION("IF(A5173="""","""",INDEX(SPLIT(A5173,"" ""),COUNTA(SPLIT(A5173,"" ""))))"),"Nuova")</f>
        <v>Nuova</v>
      </c>
      <c r="C5173" s="6" t="s">
        <v>5234</v>
      </c>
      <c r="D5173" s="6"/>
      <c r="E5173" s="7" t="s">
        <v>5235</v>
      </c>
    </row>
    <row r="5174">
      <c r="A5174" s="4" t="s">
        <v>5249</v>
      </c>
      <c r="B5174" s="5" t="str">
        <f>IFERROR(__xludf.DUMMYFUNCTION("IF(A5174="""","""",INDEX(SPLIT(A5174,"" ""),COUNTA(SPLIT(A5174,"" ""))))"),"Roma")</f>
        <v>Roma</v>
      </c>
      <c r="C5174" s="6" t="s">
        <v>5234</v>
      </c>
      <c r="D5174" s="6"/>
      <c r="E5174" s="7" t="s">
        <v>5235</v>
      </c>
    </row>
    <row r="5175">
      <c r="A5175" s="4" t="s">
        <v>5250</v>
      </c>
      <c r="B5175" s="5" t="str">
        <f>IFERROR(__xludf.DUMMYFUNCTION("IF(A5175="""","""",INDEX(SPLIT(A5175,"" ""),COUNTA(SPLIT(A5175,"" ""))))"),"Monterano")</f>
        <v>Monterano</v>
      </c>
      <c r="C5175" s="6" t="s">
        <v>5234</v>
      </c>
      <c r="D5175" s="6"/>
      <c r="E5175" s="7" t="s">
        <v>5235</v>
      </c>
    </row>
    <row r="5176">
      <c r="A5176" s="4" t="s">
        <v>5251</v>
      </c>
      <c r="B5176" s="5" t="str">
        <f>IFERROR(__xludf.DUMMYFUNCTION("IF(A5176="""","""",INDEX(SPLIT(A5176,"" ""),COUNTA(SPLIT(A5176,"" ""))))"),"Canterano")</f>
        <v>Canterano</v>
      </c>
      <c r="C5176" s="6" t="s">
        <v>5234</v>
      </c>
      <c r="D5176" s="6"/>
      <c r="E5176" s="7" t="s">
        <v>5235</v>
      </c>
    </row>
    <row r="5177">
      <c r="A5177" s="4" t="s">
        <v>5252</v>
      </c>
      <c r="B5177" s="5" t="str">
        <f>IFERROR(__xludf.DUMMYFUNCTION("IF(A5177="""","""",INDEX(SPLIT(A5177,"" ""),COUNTA(SPLIT(A5177,"" ""))))"),"Capena")</f>
        <v>Capena</v>
      </c>
      <c r="C5177" s="6" t="s">
        <v>5234</v>
      </c>
      <c r="D5177" s="6"/>
      <c r="E5177" s="7" t="s">
        <v>5235</v>
      </c>
    </row>
    <row r="5178">
      <c r="A5178" s="4" t="s">
        <v>5253</v>
      </c>
      <c r="B5178" s="5" t="str">
        <f>IFERROR(__xludf.DUMMYFUNCTION("IF(A5178="""","""",INDEX(SPLIT(A5178,"" ""),COUNTA(SPLIT(A5178,"" ""))))"),"Prenestina")</f>
        <v>Prenestina</v>
      </c>
      <c r="C5178" s="6" t="s">
        <v>5234</v>
      </c>
      <c r="D5178" s="6"/>
      <c r="E5178" s="7" t="s">
        <v>5235</v>
      </c>
    </row>
    <row r="5179">
      <c r="A5179" s="4" t="s">
        <v>5254</v>
      </c>
      <c r="B5179" s="5" t="str">
        <f>IFERROR(__xludf.DUMMYFUNCTION("IF(A5179="""","""",INDEX(SPLIT(A5179,"" ""),COUNTA(SPLIT(A5179,"" ""))))"),"Romano")</f>
        <v>Romano</v>
      </c>
      <c r="C5179" s="6" t="s">
        <v>5234</v>
      </c>
      <c r="D5179" s="6"/>
      <c r="E5179" s="7" t="s">
        <v>5235</v>
      </c>
    </row>
    <row r="5180">
      <c r="A5180" s="4" t="s">
        <v>5255</v>
      </c>
      <c r="B5180" s="5" t="str">
        <f>IFERROR(__xludf.DUMMYFUNCTION("IF(A5180="""","""",INDEX(SPLIT(A5180,"" ""),COUNTA(SPLIT(A5180,"" ""))))"),"Casape")</f>
        <v>Casape</v>
      </c>
      <c r="C5180" s="6" t="s">
        <v>5234</v>
      </c>
      <c r="D5180" s="6"/>
      <c r="E5180" s="7" t="s">
        <v>5235</v>
      </c>
    </row>
    <row r="5181">
      <c r="A5181" s="4" t="s">
        <v>5256</v>
      </c>
      <c r="B5181" s="5" t="str">
        <f>IFERROR(__xludf.DUMMYFUNCTION("IF(A5181="""","""",INDEX(SPLIT(A5181,"" ""),COUNTA(SPLIT(A5181,"" ""))))"),"Gandolfo")</f>
        <v>Gandolfo</v>
      </c>
      <c r="C5181" s="6" t="s">
        <v>5234</v>
      </c>
      <c r="D5181" s="6"/>
      <c r="E5181" s="7" t="s">
        <v>5235</v>
      </c>
    </row>
    <row r="5182">
      <c r="A5182" s="4" t="s">
        <v>5257</v>
      </c>
      <c r="B5182" s="5" t="str">
        <f>IFERROR(__xludf.DUMMYFUNCTION("IF(A5182="""","""",INDEX(SPLIT(A5182,"" ""),COUNTA(SPLIT(A5182,"" ""))))"),"Madama")</f>
        <v>Madama</v>
      </c>
      <c r="C5182" s="6" t="s">
        <v>5234</v>
      </c>
      <c r="D5182" s="6"/>
      <c r="E5182" s="7" t="s">
        <v>5235</v>
      </c>
    </row>
    <row r="5183">
      <c r="A5183" s="4" t="s">
        <v>5258</v>
      </c>
      <c r="B5183" s="5" t="str">
        <f>IFERROR(__xludf.DUMMYFUNCTION("IF(A5183="""","""",INDEX(SPLIT(A5183,"" ""),COUNTA(SPLIT(A5183,"" ""))))"),"Porto")</f>
        <v>Porto</v>
      </c>
      <c r="C5183" s="6" t="s">
        <v>5234</v>
      </c>
      <c r="D5183" s="6"/>
      <c r="E5183" s="7" t="s">
        <v>5235</v>
      </c>
    </row>
    <row r="5184">
      <c r="A5184" s="4" t="s">
        <v>5259</v>
      </c>
      <c r="B5184" s="5" t="str">
        <f>IFERROR(__xludf.DUMMYFUNCTION("IF(A5184="""","""",INDEX(SPLIT(A5184,"" ""),COUNTA(SPLIT(A5184,"" ""))))"),"Romano")</f>
        <v>Romano</v>
      </c>
      <c r="C5184" s="6" t="s">
        <v>5234</v>
      </c>
      <c r="D5184" s="6"/>
      <c r="E5184" s="7" t="s">
        <v>5235</v>
      </c>
    </row>
    <row r="5185">
      <c r="A5185" s="4" t="s">
        <v>5260</v>
      </c>
      <c r="B5185" s="5" t="str">
        <f>IFERROR(__xludf.DUMMYFUNCTION("IF(A5185="""","""",INDEX(SPLIT(A5185,"" ""),COUNTA(SPLIT(A5185,"" ""))))"),"Cave")</f>
        <v>Cave</v>
      </c>
      <c r="C5185" s="6" t="s">
        <v>5234</v>
      </c>
      <c r="D5185" s="6"/>
      <c r="E5185" s="7" t="s">
        <v>5235</v>
      </c>
    </row>
    <row r="5186">
      <c r="A5186" s="4" t="s">
        <v>5261</v>
      </c>
      <c r="B5186" s="5" t="str">
        <f>IFERROR(__xludf.DUMMYFUNCTION("IF(A5186="""","""",INDEX(SPLIT(A5186,"" ""),COUNTA(SPLIT(A5186,"" ""))))"),"Laziale")</f>
        <v>Laziale</v>
      </c>
      <c r="C5186" s="6" t="s">
        <v>5234</v>
      </c>
      <c r="D5186" s="6"/>
      <c r="E5186" s="7" t="s">
        <v>5235</v>
      </c>
    </row>
    <row r="5187">
      <c r="A5187" s="4" t="s">
        <v>5262</v>
      </c>
      <c r="B5187" s="5" t="str">
        <f>IFERROR(__xludf.DUMMYFUNCTION("IF(A5187="""","""",INDEX(SPLIT(A5187,"" ""),COUNTA(SPLIT(A5187,"" ""))))"),"Roma")</f>
        <v>Roma</v>
      </c>
      <c r="C5187" s="6" t="s">
        <v>5234</v>
      </c>
      <c r="D5187" s="6"/>
      <c r="E5187" s="7" t="s">
        <v>5235</v>
      </c>
    </row>
    <row r="5188">
      <c r="A5188" s="4" t="s">
        <v>5263</v>
      </c>
      <c r="B5188" s="5" t="str">
        <f>IFERROR(__xludf.DUMMYFUNCTION("IF(A5188="""","""",INDEX(SPLIT(A5188,"" ""),COUNTA(SPLIT(A5188,"" ""))))"),"Cerveteri")</f>
        <v>Cerveteri</v>
      </c>
      <c r="C5188" s="6" t="s">
        <v>5234</v>
      </c>
      <c r="D5188" s="6"/>
      <c r="E5188" s="7" t="s">
        <v>5235</v>
      </c>
    </row>
    <row r="5189">
      <c r="A5189" s="4" t="s">
        <v>5264</v>
      </c>
      <c r="B5189" s="5" t="str">
        <f>IFERROR(__xludf.DUMMYFUNCTION("IF(A5189="""","""",INDEX(SPLIT(A5189,"" ""),COUNTA(SPLIT(A5189,"" ""))))"),"Ciciliano")</f>
        <v>Ciciliano</v>
      </c>
      <c r="C5189" s="6" t="s">
        <v>5234</v>
      </c>
      <c r="D5189" s="6"/>
      <c r="E5189" s="7" t="s">
        <v>5235</v>
      </c>
    </row>
    <row r="5190">
      <c r="A5190" s="4" t="s">
        <v>5265</v>
      </c>
      <c r="B5190" s="5" t="str">
        <f>IFERROR(__xludf.DUMMYFUNCTION("IF(A5190="""","""",INDEX(SPLIT(A5190,"" ""),COUNTA(SPLIT(A5190,"" ""))))"),"Romano")</f>
        <v>Romano</v>
      </c>
      <c r="C5190" s="6" t="s">
        <v>5234</v>
      </c>
      <c r="D5190" s="6"/>
      <c r="E5190" s="7" t="s">
        <v>5235</v>
      </c>
    </row>
    <row r="5191">
      <c r="A5191" s="4" t="s">
        <v>5266</v>
      </c>
      <c r="B5191" s="5" t="str">
        <f>IFERROR(__xludf.DUMMYFUNCTION("IF(A5191="""","""",INDEX(SPLIT(A5191,"" ""),COUNTA(SPLIT(A5191,"" ""))))"),"Civitavecchia")</f>
        <v>Civitavecchia</v>
      </c>
      <c r="C5191" s="6" t="s">
        <v>5234</v>
      </c>
      <c r="D5191" s="6"/>
      <c r="E5191" s="7" t="s">
        <v>5235</v>
      </c>
    </row>
    <row r="5192">
      <c r="A5192" s="4" t="s">
        <v>5267</v>
      </c>
      <c r="B5192" s="5" t="str">
        <f>IFERROR(__xludf.DUMMYFUNCTION("IF(A5192="""","""",INDEX(SPLIT(A5192,"" ""),COUNTA(SPLIT(A5192,"" ""))))"),"Paolo")</f>
        <v>Paolo</v>
      </c>
      <c r="C5192" s="6" t="s">
        <v>5234</v>
      </c>
      <c r="D5192" s="6"/>
      <c r="E5192" s="7" t="s">
        <v>5235</v>
      </c>
    </row>
    <row r="5193">
      <c r="A5193" s="4" t="s">
        <v>5268</v>
      </c>
      <c r="B5193" s="5" t="str">
        <f>IFERROR(__xludf.DUMMYFUNCTION("IF(A5193="""","""",INDEX(SPLIT(A5193,"" ""),COUNTA(SPLIT(A5193,"" ""))))"),"Colleferro")</f>
        <v>Colleferro</v>
      </c>
      <c r="C5193" s="6" t="s">
        <v>5234</v>
      </c>
      <c r="D5193" s="6"/>
      <c r="E5193" s="7" t="s">
        <v>5235</v>
      </c>
    </row>
    <row r="5194">
      <c r="A5194" s="4" t="s">
        <v>5269</v>
      </c>
      <c r="B5194" s="5" t="str">
        <f>IFERROR(__xludf.DUMMYFUNCTION("IF(A5194="""","""",INDEX(SPLIT(A5194,"" ""),COUNTA(SPLIT(A5194,"" ""))))"),"Colonna")</f>
        <v>Colonna</v>
      </c>
      <c r="C5194" s="6" t="s">
        <v>5234</v>
      </c>
      <c r="D5194" s="6"/>
      <c r="E5194" s="7" t="s">
        <v>5235</v>
      </c>
    </row>
    <row r="5195">
      <c r="A5195" s="4" t="s">
        <v>5270</v>
      </c>
      <c r="B5195" s="5" t="str">
        <f>IFERROR(__xludf.DUMMYFUNCTION("IF(A5195="""","""",INDEX(SPLIT(A5195,"" ""),COUNTA(SPLIT(A5195,"" ""))))"),"Romano")</f>
        <v>Romano</v>
      </c>
      <c r="C5195" s="6" t="s">
        <v>5234</v>
      </c>
      <c r="D5195" s="6"/>
      <c r="E5195" s="7" t="s">
        <v>5235</v>
      </c>
    </row>
    <row r="5196">
      <c r="A5196" s="4" t="s">
        <v>5271</v>
      </c>
      <c r="B5196" s="5" t="str">
        <f>IFERROR(__xludf.DUMMYFUNCTION("IF(A5196="""","""",INDEX(SPLIT(A5196,"" ""),COUNTA(SPLIT(A5196,"" ""))))"),"Filacciano")</f>
        <v>Filacciano</v>
      </c>
      <c r="C5196" s="6" t="s">
        <v>5234</v>
      </c>
      <c r="D5196" s="6"/>
      <c r="E5196" s="7" t="s">
        <v>5235</v>
      </c>
    </row>
    <row r="5197">
      <c r="A5197" s="4" t="s">
        <v>5272</v>
      </c>
      <c r="B5197" s="5" t="str">
        <f>IFERROR(__xludf.DUMMYFUNCTION("IF(A5197="""","""",INDEX(SPLIT(A5197,"" ""),COUNTA(SPLIT(A5197,"" ""))))"),"Formello")</f>
        <v>Formello</v>
      </c>
      <c r="C5197" s="6" t="s">
        <v>5234</v>
      </c>
      <c r="D5197" s="6"/>
      <c r="E5197" s="7" t="s">
        <v>5235</v>
      </c>
    </row>
    <row r="5198">
      <c r="A5198" s="4" t="s">
        <v>5273</v>
      </c>
      <c r="B5198" s="5" t="str">
        <f>IFERROR(__xludf.DUMMYFUNCTION("IF(A5198="""","""",INDEX(SPLIT(A5198,"" ""),COUNTA(SPLIT(A5198,"" ""))))"),"Frascati")</f>
        <v>Frascati</v>
      </c>
      <c r="C5198" s="6" t="s">
        <v>5234</v>
      </c>
      <c r="D5198" s="6"/>
      <c r="E5198" s="7" t="s">
        <v>5235</v>
      </c>
    </row>
    <row r="5199">
      <c r="A5199" s="4" t="s">
        <v>5274</v>
      </c>
      <c r="B5199" s="5" t="str">
        <f>IFERROR(__xludf.DUMMYFUNCTION("IF(A5199="""","""",INDEX(SPLIT(A5199,"" ""),COUNTA(SPLIT(A5199,"" ""))))"),"Lazio")</f>
        <v>Lazio</v>
      </c>
      <c r="C5199" s="6" t="s">
        <v>5234</v>
      </c>
      <c r="D5199" s="6"/>
      <c r="E5199" s="7" t="s">
        <v>5235</v>
      </c>
    </row>
    <row r="5200">
      <c r="A5200" s="4" t="s">
        <v>5275</v>
      </c>
      <c r="B5200" s="5" t="str">
        <f>IFERROR(__xludf.DUMMYFUNCTION("IF(A5200="""","""",INDEX(SPLIT(A5200,"" ""),COUNTA(SPLIT(A5200,"" ""))))"),"Gavignano")</f>
        <v>Gavignano</v>
      </c>
      <c r="C5200" s="6" t="s">
        <v>5234</v>
      </c>
      <c r="D5200" s="6"/>
      <c r="E5200" s="7" t="s">
        <v>5235</v>
      </c>
    </row>
    <row r="5201">
      <c r="A5201" s="4" t="s">
        <v>5276</v>
      </c>
      <c r="B5201" s="5" t="str">
        <f>IFERROR(__xludf.DUMMYFUNCTION("IF(A5201="""","""",INDEX(SPLIT(A5201,"" ""),COUNTA(SPLIT(A5201,"" ""))))"),"Genazzano")</f>
        <v>Genazzano</v>
      </c>
      <c r="C5201" s="6" t="s">
        <v>5234</v>
      </c>
      <c r="D5201" s="6"/>
      <c r="E5201" s="7" t="s">
        <v>5235</v>
      </c>
    </row>
    <row r="5202">
      <c r="A5202" s="4" t="s">
        <v>5277</v>
      </c>
      <c r="B5202" s="5" t="str">
        <f>IFERROR(__xludf.DUMMYFUNCTION("IF(A5202="""","""",INDEX(SPLIT(A5202,"" ""),COUNTA(SPLIT(A5202,"" ""))))"),"Roma")</f>
        <v>Roma</v>
      </c>
      <c r="C5202" s="6" t="s">
        <v>5234</v>
      </c>
      <c r="D5202" s="6"/>
      <c r="E5202" s="7" t="s">
        <v>5235</v>
      </c>
    </row>
    <row r="5203">
      <c r="A5203" s="4" t="s">
        <v>5278</v>
      </c>
      <c r="B5203" s="5" t="str">
        <f>IFERROR(__xludf.DUMMYFUNCTION("IF(A5203="""","""",INDEX(SPLIT(A5203,"" ""),COUNTA(SPLIT(A5203,"" ""))))"),"Gerano")</f>
        <v>Gerano</v>
      </c>
      <c r="C5203" s="6" t="s">
        <v>5234</v>
      </c>
      <c r="D5203" s="6"/>
      <c r="E5203" s="7" t="s">
        <v>5235</v>
      </c>
    </row>
    <row r="5204">
      <c r="A5204" s="4" t="s">
        <v>5279</v>
      </c>
      <c r="B5204" s="5" t="str">
        <f>IFERROR(__xludf.DUMMYFUNCTION("IF(A5204="""","""",INDEX(SPLIT(A5204,"" ""),COUNTA(SPLIT(A5204,"" ""))))"),"Gorga")</f>
        <v>Gorga</v>
      </c>
      <c r="C5204" s="6" t="s">
        <v>5234</v>
      </c>
      <c r="D5204" s="6"/>
      <c r="E5204" s="7" t="s">
        <v>5235</v>
      </c>
    </row>
    <row r="5205">
      <c r="A5205" s="4" t="s">
        <v>5280</v>
      </c>
      <c r="B5205" s="5" t="str">
        <f>IFERROR(__xludf.DUMMYFUNCTION("IF(A5205="""","""",INDEX(SPLIT(A5205,"" ""),COUNTA(SPLIT(A5205,"" ""))))"),"Grottaferrata")</f>
        <v>Grottaferrata</v>
      </c>
      <c r="C5205" s="6" t="s">
        <v>5234</v>
      </c>
      <c r="D5205" s="6"/>
      <c r="E5205" s="7" t="s">
        <v>5235</v>
      </c>
    </row>
    <row r="5206">
      <c r="A5206" s="4" t="s">
        <v>5281</v>
      </c>
      <c r="B5206" s="5" t="str">
        <f>IFERROR(__xludf.DUMMYFUNCTION("IF(A5206="""","""",INDEX(SPLIT(A5206,"" ""),COUNTA(SPLIT(A5206,"" ""))))"),"Montecelio")</f>
        <v>Montecelio</v>
      </c>
      <c r="C5206" s="6" t="s">
        <v>5234</v>
      </c>
      <c r="D5206" s="6"/>
      <c r="E5206" s="7" t="s">
        <v>5235</v>
      </c>
    </row>
    <row r="5207">
      <c r="A5207" s="4" t="s">
        <v>5282</v>
      </c>
      <c r="B5207" s="5" t="str">
        <f>IFERROR(__xludf.DUMMYFUNCTION("IF(A5207="""","""",INDEX(SPLIT(A5207,"" ""),COUNTA(SPLIT(A5207,"" ""))))"),"Jenne")</f>
        <v>Jenne</v>
      </c>
      <c r="C5207" s="6" t="s">
        <v>5234</v>
      </c>
      <c r="D5207" s="6"/>
      <c r="E5207" s="7" t="s">
        <v>5235</v>
      </c>
    </row>
    <row r="5208">
      <c r="A5208" s="4" t="s">
        <v>5283</v>
      </c>
      <c r="B5208" s="5" t="str">
        <f>IFERROR(__xludf.DUMMYFUNCTION("IF(A5208="""","""",INDEX(SPLIT(A5208,"" ""),COUNTA(SPLIT(A5208,"" ""))))"),"Labico")</f>
        <v>Labico</v>
      </c>
      <c r="C5208" s="6" t="s">
        <v>5234</v>
      </c>
      <c r="D5208" s="6"/>
      <c r="E5208" s="7" t="s">
        <v>5235</v>
      </c>
    </row>
    <row r="5209">
      <c r="A5209" s="4" t="s">
        <v>5284</v>
      </c>
      <c r="B5209" s="5" t="str">
        <f>IFERROR(__xludf.DUMMYFUNCTION("IF(A5209="""","""",INDEX(SPLIT(A5209,"" ""),COUNTA(SPLIT(A5209,"" ""))))"),"Lanuvio")</f>
        <v>Lanuvio</v>
      </c>
      <c r="C5209" s="6" t="s">
        <v>5234</v>
      </c>
      <c r="D5209" s="6"/>
      <c r="E5209" s="7" t="s">
        <v>5235</v>
      </c>
    </row>
    <row r="5210">
      <c r="A5210" s="4" t="s">
        <v>5285</v>
      </c>
      <c r="B5210" s="5" t="str">
        <f>IFERROR(__xludf.DUMMYFUNCTION("IF(A5210="""","""",INDEX(SPLIT(A5210,"" ""),COUNTA(SPLIT(A5210,"" ""))))"),"Licenza")</f>
        <v>Licenza</v>
      </c>
      <c r="C5210" s="6" t="s">
        <v>5234</v>
      </c>
      <c r="D5210" s="6"/>
      <c r="E5210" s="7" t="s">
        <v>5235</v>
      </c>
    </row>
    <row r="5211">
      <c r="A5211" s="4" t="s">
        <v>5286</v>
      </c>
      <c r="B5211" s="5" t="str">
        <f>IFERROR(__xludf.DUMMYFUNCTION("IF(A5211="""","""",INDEX(SPLIT(A5211,"" ""),COUNTA(SPLIT(A5211,"" ""))))"),"Romano")</f>
        <v>Romano</v>
      </c>
      <c r="C5211" s="6" t="s">
        <v>5234</v>
      </c>
      <c r="D5211" s="6"/>
      <c r="E5211" s="7" t="s">
        <v>5235</v>
      </c>
    </row>
    <row r="5212">
      <c r="A5212" s="4" t="s">
        <v>5287</v>
      </c>
      <c r="B5212" s="5" t="str">
        <f>IFERROR(__xludf.DUMMYFUNCTION("IF(A5212="""","""",INDEX(SPLIT(A5212,"" ""),COUNTA(SPLIT(A5212,"" ""))))"),"Mandela")</f>
        <v>Mandela</v>
      </c>
      <c r="C5212" s="6" t="s">
        <v>5234</v>
      </c>
      <c r="D5212" s="6"/>
      <c r="E5212" s="7" t="s">
        <v>5235</v>
      </c>
    </row>
    <row r="5213">
      <c r="A5213" s="4" t="s">
        <v>5288</v>
      </c>
      <c r="B5213" s="5" t="str">
        <f>IFERROR(__xludf.DUMMYFUNCTION("IF(A5213="""","""",INDEX(SPLIT(A5213,"" ""),COUNTA(SPLIT(A5213,"" ""))))"),"Manziana")</f>
        <v>Manziana</v>
      </c>
      <c r="C5213" s="6" t="s">
        <v>5234</v>
      </c>
      <c r="D5213" s="6"/>
      <c r="E5213" s="7" t="s">
        <v>5235</v>
      </c>
    </row>
    <row r="5214">
      <c r="A5214" s="4" t="s">
        <v>5289</v>
      </c>
      <c r="B5214" s="5" t="str">
        <f>IFERROR(__xludf.DUMMYFUNCTION("IF(A5214="""","""",INDEX(SPLIT(A5214,"" ""),COUNTA(SPLIT(A5214,"" ""))))"),"Equo")</f>
        <v>Equo</v>
      </c>
      <c r="C5214" s="6" t="s">
        <v>5234</v>
      </c>
      <c r="D5214" s="6"/>
      <c r="E5214" s="7" t="s">
        <v>5235</v>
      </c>
    </row>
    <row r="5215">
      <c r="A5215" s="4" t="s">
        <v>5290</v>
      </c>
      <c r="B5215" s="5" t="str">
        <f>IFERROR(__xludf.DUMMYFUNCTION("IF(A5215="""","""",INDEX(SPLIT(A5215,"" ""),COUNTA(SPLIT(A5215,"" ""))))"),"Marcellina")</f>
        <v>Marcellina</v>
      </c>
      <c r="C5215" s="6" t="s">
        <v>5234</v>
      </c>
      <c r="D5215" s="6"/>
      <c r="E5215" s="7" t="s">
        <v>5235</v>
      </c>
    </row>
    <row r="5216">
      <c r="A5216" s="4" t="s">
        <v>5291</v>
      </c>
      <c r="B5216" s="5" t="str">
        <f>IFERROR(__xludf.DUMMYFUNCTION("IF(A5216="""","""",INDEX(SPLIT(A5216,"" ""),COUNTA(SPLIT(A5216,"" ""))))"),"Marino")</f>
        <v>Marino</v>
      </c>
      <c r="C5216" s="6" t="s">
        <v>5234</v>
      </c>
      <c r="D5216" s="6"/>
      <c r="E5216" s="7" t="s">
        <v>5235</v>
      </c>
    </row>
    <row r="5217">
      <c r="A5217" s="4" t="s">
        <v>5292</v>
      </c>
      <c r="B5217" s="5" t="str">
        <f>IFERROR(__xludf.DUMMYFUNCTION("IF(A5217="""","""",INDEX(SPLIT(A5217,"" ""),COUNTA(SPLIT(A5217,"" ""))))"),"Romano")</f>
        <v>Romano</v>
      </c>
      <c r="C5217" s="6" t="s">
        <v>5234</v>
      </c>
      <c r="D5217" s="6"/>
      <c r="E5217" s="7" t="s">
        <v>5235</v>
      </c>
    </row>
    <row r="5218">
      <c r="A5218" s="4" t="s">
        <v>5293</v>
      </c>
      <c r="B5218" s="5" t="str">
        <f>IFERROR(__xludf.DUMMYFUNCTION("IF(A5218="""","""",INDEX(SPLIT(A5218,"" ""),COUNTA(SPLIT(A5218,"" ""))))"),"Mentana")</f>
        <v>Mentana</v>
      </c>
      <c r="C5218" s="6" t="s">
        <v>5234</v>
      </c>
      <c r="D5218" s="6"/>
      <c r="E5218" s="7" t="s">
        <v>5235</v>
      </c>
    </row>
    <row r="5219">
      <c r="A5219" s="4" t="s">
        <v>5294</v>
      </c>
      <c r="B5219" s="5" t="str">
        <f>IFERROR(__xludf.DUMMYFUNCTION("IF(A5219="""","""",INDEX(SPLIT(A5219,"" ""),COUNTA(SPLIT(A5219,"" ""))))"),"Compatri")</f>
        <v>Compatri</v>
      </c>
      <c r="C5219" s="6" t="s">
        <v>5234</v>
      </c>
      <c r="D5219" s="6"/>
      <c r="E5219" s="7" t="s">
        <v>5235</v>
      </c>
    </row>
    <row r="5220">
      <c r="A5220" s="4" t="s">
        <v>5295</v>
      </c>
      <c r="B5220" s="5" t="str">
        <f>IFERROR(__xludf.DUMMYFUNCTION("IF(A5220="""","""",INDEX(SPLIT(A5220,"" ""),COUNTA(SPLIT(A5220,"" ""))))"),"Monteflavio")</f>
        <v>Monteflavio</v>
      </c>
      <c r="C5220" s="6" t="s">
        <v>5234</v>
      </c>
      <c r="D5220" s="6"/>
      <c r="E5220" s="7" t="s">
        <v>5235</v>
      </c>
    </row>
    <row r="5221">
      <c r="A5221" s="4" t="s">
        <v>5296</v>
      </c>
      <c r="B5221" s="5" t="str">
        <f>IFERROR(__xludf.DUMMYFUNCTION("IF(A5221="""","""",INDEX(SPLIT(A5221,"" ""),COUNTA(SPLIT(A5221,"" ""))))"),"Montelanico")</f>
        <v>Montelanico</v>
      </c>
      <c r="C5221" s="6" t="s">
        <v>5234</v>
      </c>
      <c r="D5221" s="6"/>
      <c r="E5221" s="7" t="s">
        <v>5235</v>
      </c>
    </row>
    <row r="5222">
      <c r="A5222" s="4" t="s">
        <v>5297</v>
      </c>
      <c r="B5222" s="5" t="str">
        <f>IFERROR(__xludf.DUMMYFUNCTION("IF(A5222="""","""",INDEX(SPLIT(A5222,"" ""),COUNTA(SPLIT(A5222,"" ""))))"),"Montelibretti")</f>
        <v>Montelibretti</v>
      </c>
      <c r="C5222" s="6" t="s">
        <v>5234</v>
      </c>
      <c r="D5222" s="6"/>
      <c r="E5222" s="7" t="s">
        <v>5235</v>
      </c>
    </row>
    <row r="5223">
      <c r="A5223" s="4" t="s">
        <v>5298</v>
      </c>
      <c r="B5223" s="5" t="str">
        <f>IFERROR(__xludf.DUMMYFUNCTION("IF(A5223="""","""",INDEX(SPLIT(A5223,"" ""),COUNTA(SPLIT(A5223,"" ""))))"),"Catone")</f>
        <v>Catone</v>
      </c>
      <c r="C5223" s="6" t="s">
        <v>5234</v>
      </c>
      <c r="D5223" s="6"/>
      <c r="E5223" s="7" t="s">
        <v>5235</v>
      </c>
    </row>
    <row r="5224">
      <c r="A5224" s="4" t="s">
        <v>5299</v>
      </c>
      <c r="B5224" s="5" t="str">
        <f>IFERROR(__xludf.DUMMYFUNCTION("IF(A5224="""","""",INDEX(SPLIT(A5224,"" ""),COUNTA(SPLIT(A5224,"" ""))))"),"Monterotondo")</f>
        <v>Monterotondo</v>
      </c>
      <c r="C5224" s="6" t="s">
        <v>5234</v>
      </c>
      <c r="D5224" s="6"/>
      <c r="E5224" s="7" t="s">
        <v>5235</v>
      </c>
    </row>
    <row r="5225">
      <c r="A5225" s="4" t="s">
        <v>5300</v>
      </c>
      <c r="B5225" s="5" t="str">
        <f>IFERROR(__xludf.DUMMYFUNCTION("IF(A5225="""","""",INDEX(SPLIT(A5225,"" ""),COUNTA(SPLIT(A5225,"" ""))))"),"Romano")</f>
        <v>Romano</v>
      </c>
      <c r="C5225" s="6" t="s">
        <v>5234</v>
      </c>
      <c r="D5225" s="6"/>
      <c r="E5225" s="7" t="s">
        <v>5235</v>
      </c>
    </row>
    <row r="5226">
      <c r="A5226" s="4" t="s">
        <v>5301</v>
      </c>
      <c r="B5226" s="5" t="str">
        <f>IFERROR(__xludf.DUMMYFUNCTION("IF(A5226="""","""",INDEX(SPLIT(A5226,"" ""),COUNTA(SPLIT(A5226,"" ""))))"),"Moricone")</f>
        <v>Moricone</v>
      </c>
      <c r="C5226" s="6" t="s">
        <v>5234</v>
      </c>
      <c r="D5226" s="6"/>
      <c r="E5226" s="7" t="s">
        <v>5235</v>
      </c>
    </row>
    <row r="5227">
      <c r="A5227" s="4" t="s">
        <v>5302</v>
      </c>
      <c r="B5227" s="5" t="str">
        <f>IFERROR(__xludf.DUMMYFUNCTION("IF(A5227="""","""",INDEX(SPLIT(A5227,"" ""),COUNTA(SPLIT(A5227,"" ""))))"),"Morlupo")</f>
        <v>Morlupo</v>
      </c>
      <c r="C5227" s="6" t="s">
        <v>5234</v>
      </c>
      <c r="D5227" s="6"/>
      <c r="E5227" s="7" t="s">
        <v>5235</v>
      </c>
    </row>
    <row r="5228">
      <c r="A5228" s="4" t="s">
        <v>5303</v>
      </c>
      <c r="B5228" s="5" t="str">
        <f>IFERROR(__xludf.DUMMYFUNCTION("IF(A5228="""","""",INDEX(SPLIT(A5228,"" ""),COUNTA(SPLIT(A5228,"" ""))))"),"Nazzano")</f>
        <v>Nazzano</v>
      </c>
      <c r="C5228" s="6" t="s">
        <v>5234</v>
      </c>
      <c r="D5228" s="6"/>
      <c r="E5228" s="7" t="s">
        <v>5235</v>
      </c>
    </row>
    <row r="5229">
      <c r="A5229" s="4" t="s">
        <v>5304</v>
      </c>
      <c r="B5229" s="5" t="str">
        <f>IFERROR(__xludf.DUMMYFUNCTION("IF(A5229="""","""",INDEX(SPLIT(A5229,"" ""),COUNTA(SPLIT(A5229,"" ""))))"),"Nemi")</f>
        <v>Nemi</v>
      </c>
      <c r="C5229" s="6" t="s">
        <v>5234</v>
      </c>
      <c r="D5229" s="6"/>
      <c r="E5229" s="7" t="s">
        <v>5235</v>
      </c>
    </row>
    <row r="5230">
      <c r="A5230" s="4" t="s">
        <v>5305</v>
      </c>
      <c r="B5230" s="5" t="str">
        <f>IFERROR(__xludf.DUMMYFUNCTION("IF(A5230="""","""",INDEX(SPLIT(A5230,"" ""),COUNTA(SPLIT(A5230,"" ""))))"),"Nerola")</f>
        <v>Nerola</v>
      </c>
      <c r="C5230" s="6" t="s">
        <v>5234</v>
      </c>
      <c r="D5230" s="6"/>
      <c r="E5230" s="7" t="s">
        <v>5235</v>
      </c>
    </row>
    <row r="5231">
      <c r="A5231" s="4" t="s">
        <v>5306</v>
      </c>
      <c r="B5231" s="5" t="str">
        <f>IFERROR(__xludf.DUMMYFUNCTION("IF(A5231="""","""",INDEX(SPLIT(A5231,"" ""),COUNTA(SPLIT(A5231,"" ""))))"),"Nettuno")</f>
        <v>Nettuno</v>
      </c>
      <c r="C5231" s="6" t="s">
        <v>5234</v>
      </c>
      <c r="D5231" s="6"/>
      <c r="E5231" s="7" t="s">
        <v>5235</v>
      </c>
    </row>
    <row r="5232">
      <c r="A5232" s="4" t="s">
        <v>5307</v>
      </c>
      <c r="B5232" s="5" t="str">
        <f>IFERROR(__xludf.DUMMYFUNCTION("IF(A5232="""","""",INDEX(SPLIT(A5232,"" ""),COUNTA(SPLIT(A5232,"" ""))))"),"Romano")</f>
        <v>Romano</v>
      </c>
      <c r="C5232" s="6" t="s">
        <v>5234</v>
      </c>
      <c r="D5232" s="6"/>
      <c r="E5232" s="7" t="s">
        <v>5235</v>
      </c>
    </row>
    <row r="5233">
      <c r="A5233" s="4" t="s">
        <v>5308</v>
      </c>
      <c r="B5233" s="5" t="str">
        <f>IFERROR(__xludf.DUMMYFUNCTION("IF(A5233="""","""",INDEX(SPLIT(A5233,"" ""),COUNTA(SPLIT(A5233,"" ""))))"),"Palestrina")</f>
        <v>Palestrina</v>
      </c>
      <c r="C5233" s="6" t="s">
        <v>5234</v>
      </c>
      <c r="D5233" s="6"/>
      <c r="E5233" s="7" t="s">
        <v>5235</v>
      </c>
    </row>
    <row r="5234">
      <c r="A5234" s="4" t="s">
        <v>5309</v>
      </c>
      <c r="B5234" s="5" t="str">
        <f>IFERROR(__xludf.DUMMYFUNCTION("IF(A5234="""","""",INDEX(SPLIT(A5234,"" ""),COUNTA(SPLIT(A5234,"" ""))))"),"Sabina")</f>
        <v>Sabina</v>
      </c>
      <c r="C5234" s="6" t="s">
        <v>5234</v>
      </c>
      <c r="D5234" s="6"/>
      <c r="E5234" s="7" t="s">
        <v>5235</v>
      </c>
    </row>
    <row r="5235">
      <c r="A5235" s="4" t="s">
        <v>5310</v>
      </c>
      <c r="B5235" s="5" t="str">
        <f>IFERROR(__xludf.DUMMYFUNCTION("IF(A5235="""","""",INDEX(SPLIT(A5235,"" ""),COUNTA(SPLIT(A5235,"" ""))))"),"Percile")</f>
        <v>Percile</v>
      </c>
      <c r="C5235" s="6" t="s">
        <v>5234</v>
      </c>
      <c r="D5235" s="6"/>
      <c r="E5235" s="7" t="s">
        <v>5235</v>
      </c>
    </row>
    <row r="5236">
      <c r="A5236" s="4" t="s">
        <v>5311</v>
      </c>
      <c r="B5236" s="5" t="str">
        <f>IFERROR(__xludf.DUMMYFUNCTION("IF(A5236="""","""",INDEX(SPLIT(A5236,"" ""),COUNTA(SPLIT(A5236,"" ""))))"),"Pisoniano")</f>
        <v>Pisoniano</v>
      </c>
      <c r="C5236" s="6" t="s">
        <v>5234</v>
      </c>
      <c r="D5236" s="6"/>
      <c r="E5236" s="7" t="s">
        <v>5235</v>
      </c>
    </row>
    <row r="5237">
      <c r="A5237" s="4" t="s">
        <v>5312</v>
      </c>
      <c r="B5237" s="5" t="str">
        <f>IFERROR(__xludf.DUMMYFUNCTION("IF(A5237="""","""",INDEX(SPLIT(A5237,"" ""),COUNTA(SPLIT(A5237,"" ""))))"),"Poli")</f>
        <v>Poli</v>
      </c>
      <c r="C5237" s="6" t="s">
        <v>5234</v>
      </c>
      <c r="D5237" s="6"/>
      <c r="E5237" s="7" t="s">
        <v>5235</v>
      </c>
    </row>
    <row r="5238">
      <c r="A5238" s="4" t="s">
        <v>5313</v>
      </c>
      <c r="B5238" s="5" t="str">
        <f>IFERROR(__xludf.DUMMYFUNCTION("IF(A5238="""","""",INDEX(SPLIT(A5238,"" ""),COUNTA(SPLIT(A5238,"" ""))))"),"Pomezia")</f>
        <v>Pomezia</v>
      </c>
      <c r="C5238" s="6" t="s">
        <v>5234</v>
      </c>
      <c r="D5238" s="6"/>
      <c r="E5238" s="7" t="s">
        <v>5235</v>
      </c>
    </row>
    <row r="5239">
      <c r="A5239" s="4" t="s">
        <v>5314</v>
      </c>
      <c r="B5239" s="5" t="str">
        <f>IFERROR(__xludf.DUMMYFUNCTION("IF(A5239="""","""",INDEX(SPLIT(A5239,"" ""),COUNTA(SPLIT(A5239,"" ""))))"),"Romano")</f>
        <v>Romano</v>
      </c>
      <c r="C5239" s="6" t="s">
        <v>5234</v>
      </c>
      <c r="D5239" s="6"/>
      <c r="E5239" s="7" t="s">
        <v>5235</v>
      </c>
    </row>
    <row r="5240">
      <c r="A5240" s="4" t="s">
        <v>5315</v>
      </c>
      <c r="B5240" s="5" t="str">
        <f>IFERROR(__xludf.DUMMYFUNCTION("IF(A5240="""","""",INDEX(SPLIT(A5240,"" ""),COUNTA(SPLIT(A5240,"" ""))))"),"Riano")</f>
        <v>Riano</v>
      </c>
      <c r="C5240" s="6" t="s">
        <v>5234</v>
      </c>
      <c r="D5240" s="6"/>
      <c r="E5240" s="7" t="s">
        <v>5235</v>
      </c>
    </row>
    <row r="5241">
      <c r="A5241" s="4" t="s">
        <v>5316</v>
      </c>
      <c r="B5241" s="5" t="str">
        <f>IFERROR(__xludf.DUMMYFUNCTION("IF(A5241="""","""",INDEX(SPLIT(A5241,"" ""),COUNTA(SPLIT(A5241,"" ""))))"),"Flaminio")</f>
        <v>Flaminio</v>
      </c>
      <c r="C5241" s="6" t="s">
        <v>5234</v>
      </c>
      <c r="D5241" s="6"/>
      <c r="E5241" s="7" t="s">
        <v>5235</v>
      </c>
    </row>
    <row r="5242">
      <c r="A5242" s="4" t="s">
        <v>5317</v>
      </c>
      <c r="B5242" s="5" t="str">
        <f>IFERROR(__xludf.DUMMYFUNCTION("IF(A5242="""","""",INDEX(SPLIT(A5242,"" ""),COUNTA(SPLIT(A5242,"" ""))))"),"Riofreddo")</f>
        <v>Riofreddo</v>
      </c>
      <c r="C5242" s="6" t="s">
        <v>5234</v>
      </c>
      <c r="D5242" s="6"/>
      <c r="E5242" s="7" t="s">
        <v>5235</v>
      </c>
    </row>
    <row r="5243">
      <c r="A5243" s="4" t="s">
        <v>5318</v>
      </c>
      <c r="B5243" s="5" t="str">
        <f>IFERROR(__xludf.DUMMYFUNCTION("IF(A5243="""","""",INDEX(SPLIT(A5243,"" ""),COUNTA(SPLIT(A5243,"" ""))))"),"Canterano")</f>
        <v>Canterano</v>
      </c>
      <c r="C5243" s="6" t="s">
        <v>5234</v>
      </c>
      <c r="D5243" s="6"/>
      <c r="E5243" s="7" t="s">
        <v>5235</v>
      </c>
    </row>
    <row r="5244">
      <c r="A5244" s="4" t="s">
        <v>5319</v>
      </c>
      <c r="B5244" s="5" t="str">
        <f>IFERROR(__xludf.DUMMYFUNCTION("IF(A5244="""","""",INDEX(SPLIT(A5244,"" ""),COUNTA(SPLIT(A5244,"" ""))))"),"Cave")</f>
        <v>Cave</v>
      </c>
      <c r="C5244" s="6" t="s">
        <v>5234</v>
      </c>
      <c r="D5244" s="6"/>
      <c r="E5244" s="7" t="s">
        <v>5235</v>
      </c>
    </row>
    <row r="5245">
      <c r="A5245" s="4" t="s">
        <v>5320</v>
      </c>
      <c r="B5245" s="5" t="str">
        <f>IFERROR(__xludf.DUMMYFUNCTION("IF(A5245="""","""",INDEX(SPLIT(A5245,"" ""),COUNTA(SPLIT(A5245,"" ""))))"),"Papa")</f>
        <v>Papa</v>
      </c>
      <c r="C5245" s="6" t="s">
        <v>5234</v>
      </c>
      <c r="D5245" s="6"/>
      <c r="E5245" s="7" t="s">
        <v>5235</v>
      </c>
    </row>
    <row r="5246">
      <c r="A5246" s="4" t="s">
        <v>5321</v>
      </c>
      <c r="B5246" s="5" t="str">
        <f>IFERROR(__xludf.DUMMYFUNCTION("IF(A5246="""","""",INDEX(SPLIT(A5246,"" ""),COUNTA(SPLIT(A5246,"" ""))))"),"Roccagiovine")</f>
        <v>Roccagiovine</v>
      </c>
      <c r="C5246" s="6" t="s">
        <v>5234</v>
      </c>
      <c r="D5246" s="6"/>
      <c r="E5246" s="7" t="s">
        <v>5235</v>
      </c>
    </row>
    <row r="5247">
      <c r="A5247" s="4" t="s">
        <v>5322</v>
      </c>
      <c r="B5247" s="5" t="str">
        <f>IFERROR(__xludf.DUMMYFUNCTION("IF(A5247="""","""",INDEX(SPLIT(A5247,"" ""),COUNTA(SPLIT(A5247,"" ""))))"),"Priora")</f>
        <v>Priora</v>
      </c>
      <c r="C5247" s="6" t="s">
        <v>5234</v>
      </c>
      <c r="D5247" s="6"/>
      <c r="E5247" s="7" t="s">
        <v>5235</v>
      </c>
    </row>
    <row r="5248">
      <c r="A5248" s="4" t="s">
        <v>5323</v>
      </c>
      <c r="B5248" s="5" t="str">
        <f>IFERROR(__xludf.DUMMYFUNCTION("IF(A5248="""","""",INDEX(SPLIT(A5248,"" ""),COUNTA(SPLIT(A5248,"" ""))))"),"Stefano")</f>
        <v>Stefano</v>
      </c>
      <c r="C5248" s="6" t="s">
        <v>5234</v>
      </c>
      <c r="D5248" s="6"/>
      <c r="E5248" s="7" t="s">
        <v>5235</v>
      </c>
    </row>
    <row r="5249">
      <c r="A5249" s="4" t="s">
        <v>5324</v>
      </c>
      <c r="B5249" s="5" t="str">
        <f>IFERROR(__xludf.DUMMYFUNCTION("IF(A5249="""","""",INDEX(SPLIT(A5249,"" ""),COUNTA(SPLIT(A5249,"" ""))))"),"Roiate")</f>
        <v>Roiate</v>
      </c>
      <c r="C5249" s="6" t="s">
        <v>5234</v>
      </c>
      <c r="D5249" s="6"/>
      <c r="E5249" s="7" t="s">
        <v>5235</v>
      </c>
    </row>
    <row r="5250">
      <c r="A5250" s="4" t="s">
        <v>5234</v>
      </c>
      <c r="B5250" s="5" t="str">
        <f>IFERROR(__xludf.DUMMYFUNCTION("IF(A5250="""","""",INDEX(SPLIT(A5250,"" ""),COUNTA(SPLIT(A5250,"" ""))))"),"Roma")</f>
        <v>Roma</v>
      </c>
      <c r="C5250" s="6" t="s">
        <v>5234</v>
      </c>
      <c r="D5250" s="6"/>
      <c r="E5250" s="7" t="s">
        <v>5235</v>
      </c>
    </row>
    <row r="5251">
      <c r="A5251" s="4" t="s">
        <v>5325</v>
      </c>
      <c r="B5251" s="5" t="str">
        <f>IFERROR(__xludf.DUMMYFUNCTION("IF(A5251="""","""",INDEX(SPLIT(A5251,"" ""),COUNTA(SPLIT(A5251,"" ""))))"),"Roviano")</f>
        <v>Roviano</v>
      </c>
      <c r="C5251" s="6" t="s">
        <v>5234</v>
      </c>
      <c r="D5251" s="6"/>
      <c r="E5251" s="7" t="s">
        <v>5235</v>
      </c>
    </row>
    <row r="5252">
      <c r="A5252" s="4" t="s">
        <v>5326</v>
      </c>
      <c r="B5252" s="5" t="str">
        <f>IFERROR(__xludf.DUMMYFUNCTION("IF(A5252="""","""",INDEX(SPLIT(A5252,"" ""),COUNTA(SPLIT(A5252,"" ""))))"),"Sacrofano")</f>
        <v>Sacrofano</v>
      </c>
      <c r="C5252" s="6" t="s">
        <v>5234</v>
      </c>
      <c r="D5252" s="6"/>
      <c r="E5252" s="7" t="s">
        <v>5235</v>
      </c>
    </row>
    <row r="5253">
      <c r="A5253" s="4" t="s">
        <v>5327</v>
      </c>
      <c r="B5253" s="5" t="str">
        <f>IFERROR(__xludf.DUMMYFUNCTION("IF(A5253="""","""",INDEX(SPLIT(A5253,"" ""),COUNTA(SPLIT(A5253,"" ""))))"),"Sambuci")</f>
        <v>Sambuci</v>
      </c>
      <c r="C5253" s="6" t="s">
        <v>5234</v>
      </c>
      <c r="D5253" s="6"/>
      <c r="E5253" s="7" t="s">
        <v>5235</v>
      </c>
    </row>
    <row r="5254">
      <c r="A5254" s="4" t="s">
        <v>5328</v>
      </c>
      <c r="B5254" s="5" t="str">
        <f>IFERROR(__xludf.DUMMYFUNCTION("IF(A5254="""","""",INDEX(SPLIT(A5254,"" ""),COUNTA(SPLIT(A5254,"" ""))))"),"Sassola")</f>
        <v>Sassola</v>
      </c>
      <c r="C5254" s="6" t="s">
        <v>5234</v>
      </c>
      <c r="D5254" s="6"/>
      <c r="E5254" s="7" t="s">
        <v>5235</v>
      </c>
    </row>
    <row r="5255">
      <c r="A5255" s="4" t="s">
        <v>5329</v>
      </c>
      <c r="B5255" s="5" t="str">
        <f>IFERROR(__xludf.DUMMYFUNCTION("IF(A5255="""","""",INDEX(SPLIT(A5255,"" ""),COUNTA(SPLIT(A5255,"" ""))))"),"Cavalieri")</f>
        <v>Cavalieri</v>
      </c>
      <c r="C5255" s="6" t="s">
        <v>5234</v>
      </c>
      <c r="D5255" s="6"/>
      <c r="E5255" s="7" t="s">
        <v>5235</v>
      </c>
    </row>
    <row r="5256">
      <c r="A5256" s="4" t="s">
        <v>5330</v>
      </c>
      <c r="B5256" s="5" t="str">
        <f>IFERROR(__xludf.DUMMYFUNCTION("IF(A5256="""","""",INDEX(SPLIT(A5256,"" ""),COUNTA(SPLIT(A5256,"" ""))))"),"Marinella")</f>
        <v>Marinella</v>
      </c>
      <c r="C5256" s="6" t="s">
        <v>5234</v>
      </c>
      <c r="D5256" s="6"/>
      <c r="E5256" s="7" t="s">
        <v>5235</v>
      </c>
    </row>
    <row r="5257">
      <c r="A5257" s="4" t="s">
        <v>5331</v>
      </c>
      <c r="B5257" s="5" t="str">
        <f>IFERROR(__xludf.DUMMYFUNCTION("IF(A5257="""","""",INDEX(SPLIT(A5257,"" ""),COUNTA(SPLIT(A5257,"" ""))))"),"Romano")</f>
        <v>Romano</v>
      </c>
      <c r="C5257" s="6" t="s">
        <v>5234</v>
      </c>
      <c r="D5257" s="6"/>
      <c r="E5257" s="7" t="s">
        <v>5235</v>
      </c>
    </row>
    <row r="5258">
      <c r="A5258" s="4" t="s">
        <v>5332</v>
      </c>
      <c r="B5258" s="5" t="str">
        <f>IFERROR(__xludf.DUMMYFUNCTION("IF(A5258="""","""",INDEX(SPLIT(A5258,"" ""),COUNTA(SPLIT(A5258,"" ""))))"),"Sant'Oreste")</f>
        <v>Sant'Oreste</v>
      </c>
      <c r="C5258" s="6" t="s">
        <v>5234</v>
      </c>
      <c r="D5258" s="6"/>
      <c r="E5258" s="7" t="s">
        <v>5235</v>
      </c>
    </row>
    <row r="5259">
      <c r="A5259" s="4" t="s">
        <v>5333</v>
      </c>
      <c r="B5259" s="5" t="str">
        <f>IFERROR(__xludf.DUMMYFUNCTION("IF(A5259="""","""",INDEX(SPLIT(A5259,"" ""),COUNTA(SPLIT(A5259,"" ""))))"),"Romano")</f>
        <v>Romano</v>
      </c>
      <c r="C5259" s="6" t="s">
        <v>5234</v>
      </c>
      <c r="D5259" s="6"/>
      <c r="E5259" s="7" t="s">
        <v>5235</v>
      </c>
    </row>
    <row r="5260">
      <c r="A5260" s="4" t="s">
        <v>5334</v>
      </c>
      <c r="B5260" s="5" t="str">
        <f>IFERROR(__xludf.DUMMYFUNCTION("IF(A5260="""","""",INDEX(SPLIT(A5260,"" ""),COUNTA(SPLIT(A5260,"" ""))))"),"Saracinesco")</f>
        <v>Saracinesco</v>
      </c>
      <c r="C5260" s="6" t="s">
        <v>5234</v>
      </c>
      <c r="D5260" s="6"/>
      <c r="E5260" s="7" t="s">
        <v>5235</v>
      </c>
    </row>
    <row r="5261">
      <c r="A5261" s="4" t="s">
        <v>5335</v>
      </c>
      <c r="B5261" s="5" t="str">
        <f>IFERROR(__xludf.DUMMYFUNCTION("IF(A5261="""","""",INDEX(SPLIT(A5261,"" ""),COUNTA(SPLIT(A5261,"" ""))))"),"Segni")</f>
        <v>Segni</v>
      </c>
      <c r="C5261" s="6" t="s">
        <v>5234</v>
      </c>
      <c r="D5261" s="6"/>
      <c r="E5261" s="7" t="s">
        <v>5235</v>
      </c>
    </row>
    <row r="5262">
      <c r="A5262" s="4" t="s">
        <v>5336</v>
      </c>
      <c r="B5262" s="5" t="str">
        <f>IFERROR(__xludf.DUMMYFUNCTION("IF(A5262="""","""",INDEX(SPLIT(A5262,"" ""),COUNTA(SPLIT(A5262,"" ""))))"),"Subiaco")</f>
        <v>Subiaco</v>
      </c>
      <c r="C5262" s="6" t="s">
        <v>5234</v>
      </c>
      <c r="D5262" s="6"/>
      <c r="E5262" s="7" t="s">
        <v>5235</v>
      </c>
    </row>
    <row r="5263">
      <c r="A5263" s="4" t="s">
        <v>5337</v>
      </c>
      <c r="B5263" s="5" t="str">
        <f>IFERROR(__xludf.DUMMYFUNCTION("IF(A5263="""","""",INDEX(SPLIT(A5263,"" ""),COUNTA(SPLIT(A5263,"" ""))))"),"Tivoli")</f>
        <v>Tivoli</v>
      </c>
      <c r="C5263" s="6" t="s">
        <v>5234</v>
      </c>
      <c r="D5263" s="6"/>
      <c r="E5263" s="7" t="s">
        <v>5235</v>
      </c>
    </row>
    <row r="5264">
      <c r="A5264" s="4" t="s">
        <v>5338</v>
      </c>
      <c r="B5264" s="5" t="str">
        <f>IFERROR(__xludf.DUMMYFUNCTION("IF(A5264="""","""",INDEX(SPLIT(A5264,"" ""),COUNTA(SPLIT(A5264,"" ""))))"),"Tolfa")</f>
        <v>Tolfa</v>
      </c>
      <c r="C5264" s="6" t="s">
        <v>5234</v>
      </c>
      <c r="D5264" s="6"/>
      <c r="E5264" s="7" t="s">
        <v>5235</v>
      </c>
    </row>
    <row r="5265">
      <c r="A5265" s="4" t="s">
        <v>5339</v>
      </c>
      <c r="B5265" s="5" t="str">
        <f>IFERROR(__xludf.DUMMYFUNCTION("IF(A5265="""","""",INDEX(SPLIT(A5265,"" ""),COUNTA(SPLIT(A5265,"" ""))))"),"Tiberina")</f>
        <v>Tiberina</v>
      </c>
      <c r="C5265" s="6" t="s">
        <v>5234</v>
      </c>
      <c r="D5265" s="6"/>
      <c r="E5265" s="7" t="s">
        <v>5235</v>
      </c>
    </row>
    <row r="5266">
      <c r="A5266" s="4" t="s">
        <v>5340</v>
      </c>
      <c r="B5266" s="5" t="str">
        <f>IFERROR(__xludf.DUMMYFUNCTION("IF(A5266="""","""",INDEX(SPLIT(A5266,"" ""),COUNTA(SPLIT(A5266,"" ""))))"),"Romano")</f>
        <v>Romano</v>
      </c>
      <c r="C5266" s="6" t="s">
        <v>5234</v>
      </c>
      <c r="D5266" s="6"/>
      <c r="E5266" s="7" t="s">
        <v>5235</v>
      </c>
    </row>
    <row r="5267">
      <c r="A5267" s="4" t="s">
        <v>5341</v>
      </c>
      <c r="B5267" s="5" t="str">
        <f>IFERROR(__xludf.DUMMYFUNCTION("IF(A5267="""","""",INDEX(SPLIT(A5267,"" ""),COUNTA(SPLIT(A5267,"" ""))))"),"Vallepietra")</f>
        <v>Vallepietra</v>
      </c>
      <c r="C5267" s="6" t="s">
        <v>5234</v>
      </c>
      <c r="D5267" s="6"/>
      <c r="E5267" s="7" t="s">
        <v>5235</v>
      </c>
    </row>
    <row r="5268">
      <c r="A5268" s="4" t="s">
        <v>5342</v>
      </c>
      <c r="B5268" s="5" t="str">
        <f>IFERROR(__xludf.DUMMYFUNCTION("IF(A5268="""","""",INDEX(SPLIT(A5268,"" ""),COUNTA(SPLIT(A5268,"" ""))))"),"Vallinfreda")</f>
        <v>Vallinfreda</v>
      </c>
      <c r="C5268" s="6" t="s">
        <v>5234</v>
      </c>
      <c r="D5268" s="6"/>
      <c r="E5268" s="7" t="s">
        <v>5235</v>
      </c>
    </row>
    <row r="5269">
      <c r="A5269" s="4" t="s">
        <v>5343</v>
      </c>
      <c r="B5269" s="5" t="str">
        <f>IFERROR(__xludf.DUMMYFUNCTION("IF(A5269="""","""",INDEX(SPLIT(A5269,"" ""),COUNTA(SPLIT(A5269,"" ""))))"),"Valmontone")</f>
        <v>Valmontone</v>
      </c>
      <c r="C5269" s="6" t="s">
        <v>5234</v>
      </c>
      <c r="D5269" s="6"/>
      <c r="E5269" s="7" t="s">
        <v>5235</v>
      </c>
    </row>
    <row r="5270">
      <c r="A5270" s="4" t="s">
        <v>5344</v>
      </c>
      <c r="B5270" s="5" t="str">
        <f>IFERROR(__xludf.DUMMYFUNCTION("IF(A5270="""","""",INDEX(SPLIT(A5270,"" ""),COUNTA(SPLIT(A5270,"" ""))))"),"Velletri")</f>
        <v>Velletri</v>
      </c>
      <c r="C5270" s="6" t="s">
        <v>5234</v>
      </c>
      <c r="D5270" s="6"/>
      <c r="E5270" s="7" t="s">
        <v>5235</v>
      </c>
    </row>
    <row r="5271">
      <c r="A5271" s="4" t="s">
        <v>5345</v>
      </c>
      <c r="B5271" s="5" t="str">
        <f>IFERROR(__xludf.DUMMYFUNCTION("IF(A5271="""","""",INDEX(SPLIT(A5271,"" ""),COUNTA(SPLIT(A5271,"" ""))))"),"Vicovaro")</f>
        <v>Vicovaro</v>
      </c>
      <c r="C5271" s="6" t="s">
        <v>5234</v>
      </c>
      <c r="D5271" s="6"/>
      <c r="E5271" s="7" t="s">
        <v>5235</v>
      </c>
    </row>
    <row r="5272">
      <c r="A5272" s="4" t="s">
        <v>5346</v>
      </c>
      <c r="B5272" s="5" t="str">
        <f>IFERROR(__xludf.DUMMYFUNCTION("IF(A5272="""","""",INDEX(SPLIT(A5272,"" ""),COUNTA(SPLIT(A5272,"" ""))))"),"Romano")</f>
        <v>Romano</v>
      </c>
      <c r="C5272" s="6" t="s">
        <v>5234</v>
      </c>
      <c r="D5272" s="6"/>
      <c r="E5272" s="7" t="s">
        <v>5235</v>
      </c>
    </row>
    <row r="5273">
      <c r="A5273" s="4" t="s">
        <v>5347</v>
      </c>
      <c r="B5273" s="5" t="str">
        <f>IFERROR(__xludf.DUMMYFUNCTION("IF(A5273="""","""",INDEX(SPLIT(A5273,"" ""),COUNTA(SPLIT(A5273,"" ""))))"),"Zagarolo")</f>
        <v>Zagarolo</v>
      </c>
      <c r="C5273" s="6" t="s">
        <v>5234</v>
      </c>
      <c r="D5273" s="6"/>
      <c r="E5273" s="7" t="s">
        <v>5235</v>
      </c>
    </row>
    <row r="5274">
      <c r="A5274" s="4" t="s">
        <v>5348</v>
      </c>
      <c r="B5274" s="5" t="str">
        <f>IFERROR(__xludf.DUMMYFUNCTION("IF(A5274="""","""",INDEX(SPLIT(A5274,"" ""),COUNTA(SPLIT(A5274,"" ""))))"),"Lariano")</f>
        <v>Lariano</v>
      </c>
      <c r="C5274" s="6" t="s">
        <v>5234</v>
      </c>
      <c r="D5274" s="6"/>
      <c r="E5274" s="7" t="s">
        <v>5235</v>
      </c>
    </row>
    <row r="5275">
      <c r="A5275" s="4" t="s">
        <v>5349</v>
      </c>
      <c r="B5275" s="5" t="str">
        <f>IFERROR(__xludf.DUMMYFUNCTION("IF(A5275="""","""",INDEX(SPLIT(A5275,"" ""),COUNTA(SPLIT(A5275,"" ""))))"),"Ladispoli")</f>
        <v>Ladispoli</v>
      </c>
      <c r="C5275" s="6" t="s">
        <v>5234</v>
      </c>
      <c r="D5275" s="6"/>
      <c r="E5275" s="7" t="s">
        <v>5235</v>
      </c>
    </row>
    <row r="5276">
      <c r="A5276" s="4" t="s">
        <v>5350</v>
      </c>
      <c r="B5276" s="5" t="str">
        <f>IFERROR(__xludf.DUMMYFUNCTION("IF(A5276="""","""",INDEX(SPLIT(A5276,"" ""),COUNTA(SPLIT(A5276,"" ""))))"),"Ardea")</f>
        <v>Ardea</v>
      </c>
      <c r="C5276" s="6" t="s">
        <v>5234</v>
      </c>
      <c r="D5276" s="6"/>
      <c r="E5276" s="7" t="s">
        <v>5235</v>
      </c>
    </row>
    <row r="5277">
      <c r="A5277" s="4" t="s">
        <v>5351</v>
      </c>
      <c r="B5277" s="5" t="str">
        <f>IFERROR(__xludf.DUMMYFUNCTION("IF(A5277="""","""",INDEX(SPLIT(A5277,"" ""),COUNTA(SPLIT(A5277,"" ""))))"),"Ciampino")</f>
        <v>Ciampino</v>
      </c>
      <c r="C5277" s="6" t="s">
        <v>5234</v>
      </c>
      <c r="D5277" s="6"/>
      <c r="E5277" s="7" t="s">
        <v>5235</v>
      </c>
    </row>
    <row r="5278">
      <c r="A5278" s="4" t="s">
        <v>5352</v>
      </c>
      <c r="B5278" s="5" t="str">
        <f>IFERROR(__xludf.DUMMYFUNCTION("IF(A5278="""","""",INDEX(SPLIT(A5278,"" ""),COUNTA(SPLIT(A5278,"" ""))))"),"Cesareo")</f>
        <v>Cesareo</v>
      </c>
      <c r="C5278" s="6" t="s">
        <v>5234</v>
      </c>
      <c r="D5278" s="6"/>
      <c r="E5278" s="7" t="s">
        <v>5235</v>
      </c>
    </row>
    <row r="5279">
      <c r="A5279" s="4" t="s">
        <v>5353</v>
      </c>
      <c r="B5279" s="5" t="str">
        <f>IFERROR(__xludf.DUMMYFUNCTION("IF(A5279="""","""",INDEX(SPLIT(A5279,"" ""),COUNTA(SPLIT(A5279,"" ""))))"),"Fiumicino")</f>
        <v>Fiumicino</v>
      </c>
      <c r="C5279" s="6" t="s">
        <v>5234</v>
      </c>
      <c r="D5279" s="6"/>
      <c r="E5279" s="7" t="s">
        <v>5235</v>
      </c>
    </row>
    <row r="5280">
      <c r="A5280" s="4" t="s">
        <v>5354</v>
      </c>
      <c r="B5280" s="5" t="str">
        <f>IFERROR(__xludf.DUMMYFUNCTION("IF(A5280="""","""",INDEX(SPLIT(A5280,"" ""),COUNTA(SPLIT(A5280,"" ""))))"),"Nuova")</f>
        <v>Nuova</v>
      </c>
      <c r="C5280" s="6" t="s">
        <v>5234</v>
      </c>
      <c r="D5280" s="6"/>
      <c r="E5280" s="7" t="s">
        <v>5235</v>
      </c>
    </row>
    <row r="5281">
      <c r="A5281" s="4" t="s">
        <v>5355</v>
      </c>
      <c r="B5281" s="5" t="str">
        <f>IFERROR(__xludf.DUMMYFUNCTION("IF(A5281="""","""",INDEX(SPLIT(A5281,"" ""),COUNTA(SPLIT(A5281,"" ""))))"),"Aprilia")</f>
        <v>Aprilia</v>
      </c>
      <c r="C5281" s="6"/>
      <c r="D5281" s="6" t="s">
        <v>5356</v>
      </c>
      <c r="E5281" s="7" t="s">
        <v>5357</v>
      </c>
    </row>
    <row r="5282">
      <c r="A5282" s="4" t="s">
        <v>5358</v>
      </c>
      <c r="B5282" s="5" t="str">
        <f>IFERROR(__xludf.DUMMYFUNCTION("IF(A5282="""","""",INDEX(SPLIT(A5282,"" ""),COUNTA(SPLIT(A5282,"" ""))))"),"Bassiano")</f>
        <v>Bassiano</v>
      </c>
      <c r="C5282" s="6"/>
      <c r="D5282" s="6" t="s">
        <v>5356</v>
      </c>
      <c r="E5282" s="7" t="s">
        <v>5357</v>
      </c>
    </row>
    <row r="5283">
      <c r="A5283" s="4" t="s">
        <v>5359</v>
      </c>
      <c r="B5283" s="5" t="str">
        <f>IFERROR(__xludf.DUMMYFUNCTION("IF(A5283="""","""",INDEX(SPLIT(A5283,"" ""),COUNTA(SPLIT(A5283,"" ""))))"),"Campodimele")</f>
        <v>Campodimele</v>
      </c>
      <c r="C5283" s="6"/>
      <c r="D5283" s="6" t="s">
        <v>5356</v>
      </c>
      <c r="E5283" s="7" t="s">
        <v>5357</v>
      </c>
    </row>
    <row r="5284">
      <c r="A5284" s="4" t="s">
        <v>5360</v>
      </c>
      <c r="B5284" s="5" t="str">
        <f>IFERROR(__xludf.DUMMYFUNCTION("IF(A5284="""","""",INDEX(SPLIT(A5284,"" ""),COUNTA(SPLIT(A5284,"" ""))))"),"Castelforte")</f>
        <v>Castelforte</v>
      </c>
      <c r="C5284" s="6"/>
      <c r="D5284" s="6" t="s">
        <v>5356</v>
      </c>
      <c r="E5284" s="7" t="s">
        <v>5357</v>
      </c>
    </row>
    <row r="5285">
      <c r="A5285" s="4" t="s">
        <v>5361</v>
      </c>
      <c r="B5285" s="5" t="str">
        <f>IFERROR(__xludf.DUMMYFUNCTION("IF(A5285="""","""",INDEX(SPLIT(A5285,"" ""),COUNTA(SPLIT(A5285,"" ""))))"),"Latina")</f>
        <v>Latina</v>
      </c>
      <c r="C5285" s="6"/>
      <c r="D5285" s="6" t="s">
        <v>5356</v>
      </c>
      <c r="E5285" s="7" t="s">
        <v>5357</v>
      </c>
    </row>
    <row r="5286">
      <c r="A5286" s="4" t="s">
        <v>5362</v>
      </c>
      <c r="B5286" s="5" t="str">
        <f>IFERROR(__xludf.DUMMYFUNCTION("IF(A5286="""","""",INDEX(SPLIT(A5286,"" ""),COUNTA(SPLIT(A5286,"" ""))))"),"Cori")</f>
        <v>Cori</v>
      </c>
      <c r="C5286" s="6"/>
      <c r="D5286" s="6" t="s">
        <v>5356</v>
      </c>
      <c r="E5286" s="7" t="s">
        <v>5357</v>
      </c>
    </row>
    <row r="5287">
      <c r="A5287" s="4" t="s">
        <v>5363</v>
      </c>
      <c r="B5287" s="5" t="str">
        <f>IFERROR(__xludf.DUMMYFUNCTION("IF(A5287="""","""",INDEX(SPLIT(A5287,"" ""),COUNTA(SPLIT(A5287,"" ""))))"),"Fondi")</f>
        <v>Fondi</v>
      </c>
      <c r="C5287" s="6"/>
      <c r="D5287" s="6" t="s">
        <v>5356</v>
      </c>
      <c r="E5287" s="7" t="s">
        <v>5357</v>
      </c>
    </row>
    <row r="5288">
      <c r="A5288" s="4" t="s">
        <v>5364</v>
      </c>
      <c r="B5288" s="5" t="str">
        <f>IFERROR(__xludf.DUMMYFUNCTION("IF(A5288="""","""",INDEX(SPLIT(A5288,"" ""),COUNTA(SPLIT(A5288,"" ""))))"),"Formia")</f>
        <v>Formia</v>
      </c>
      <c r="C5288" s="6"/>
      <c r="D5288" s="6" t="s">
        <v>5356</v>
      </c>
      <c r="E5288" s="7" t="s">
        <v>5357</v>
      </c>
    </row>
    <row r="5289">
      <c r="A5289" s="4" t="s">
        <v>5365</v>
      </c>
      <c r="B5289" s="5" t="str">
        <f>IFERROR(__xludf.DUMMYFUNCTION("IF(A5289="""","""",INDEX(SPLIT(A5289,"" ""),COUNTA(SPLIT(A5289,"" ""))))"),"Gaeta")</f>
        <v>Gaeta</v>
      </c>
      <c r="C5289" s="6"/>
      <c r="D5289" s="6" t="s">
        <v>5356</v>
      </c>
      <c r="E5289" s="7" t="s">
        <v>5357</v>
      </c>
    </row>
    <row r="5290">
      <c r="A5290" s="4" t="s">
        <v>5366</v>
      </c>
      <c r="B5290" s="5" t="str">
        <f>IFERROR(__xludf.DUMMYFUNCTION("IF(A5290="""","""",INDEX(SPLIT(A5290,"" ""),COUNTA(SPLIT(A5290,"" ""))))"),"Itri")</f>
        <v>Itri</v>
      </c>
      <c r="C5290" s="6"/>
      <c r="D5290" s="6" t="s">
        <v>5356</v>
      </c>
      <c r="E5290" s="7" t="s">
        <v>5357</v>
      </c>
    </row>
    <row r="5291">
      <c r="A5291" s="4" t="s">
        <v>5356</v>
      </c>
      <c r="B5291" s="5" t="str">
        <f>IFERROR(__xludf.DUMMYFUNCTION("IF(A5291="""","""",INDEX(SPLIT(A5291,"" ""),COUNTA(SPLIT(A5291,"" ""))))"),"Latina")</f>
        <v>Latina</v>
      </c>
      <c r="C5291" s="6"/>
      <c r="D5291" s="6" t="s">
        <v>5356</v>
      </c>
      <c r="E5291" s="7" t="s">
        <v>5357</v>
      </c>
    </row>
    <row r="5292">
      <c r="A5292" s="4" t="s">
        <v>5367</v>
      </c>
      <c r="B5292" s="5" t="str">
        <f>IFERROR(__xludf.DUMMYFUNCTION("IF(A5292="""","""",INDEX(SPLIT(A5292,"" ""),COUNTA(SPLIT(A5292,"" ""))))"),"Lenola")</f>
        <v>Lenola</v>
      </c>
      <c r="C5292" s="6"/>
      <c r="D5292" s="6" t="s">
        <v>5356</v>
      </c>
      <c r="E5292" s="7" t="s">
        <v>5357</v>
      </c>
    </row>
    <row r="5293">
      <c r="A5293" s="4" t="s">
        <v>5368</v>
      </c>
      <c r="B5293" s="5" t="str">
        <f>IFERROR(__xludf.DUMMYFUNCTION("IF(A5293="""","""",INDEX(SPLIT(A5293,"" ""),COUNTA(SPLIT(A5293,"" ""))))"),"Maenza")</f>
        <v>Maenza</v>
      </c>
      <c r="C5293" s="6"/>
      <c r="D5293" s="6" t="s">
        <v>5356</v>
      </c>
      <c r="E5293" s="7" t="s">
        <v>5357</v>
      </c>
    </row>
    <row r="5294">
      <c r="A5294" s="4" t="s">
        <v>5369</v>
      </c>
      <c r="B5294" s="5" t="str">
        <f>IFERROR(__xludf.DUMMYFUNCTION("IF(A5294="""","""",INDEX(SPLIT(A5294,"" ""),COUNTA(SPLIT(A5294,"" ""))))"),"Minturno")</f>
        <v>Minturno</v>
      </c>
      <c r="C5294" s="6"/>
      <c r="D5294" s="6" t="s">
        <v>5356</v>
      </c>
      <c r="E5294" s="7" t="s">
        <v>5357</v>
      </c>
    </row>
    <row r="5295">
      <c r="A5295" s="4" t="s">
        <v>5370</v>
      </c>
      <c r="B5295" s="5" t="str">
        <f>IFERROR(__xludf.DUMMYFUNCTION("IF(A5295="""","""",INDEX(SPLIT(A5295,"" ""),COUNTA(SPLIT(A5295,"" ""))))"),"Biagio")</f>
        <v>Biagio</v>
      </c>
      <c r="C5295" s="6"/>
      <c r="D5295" s="6" t="s">
        <v>5356</v>
      </c>
      <c r="E5295" s="7" t="s">
        <v>5357</v>
      </c>
    </row>
    <row r="5296">
      <c r="A5296" s="4" t="s">
        <v>5371</v>
      </c>
      <c r="B5296" s="5" t="str">
        <f>IFERROR(__xludf.DUMMYFUNCTION("IF(A5296="""","""",INDEX(SPLIT(A5296,"" ""),COUNTA(SPLIT(A5296,"" ""))))"),"Norma")</f>
        <v>Norma</v>
      </c>
      <c r="C5296" s="6"/>
      <c r="D5296" s="6" t="s">
        <v>5356</v>
      </c>
      <c r="E5296" s="7" t="s">
        <v>5357</v>
      </c>
    </row>
    <row r="5297">
      <c r="A5297" s="4" t="s">
        <v>5372</v>
      </c>
      <c r="B5297" s="5" t="str">
        <f>IFERROR(__xludf.DUMMYFUNCTION("IF(A5297="""","""",INDEX(SPLIT(A5297,"" ""),COUNTA(SPLIT(A5297,"" ""))))"),"Pontinia")</f>
        <v>Pontinia</v>
      </c>
      <c r="C5297" s="6"/>
      <c r="D5297" s="6" t="s">
        <v>5356</v>
      </c>
      <c r="E5297" s="7" t="s">
        <v>5357</v>
      </c>
    </row>
    <row r="5298">
      <c r="A5298" s="4" t="s">
        <v>5373</v>
      </c>
      <c r="B5298" s="5" t="str">
        <f>IFERROR(__xludf.DUMMYFUNCTION("IF(A5298="""","""",INDEX(SPLIT(A5298,"" ""),COUNTA(SPLIT(A5298,"" ""))))"),"Ponza")</f>
        <v>Ponza</v>
      </c>
      <c r="C5298" s="6"/>
      <c r="D5298" s="6" t="s">
        <v>5356</v>
      </c>
      <c r="E5298" s="7" t="s">
        <v>5357</v>
      </c>
    </row>
    <row r="5299">
      <c r="A5299" s="4" t="s">
        <v>5374</v>
      </c>
      <c r="B5299" s="5" t="str">
        <f>IFERROR(__xludf.DUMMYFUNCTION("IF(A5299="""","""",INDEX(SPLIT(A5299,"" ""),COUNTA(SPLIT(A5299,"" ""))))"),"Priverno")</f>
        <v>Priverno</v>
      </c>
      <c r="C5299" s="6"/>
      <c r="D5299" s="6" t="s">
        <v>5356</v>
      </c>
      <c r="E5299" s="7" t="s">
        <v>5357</v>
      </c>
    </row>
    <row r="5300">
      <c r="A5300" s="4" t="s">
        <v>5375</v>
      </c>
      <c r="B5300" s="5" t="str">
        <f>IFERROR(__xludf.DUMMYFUNCTION("IF(A5300="""","""",INDEX(SPLIT(A5300,"" ""),COUNTA(SPLIT(A5300,"" ""))))"),"Prossedi")</f>
        <v>Prossedi</v>
      </c>
      <c r="C5300" s="6"/>
      <c r="D5300" s="6" t="s">
        <v>5356</v>
      </c>
      <c r="E5300" s="7" t="s">
        <v>5357</v>
      </c>
    </row>
    <row r="5301">
      <c r="A5301" s="4" t="s">
        <v>5376</v>
      </c>
      <c r="B5301" s="5" t="str">
        <f>IFERROR(__xludf.DUMMYFUNCTION("IF(A5301="""","""",INDEX(SPLIT(A5301,"" ""),COUNTA(SPLIT(A5301,"" ""))))"),"Roccagorga")</f>
        <v>Roccagorga</v>
      </c>
      <c r="C5301" s="6"/>
      <c r="D5301" s="6" t="s">
        <v>5356</v>
      </c>
      <c r="E5301" s="7" t="s">
        <v>5357</v>
      </c>
    </row>
    <row r="5302">
      <c r="A5302" s="4" t="s">
        <v>5377</v>
      </c>
      <c r="B5302" s="5" t="str">
        <f>IFERROR(__xludf.DUMMYFUNCTION("IF(A5302="""","""",INDEX(SPLIT(A5302,"" ""),COUNTA(SPLIT(A5302,"" ""))))"),"Massima")</f>
        <v>Massima</v>
      </c>
      <c r="C5302" s="6"/>
      <c r="D5302" s="6" t="s">
        <v>5356</v>
      </c>
      <c r="E5302" s="7" t="s">
        <v>5357</v>
      </c>
    </row>
    <row r="5303">
      <c r="A5303" s="4" t="s">
        <v>5378</v>
      </c>
      <c r="B5303" s="5" t="str">
        <f>IFERROR(__xludf.DUMMYFUNCTION("IF(A5303="""","""",INDEX(SPLIT(A5303,"" ""),COUNTA(SPLIT(A5303,"" ""))))"),"Volsci")</f>
        <v>Volsci</v>
      </c>
      <c r="C5303" s="6"/>
      <c r="D5303" s="6" t="s">
        <v>5356</v>
      </c>
      <c r="E5303" s="7" t="s">
        <v>5357</v>
      </c>
    </row>
    <row r="5304">
      <c r="A5304" s="4" t="s">
        <v>5379</v>
      </c>
      <c r="B5304" s="5" t="str">
        <f>IFERROR(__xludf.DUMMYFUNCTION("IF(A5304="""","""",INDEX(SPLIT(A5304,"" ""),COUNTA(SPLIT(A5304,"" ""))))"),"Sabaudia")</f>
        <v>Sabaudia</v>
      </c>
      <c r="C5304" s="6"/>
      <c r="D5304" s="6" t="s">
        <v>5356</v>
      </c>
      <c r="E5304" s="7" t="s">
        <v>5357</v>
      </c>
    </row>
    <row r="5305">
      <c r="A5305" s="4" t="s">
        <v>5380</v>
      </c>
      <c r="B5305" s="5" t="str">
        <f>IFERROR(__xludf.DUMMYFUNCTION("IF(A5305="""","""",INDEX(SPLIT(A5305,"" ""),COUNTA(SPLIT(A5305,"" ""))))"),"Circeo")</f>
        <v>Circeo</v>
      </c>
      <c r="C5305" s="6"/>
      <c r="D5305" s="6" t="s">
        <v>5356</v>
      </c>
      <c r="E5305" s="7" t="s">
        <v>5357</v>
      </c>
    </row>
    <row r="5306">
      <c r="A5306" s="4" t="s">
        <v>5381</v>
      </c>
      <c r="B5306" s="5" t="str">
        <f>IFERROR(__xludf.DUMMYFUNCTION("IF(A5306="""","""",INDEX(SPLIT(A5306,"" ""),COUNTA(SPLIT(A5306,"" ""))))"),"Damiano")</f>
        <v>Damiano</v>
      </c>
      <c r="C5306" s="6"/>
      <c r="D5306" s="6" t="s">
        <v>5356</v>
      </c>
      <c r="E5306" s="7" t="s">
        <v>5357</v>
      </c>
    </row>
    <row r="5307">
      <c r="A5307" s="4" t="s">
        <v>5382</v>
      </c>
      <c r="B5307" s="5" t="str">
        <f>IFERROR(__xludf.DUMMYFUNCTION("IF(A5307="""","""",INDEX(SPLIT(A5307,"" ""),COUNTA(SPLIT(A5307,"" ""))))"),"Sermoneta")</f>
        <v>Sermoneta</v>
      </c>
      <c r="C5307" s="6"/>
      <c r="D5307" s="6" t="s">
        <v>5356</v>
      </c>
      <c r="E5307" s="7" t="s">
        <v>5357</v>
      </c>
    </row>
    <row r="5308">
      <c r="A5308" s="4" t="s">
        <v>5383</v>
      </c>
      <c r="B5308" s="5" t="str">
        <f>IFERROR(__xludf.DUMMYFUNCTION("IF(A5308="""","""",INDEX(SPLIT(A5308,"" ""),COUNTA(SPLIT(A5308,"" ""))))"),"Sezze")</f>
        <v>Sezze</v>
      </c>
      <c r="C5308" s="6"/>
      <c r="D5308" s="6" t="s">
        <v>5356</v>
      </c>
      <c r="E5308" s="7" t="s">
        <v>5357</v>
      </c>
    </row>
    <row r="5309">
      <c r="A5309" s="4" t="s">
        <v>5384</v>
      </c>
      <c r="B5309" s="5" t="str">
        <f>IFERROR(__xludf.DUMMYFUNCTION("IF(A5309="""","""",INDEX(SPLIT(A5309,"" ""),COUNTA(SPLIT(A5309,"" ""))))"),"Sonnino")</f>
        <v>Sonnino</v>
      </c>
      <c r="C5309" s="6"/>
      <c r="D5309" s="6" t="s">
        <v>5356</v>
      </c>
      <c r="E5309" s="7" t="s">
        <v>5357</v>
      </c>
    </row>
    <row r="5310">
      <c r="A5310" s="4" t="s">
        <v>5385</v>
      </c>
      <c r="B5310" s="5" t="str">
        <f>IFERROR(__xludf.DUMMYFUNCTION("IF(A5310="""","""",INDEX(SPLIT(A5310,"" ""),COUNTA(SPLIT(A5310,"" ""))))"),"Sperlonga")</f>
        <v>Sperlonga</v>
      </c>
      <c r="C5310" s="6"/>
      <c r="D5310" s="6" t="s">
        <v>5356</v>
      </c>
      <c r="E5310" s="7" t="s">
        <v>5357</v>
      </c>
    </row>
    <row r="5311">
      <c r="A5311" s="4" t="s">
        <v>5386</v>
      </c>
      <c r="B5311" s="5" t="str">
        <f>IFERROR(__xludf.DUMMYFUNCTION("IF(A5311="""","""",INDEX(SPLIT(A5311,"" ""),COUNTA(SPLIT(A5311,"" ""))))"),"Saturnia")</f>
        <v>Saturnia</v>
      </c>
      <c r="C5311" s="6"/>
      <c r="D5311" s="6" t="s">
        <v>5356</v>
      </c>
      <c r="E5311" s="7" t="s">
        <v>5357</v>
      </c>
    </row>
    <row r="5312">
      <c r="A5312" s="4" t="s">
        <v>5387</v>
      </c>
      <c r="B5312" s="5" t="str">
        <f>IFERROR(__xludf.DUMMYFUNCTION("IF(A5312="""","""",INDEX(SPLIT(A5312,"" ""),COUNTA(SPLIT(A5312,"" ""))))"),"Terracina")</f>
        <v>Terracina</v>
      </c>
      <c r="C5312" s="6"/>
      <c r="D5312" s="6" t="s">
        <v>5356</v>
      </c>
      <c r="E5312" s="7" t="s">
        <v>5357</v>
      </c>
    </row>
    <row r="5313">
      <c r="A5313" s="4" t="s">
        <v>5388</v>
      </c>
      <c r="B5313" s="5" t="str">
        <f>IFERROR(__xludf.DUMMYFUNCTION("IF(A5313="""","""",INDEX(SPLIT(A5313,"" ""),COUNTA(SPLIT(A5313,"" ""))))"),"Ventotene")</f>
        <v>Ventotene</v>
      </c>
      <c r="C5313" s="6"/>
      <c r="D5313" s="6" t="s">
        <v>5356</v>
      </c>
      <c r="E5313" s="7" t="s">
        <v>5357</v>
      </c>
    </row>
    <row r="5314">
      <c r="A5314" s="4" t="s">
        <v>5389</v>
      </c>
      <c r="B5314" s="5" t="str">
        <f>IFERROR(__xludf.DUMMYFUNCTION("IF(A5314="""","""",INDEX(SPLIT(A5314,"" ""),COUNTA(SPLIT(A5314,"" ""))))"),"Acquafondata")</f>
        <v>Acquafondata</v>
      </c>
      <c r="C5314" s="6"/>
      <c r="D5314" s="6" t="s">
        <v>5390</v>
      </c>
      <c r="E5314" s="7" t="s">
        <v>5391</v>
      </c>
    </row>
    <row r="5315">
      <c r="A5315" s="4" t="s">
        <v>5392</v>
      </c>
      <c r="B5315" s="5" t="str">
        <f>IFERROR(__xludf.DUMMYFUNCTION("IF(A5315="""","""",INDEX(SPLIT(A5315,"" ""),COUNTA(SPLIT(A5315,"" ""))))"),"Acuto")</f>
        <v>Acuto</v>
      </c>
      <c r="C5315" s="6"/>
      <c r="D5315" s="6" t="s">
        <v>5390</v>
      </c>
      <c r="E5315" s="7" t="s">
        <v>5391</v>
      </c>
    </row>
    <row r="5316">
      <c r="A5316" s="4" t="s">
        <v>5393</v>
      </c>
      <c r="B5316" s="5" t="str">
        <f>IFERROR(__xludf.DUMMYFUNCTION("IF(A5316="""","""",INDEX(SPLIT(A5316,"" ""),COUNTA(SPLIT(A5316,"" ""))))"),"Alatri")</f>
        <v>Alatri</v>
      </c>
      <c r="C5316" s="6"/>
      <c r="D5316" s="6" t="s">
        <v>5390</v>
      </c>
      <c r="E5316" s="7" t="s">
        <v>5391</v>
      </c>
    </row>
    <row r="5317">
      <c r="A5317" s="4" t="s">
        <v>5394</v>
      </c>
      <c r="B5317" s="5" t="str">
        <f>IFERROR(__xludf.DUMMYFUNCTION("IF(A5317="""","""",INDEX(SPLIT(A5317,"" ""),COUNTA(SPLIT(A5317,"" ""))))"),"Alvito")</f>
        <v>Alvito</v>
      </c>
      <c r="C5317" s="6"/>
      <c r="D5317" s="6" t="s">
        <v>5390</v>
      </c>
      <c r="E5317" s="7" t="s">
        <v>5391</v>
      </c>
    </row>
    <row r="5318">
      <c r="A5318" s="4" t="s">
        <v>5395</v>
      </c>
      <c r="B5318" s="5" t="str">
        <f>IFERROR(__xludf.DUMMYFUNCTION("IF(A5318="""","""",INDEX(SPLIT(A5318,"" ""),COUNTA(SPLIT(A5318,"" ""))))"),"Amaseno")</f>
        <v>Amaseno</v>
      </c>
      <c r="C5318" s="6"/>
      <c r="D5318" s="6" t="s">
        <v>5390</v>
      </c>
      <c r="E5318" s="7" t="s">
        <v>5391</v>
      </c>
    </row>
    <row r="5319">
      <c r="A5319" s="4" t="s">
        <v>5396</v>
      </c>
      <c r="B5319" s="5" t="str">
        <f>IFERROR(__xludf.DUMMYFUNCTION("IF(A5319="""","""",INDEX(SPLIT(A5319,"" ""),COUNTA(SPLIT(A5319,"" ""))))"),"Anagni")</f>
        <v>Anagni</v>
      </c>
      <c r="C5319" s="6"/>
      <c r="D5319" s="6" t="s">
        <v>5390</v>
      </c>
      <c r="E5319" s="7" t="s">
        <v>5391</v>
      </c>
    </row>
    <row r="5320">
      <c r="A5320" s="4" t="s">
        <v>5397</v>
      </c>
      <c r="B5320" s="5" t="str">
        <f>IFERROR(__xludf.DUMMYFUNCTION("IF(A5320="""","""",INDEX(SPLIT(A5320,"" ""),COUNTA(SPLIT(A5320,"" ""))))"),"Aquino")</f>
        <v>Aquino</v>
      </c>
      <c r="C5320" s="6"/>
      <c r="D5320" s="6" t="s">
        <v>5390</v>
      </c>
      <c r="E5320" s="7" t="s">
        <v>5391</v>
      </c>
    </row>
    <row r="5321">
      <c r="A5321" s="4" t="s">
        <v>5398</v>
      </c>
      <c r="B5321" s="5" t="str">
        <f>IFERROR(__xludf.DUMMYFUNCTION("IF(A5321="""","""",INDEX(SPLIT(A5321,"" ""),COUNTA(SPLIT(A5321,"" ""))))"),"Arce")</f>
        <v>Arce</v>
      </c>
      <c r="C5321" s="6"/>
      <c r="D5321" s="6" t="s">
        <v>5390</v>
      </c>
      <c r="E5321" s="7" t="s">
        <v>5391</v>
      </c>
    </row>
    <row r="5322">
      <c r="A5322" s="4" t="s">
        <v>5399</v>
      </c>
      <c r="B5322" s="5" t="str">
        <f>IFERROR(__xludf.DUMMYFUNCTION("IF(A5322="""","""",INDEX(SPLIT(A5322,"" ""),COUNTA(SPLIT(A5322,"" ""))))"),"Arnara")</f>
        <v>Arnara</v>
      </c>
      <c r="C5322" s="6"/>
      <c r="D5322" s="6" t="s">
        <v>5390</v>
      </c>
      <c r="E5322" s="7" t="s">
        <v>5391</v>
      </c>
    </row>
    <row r="5323">
      <c r="A5323" s="4" t="s">
        <v>5400</v>
      </c>
      <c r="B5323" s="5" t="str">
        <f>IFERROR(__xludf.DUMMYFUNCTION("IF(A5323="""","""",INDEX(SPLIT(A5323,"" ""),COUNTA(SPLIT(A5323,"" ""))))"),"Arpino")</f>
        <v>Arpino</v>
      </c>
      <c r="C5323" s="6"/>
      <c r="D5323" s="6" t="s">
        <v>5390</v>
      </c>
      <c r="E5323" s="7" t="s">
        <v>5391</v>
      </c>
    </row>
    <row r="5324">
      <c r="A5324" s="4" t="s">
        <v>5401</v>
      </c>
      <c r="B5324" s="5" t="str">
        <f>IFERROR(__xludf.DUMMYFUNCTION("IF(A5324="""","""",INDEX(SPLIT(A5324,"" ""),COUNTA(SPLIT(A5324,"" ""))))"),"Atina")</f>
        <v>Atina</v>
      </c>
      <c r="C5324" s="6"/>
      <c r="D5324" s="6" t="s">
        <v>5390</v>
      </c>
      <c r="E5324" s="7" t="s">
        <v>5391</v>
      </c>
    </row>
    <row r="5325">
      <c r="A5325" s="4" t="s">
        <v>5402</v>
      </c>
      <c r="B5325" s="5" t="str">
        <f>IFERROR(__xludf.DUMMYFUNCTION("IF(A5325="""","""",INDEX(SPLIT(A5325,"" ""),COUNTA(SPLIT(A5325,"" ""))))"),"Ausonia")</f>
        <v>Ausonia</v>
      </c>
      <c r="C5325" s="6"/>
      <c r="D5325" s="6" t="s">
        <v>5390</v>
      </c>
      <c r="E5325" s="7" t="s">
        <v>5391</v>
      </c>
    </row>
    <row r="5326">
      <c r="A5326" s="4" t="s">
        <v>5403</v>
      </c>
      <c r="B5326" s="5" t="str">
        <f>IFERROR(__xludf.DUMMYFUNCTION("IF(A5326="""","""",INDEX(SPLIT(A5326,"" ""),COUNTA(SPLIT(A5326,"" ""))))"),"Castello")</f>
        <v>Castello</v>
      </c>
      <c r="C5326" s="6"/>
      <c r="D5326" s="6" t="s">
        <v>5390</v>
      </c>
      <c r="E5326" s="7" t="s">
        <v>5391</v>
      </c>
    </row>
    <row r="5327">
      <c r="A5327" s="4" t="s">
        <v>5404</v>
      </c>
      <c r="B5327" s="5" t="str">
        <f>IFERROR(__xludf.DUMMYFUNCTION("IF(A5327="""","""",INDEX(SPLIT(A5327,"" ""),COUNTA(SPLIT(A5327,"" ""))))"),"Ernica")</f>
        <v>Ernica</v>
      </c>
      <c r="C5327" s="6"/>
      <c r="D5327" s="6" t="s">
        <v>5390</v>
      </c>
      <c r="E5327" s="7" t="s">
        <v>5391</v>
      </c>
    </row>
    <row r="5328">
      <c r="A5328" s="4" t="s">
        <v>5405</v>
      </c>
      <c r="B5328" s="5" t="str">
        <f>IFERROR(__xludf.DUMMYFUNCTION("IF(A5328="""","""",INDEX(SPLIT(A5328,"" ""),COUNTA(SPLIT(A5328,"" ""))))"),"Broccostella")</f>
        <v>Broccostella</v>
      </c>
      <c r="C5328" s="6"/>
      <c r="D5328" s="6" t="s">
        <v>5390</v>
      </c>
      <c r="E5328" s="7" t="s">
        <v>5391</v>
      </c>
    </row>
    <row r="5329">
      <c r="A5329" s="4" t="s">
        <v>5406</v>
      </c>
      <c r="B5329" s="5" t="str">
        <f>IFERROR(__xludf.DUMMYFUNCTION("IF(A5329="""","""",INDEX(SPLIT(A5329,"" ""),COUNTA(SPLIT(A5329,"" ""))))"),"Appennino")</f>
        <v>Appennino</v>
      </c>
      <c r="C5329" s="6"/>
      <c r="D5329" s="6" t="s">
        <v>5390</v>
      </c>
      <c r="E5329" s="7" t="s">
        <v>5391</v>
      </c>
    </row>
    <row r="5330">
      <c r="A5330" s="4" t="s">
        <v>5407</v>
      </c>
      <c r="B5330" s="5" t="str">
        <f>IFERROR(__xludf.DUMMYFUNCTION("IF(A5330="""","""",INDEX(SPLIT(A5330,"" ""),COUNTA(SPLIT(A5330,"" ""))))"),"Casalattico")</f>
        <v>Casalattico</v>
      </c>
      <c r="C5330" s="6"/>
      <c r="D5330" s="6" t="s">
        <v>5390</v>
      </c>
      <c r="E5330" s="7" t="s">
        <v>5391</v>
      </c>
    </row>
    <row r="5331">
      <c r="A5331" s="4" t="s">
        <v>5408</v>
      </c>
      <c r="B5331" s="5" t="str">
        <f>IFERROR(__xludf.DUMMYFUNCTION("IF(A5331="""","""",INDEX(SPLIT(A5331,"" ""),COUNTA(SPLIT(A5331,"" ""))))"),"Casalvieri")</f>
        <v>Casalvieri</v>
      </c>
      <c r="C5331" s="6"/>
      <c r="D5331" s="6" t="s">
        <v>5390</v>
      </c>
      <c r="E5331" s="7" t="s">
        <v>5391</v>
      </c>
    </row>
    <row r="5332">
      <c r="A5332" s="4" t="s">
        <v>5409</v>
      </c>
      <c r="B5332" s="5" t="str">
        <f>IFERROR(__xludf.DUMMYFUNCTION("IF(A5332="""","""",INDEX(SPLIT(A5332,"" ""),COUNTA(SPLIT(A5332,"" ""))))"),"Cassino")</f>
        <v>Cassino</v>
      </c>
      <c r="C5332" s="6"/>
      <c r="D5332" s="6" t="s">
        <v>5390</v>
      </c>
      <c r="E5332" s="7" t="s">
        <v>5391</v>
      </c>
    </row>
    <row r="5333">
      <c r="A5333" s="4" t="s">
        <v>5410</v>
      </c>
      <c r="B5333" s="5" t="str">
        <f>IFERROR(__xludf.DUMMYFUNCTION("IF(A5333="""","""",INDEX(SPLIT(A5333,"" ""),COUNTA(SPLIT(A5333,"" ""))))"),"Castelliri")</f>
        <v>Castelliri</v>
      </c>
      <c r="C5333" s="6"/>
      <c r="D5333" s="6" t="s">
        <v>5390</v>
      </c>
      <c r="E5333" s="7" t="s">
        <v>5391</v>
      </c>
    </row>
    <row r="5334">
      <c r="A5334" s="4" t="s">
        <v>5411</v>
      </c>
      <c r="B5334" s="5" t="str">
        <f>IFERROR(__xludf.DUMMYFUNCTION("IF(A5334="""","""",INDEX(SPLIT(A5334,"" ""),COUNTA(SPLIT(A5334,"" ""))))"),"Parano")</f>
        <v>Parano</v>
      </c>
      <c r="C5334" s="6"/>
      <c r="D5334" s="6" t="s">
        <v>5390</v>
      </c>
      <c r="E5334" s="7" t="s">
        <v>5391</v>
      </c>
    </row>
    <row r="5335">
      <c r="A5335" s="4" t="s">
        <v>5412</v>
      </c>
      <c r="B5335" s="5" t="str">
        <f>IFERROR(__xludf.DUMMYFUNCTION("IF(A5335="""","""",INDEX(SPLIT(A5335,"" ""),COUNTA(SPLIT(A5335,"" ""))))"),"Castrocielo")</f>
        <v>Castrocielo</v>
      </c>
      <c r="C5335" s="6"/>
      <c r="D5335" s="6" t="s">
        <v>5390</v>
      </c>
      <c r="E5335" s="7" t="s">
        <v>5391</v>
      </c>
    </row>
    <row r="5336">
      <c r="A5336" s="4" t="s">
        <v>5413</v>
      </c>
      <c r="B5336" s="5" t="str">
        <f>IFERROR(__xludf.DUMMYFUNCTION("IF(A5336="""","""",INDEX(SPLIT(A5336,"" ""),COUNTA(SPLIT(A5336,"" ""))))"),"Volsci")</f>
        <v>Volsci</v>
      </c>
      <c r="C5336" s="6"/>
      <c r="D5336" s="6" t="s">
        <v>5390</v>
      </c>
      <c r="E5336" s="7" t="s">
        <v>5391</v>
      </c>
    </row>
    <row r="5337">
      <c r="A5337" s="4" t="s">
        <v>5414</v>
      </c>
      <c r="B5337" s="5" t="str">
        <f>IFERROR(__xludf.DUMMYFUNCTION("IF(A5337="""","""",INDEX(SPLIT(A5337,"" ""),COUNTA(SPLIT(A5337,"" ""))))"),"Ceccano")</f>
        <v>Ceccano</v>
      </c>
      <c r="C5337" s="6"/>
      <c r="D5337" s="6" t="s">
        <v>5390</v>
      </c>
      <c r="E5337" s="7" t="s">
        <v>5391</v>
      </c>
    </row>
    <row r="5338">
      <c r="A5338" s="4" t="s">
        <v>5415</v>
      </c>
      <c r="B5338" s="5" t="str">
        <f>IFERROR(__xludf.DUMMYFUNCTION("IF(A5338="""","""",INDEX(SPLIT(A5338,"" ""),COUNTA(SPLIT(A5338,"" ""))))"),"Ceprano")</f>
        <v>Ceprano</v>
      </c>
      <c r="C5338" s="6"/>
      <c r="D5338" s="6" t="s">
        <v>5390</v>
      </c>
      <c r="E5338" s="7" t="s">
        <v>5391</v>
      </c>
    </row>
    <row r="5339">
      <c r="A5339" s="4" t="s">
        <v>5416</v>
      </c>
      <c r="B5339" s="5" t="str">
        <f>IFERROR(__xludf.DUMMYFUNCTION("IF(A5339="""","""",INDEX(SPLIT(A5339,"" ""),COUNTA(SPLIT(A5339,"" ""))))"),"Cervaro")</f>
        <v>Cervaro</v>
      </c>
      <c r="C5339" s="6"/>
      <c r="D5339" s="6" t="s">
        <v>5390</v>
      </c>
      <c r="E5339" s="7" t="s">
        <v>5391</v>
      </c>
    </row>
    <row r="5340">
      <c r="A5340" s="4" t="s">
        <v>5417</v>
      </c>
      <c r="B5340" s="5" t="str">
        <f>IFERROR(__xludf.DUMMYFUNCTION("IF(A5340="""","""",INDEX(SPLIT(A5340,"" ""),COUNTA(SPLIT(A5340,"" ""))))"),"Colfelice")</f>
        <v>Colfelice</v>
      </c>
      <c r="C5340" s="6"/>
      <c r="D5340" s="6" t="s">
        <v>5390</v>
      </c>
      <c r="E5340" s="7" t="s">
        <v>5391</v>
      </c>
    </row>
    <row r="5341">
      <c r="A5341" s="4" t="s">
        <v>5418</v>
      </c>
      <c r="B5341" s="5" t="str">
        <f>IFERROR(__xludf.DUMMYFUNCTION("IF(A5341="""","""",INDEX(SPLIT(A5341,"" ""),COUNTA(SPLIT(A5341,"" ""))))"),"Collepardo")</f>
        <v>Collepardo</v>
      </c>
      <c r="C5341" s="6"/>
      <c r="D5341" s="6" t="s">
        <v>5390</v>
      </c>
      <c r="E5341" s="7" t="s">
        <v>5391</v>
      </c>
    </row>
    <row r="5342">
      <c r="A5342" s="4" t="s">
        <v>5419</v>
      </c>
      <c r="B5342" s="5" t="str">
        <f>IFERROR(__xludf.DUMMYFUNCTION("IF(A5342="""","""",INDEX(SPLIT(A5342,"" ""),COUNTA(SPLIT(A5342,"" ""))))"),"Magno")</f>
        <v>Magno</v>
      </c>
      <c r="C5342" s="6"/>
      <c r="D5342" s="6" t="s">
        <v>5390</v>
      </c>
      <c r="E5342" s="7" t="s">
        <v>5391</v>
      </c>
    </row>
    <row r="5343">
      <c r="A5343" s="4" t="s">
        <v>5420</v>
      </c>
      <c r="B5343" s="5" t="str">
        <f>IFERROR(__xludf.DUMMYFUNCTION("IF(A5343="""","""",INDEX(SPLIT(A5343,"" ""),COUNTA(SPLIT(A5343,"" ""))))"),"Ausonio")</f>
        <v>Ausonio</v>
      </c>
      <c r="C5343" s="6"/>
      <c r="D5343" s="6" t="s">
        <v>5390</v>
      </c>
      <c r="E5343" s="7" t="s">
        <v>5391</v>
      </c>
    </row>
    <row r="5344">
      <c r="A5344" s="4" t="s">
        <v>5421</v>
      </c>
      <c r="B5344" s="5" t="str">
        <f>IFERROR(__xludf.DUMMYFUNCTION("IF(A5344="""","""",INDEX(SPLIT(A5344,"" ""),COUNTA(SPLIT(A5344,"" ""))))"),"Esperia")</f>
        <v>Esperia</v>
      </c>
      <c r="C5344" s="6"/>
      <c r="D5344" s="6" t="s">
        <v>5390</v>
      </c>
      <c r="E5344" s="7" t="s">
        <v>5391</v>
      </c>
    </row>
    <row r="5345">
      <c r="A5345" s="4" t="s">
        <v>5422</v>
      </c>
      <c r="B5345" s="5" t="str">
        <f>IFERROR(__xludf.DUMMYFUNCTION("IF(A5345="""","""",INDEX(SPLIT(A5345,"" ""),COUNTA(SPLIT(A5345,"" ""))))"),"Falvaterra")</f>
        <v>Falvaterra</v>
      </c>
      <c r="C5345" s="6"/>
      <c r="D5345" s="6" t="s">
        <v>5390</v>
      </c>
      <c r="E5345" s="7" t="s">
        <v>5391</v>
      </c>
    </row>
    <row r="5346">
      <c r="A5346" s="4" t="s">
        <v>5423</v>
      </c>
      <c r="B5346" s="5" t="str">
        <f>IFERROR(__xludf.DUMMYFUNCTION("IF(A5346="""","""",INDEX(SPLIT(A5346,"" ""),COUNTA(SPLIT(A5346,"" ""))))"),"Ferentino")</f>
        <v>Ferentino</v>
      </c>
      <c r="C5346" s="6"/>
      <c r="D5346" s="6" t="s">
        <v>5390</v>
      </c>
      <c r="E5346" s="7" t="s">
        <v>5391</v>
      </c>
    </row>
    <row r="5347">
      <c r="A5347" s="4" t="s">
        <v>5424</v>
      </c>
      <c r="B5347" s="5" t="str">
        <f>IFERROR(__xludf.DUMMYFUNCTION("IF(A5347="""","""",INDEX(SPLIT(A5347,"" ""),COUNTA(SPLIT(A5347,"" ""))))"),"Filettino")</f>
        <v>Filettino</v>
      </c>
      <c r="C5347" s="6"/>
      <c r="D5347" s="6" t="s">
        <v>5390</v>
      </c>
      <c r="E5347" s="7" t="s">
        <v>5391</v>
      </c>
    </row>
    <row r="5348">
      <c r="A5348" s="4" t="s">
        <v>5425</v>
      </c>
      <c r="B5348" s="5" t="str">
        <f>IFERROR(__xludf.DUMMYFUNCTION("IF(A5348="""","""",INDEX(SPLIT(A5348,"" ""),COUNTA(SPLIT(A5348,"" ""))))"),"Fiuggi")</f>
        <v>Fiuggi</v>
      </c>
      <c r="C5348" s="6"/>
      <c r="D5348" s="6" t="s">
        <v>5390</v>
      </c>
      <c r="E5348" s="7" t="s">
        <v>5391</v>
      </c>
    </row>
    <row r="5349">
      <c r="A5349" s="4" t="s">
        <v>5426</v>
      </c>
      <c r="B5349" s="5" t="str">
        <f>IFERROR(__xludf.DUMMYFUNCTION("IF(A5349="""","""",INDEX(SPLIT(A5349,"" ""),COUNTA(SPLIT(A5349,"" ""))))"),"Liri")</f>
        <v>Liri</v>
      </c>
      <c r="C5349" s="6"/>
      <c r="D5349" s="6" t="s">
        <v>5390</v>
      </c>
      <c r="E5349" s="7" t="s">
        <v>5391</v>
      </c>
    </row>
    <row r="5350">
      <c r="A5350" s="4" t="s">
        <v>5427</v>
      </c>
      <c r="B5350" s="5" t="str">
        <f>IFERROR(__xludf.DUMMYFUNCTION("IF(A5350="""","""",INDEX(SPLIT(A5350,"" ""),COUNTA(SPLIT(A5350,"" ""))))"),"Fontechiari")</f>
        <v>Fontechiari</v>
      </c>
      <c r="C5350" s="6"/>
      <c r="D5350" s="6" t="s">
        <v>5390</v>
      </c>
      <c r="E5350" s="7" t="s">
        <v>5391</v>
      </c>
    </row>
    <row r="5351">
      <c r="A5351" s="4" t="s">
        <v>5390</v>
      </c>
      <c r="B5351" s="5" t="str">
        <f>IFERROR(__xludf.DUMMYFUNCTION("IF(A5351="""","""",INDEX(SPLIT(A5351,"" ""),COUNTA(SPLIT(A5351,"" ""))))"),"Frosinone")</f>
        <v>Frosinone</v>
      </c>
      <c r="C5351" s="6"/>
      <c r="D5351" s="6" t="s">
        <v>5390</v>
      </c>
      <c r="E5351" s="7" t="s">
        <v>5391</v>
      </c>
    </row>
    <row r="5352">
      <c r="A5352" s="4" t="s">
        <v>5428</v>
      </c>
      <c r="B5352" s="5" t="str">
        <f>IFERROR(__xludf.DUMMYFUNCTION("IF(A5352="""","""",INDEX(SPLIT(A5352,"" ""),COUNTA(SPLIT(A5352,"" ""))))"),"Fumone")</f>
        <v>Fumone</v>
      </c>
      <c r="C5352" s="6"/>
      <c r="D5352" s="6" t="s">
        <v>5390</v>
      </c>
      <c r="E5352" s="7" t="s">
        <v>5391</v>
      </c>
    </row>
    <row r="5353">
      <c r="A5353" s="4" t="s">
        <v>5429</v>
      </c>
      <c r="B5353" s="5" t="str">
        <f>IFERROR(__xludf.DUMMYFUNCTION("IF(A5353="""","""",INDEX(SPLIT(A5353,"" ""),COUNTA(SPLIT(A5353,"" ""))))"),"Gallinaro")</f>
        <v>Gallinaro</v>
      </c>
      <c r="C5353" s="6"/>
      <c r="D5353" s="6" t="s">
        <v>5390</v>
      </c>
      <c r="E5353" s="7" t="s">
        <v>5391</v>
      </c>
    </row>
    <row r="5354">
      <c r="A5354" s="4" t="s">
        <v>5430</v>
      </c>
      <c r="B5354" s="5" t="str">
        <f>IFERROR(__xludf.DUMMYFUNCTION("IF(A5354="""","""",INDEX(SPLIT(A5354,"" ""),COUNTA(SPLIT(A5354,"" ""))))"),"Roma")</f>
        <v>Roma</v>
      </c>
      <c r="C5354" s="6"/>
      <c r="D5354" s="6" t="s">
        <v>5390</v>
      </c>
      <c r="E5354" s="7" t="s">
        <v>5391</v>
      </c>
    </row>
    <row r="5355">
      <c r="A5355" s="4" t="s">
        <v>5431</v>
      </c>
      <c r="B5355" s="5" t="str">
        <f>IFERROR(__xludf.DUMMYFUNCTION("IF(A5355="""","""",INDEX(SPLIT(A5355,"" ""),COUNTA(SPLIT(A5355,"" ""))))"),"Guarcino")</f>
        <v>Guarcino</v>
      </c>
      <c r="C5355" s="6"/>
      <c r="D5355" s="6" t="s">
        <v>5390</v>
      </c>
      <c r="E5355" s="7" t="s">
        <v>5391</v>
      </c>
    </row>
    <row r="5356">
      <c r="A5356" s="4" t="s">
        <v>5432</v>
      </c>
      <c r="B5356" s="5" t="str">
        <f>IFERROR(__xludf.DUMMYFUNCTION("IF(A5356="""","""",INDEX(SPLIT(A5356,"" ""),COUNTA(SPLIT(A5356,"" ""))))"),"Liri")</f>
        <v>Liri</v>
      </c>
      <c r="C5356" s="6"/>
      <c r="D5356" s="6" t="s">
        <v>5390</v>
      </c>
      <c r="E5356" s="7" t="s">
        <v>5391</v>
      </c>
    </row>
    <row r="5357">
      <c r="A5357" s="4" t="s">
        <v>5433</v>
      </c>
      <c r="B5357" s="5" t="str">
        <f>IFERROR(__xludf.DUMMYFUNCTION("IF(A5357="""","""",INDEX(SPLIT(A5357,"" ""),COUNTA(SPLIT(A5357,"" ""))))"),"Campano")</f>
        <v>Campano</v>
      </c>
      <c r="C5357" s="6"/>
      <c r="D5357" s="6" t="s">
        <v>5390</v>
      </c>
      <c r="E5357" s="7" t="s">
        <v>5391</v>
      </c>
    </row>
    <row r="5358">
      <c r="A5358" s="4" t="s">
        <v>5434</v>
      </c>
      <c r="B5358" s="5" t="str">
        <f>IFERROR(__xludf.DUMMYFUNCTION("IF(A5358="""","""",INDEX(SPLIT(A5358,"" ""),COUNTA(SPLIT(A5358,"" ""))))"),"Morolo")</f>
        <v>Morolo</v>
      </c>
      <c r="C5358" s="6"/>
      <c r="D5358" s="6" t="s">
        <v>5390</v>
      </c>
      <c r="E5358" s="7" t="s">
        <v>5391</v>
      </c>
    </row>
    <row r="5359">
      <c r="A5359" s="4" t="s">
        <v>5435</v>
      </c>
      <c r="B5359" s="5" t="str">
        <f>IFERROR(__xludf.DUMMYFUNCTION("IF(A5359="""","""",INDEX(SPLIT(A5359,"" ""),COUNTA(SPLIT(A5359,"" ""))))"),"Paliano")</f>
        <v>Paliano</v>
      </c>
      <c r="C5359" s="6"/>
      <c r="D5359" s="6" t="s">
        <v>5390</v>
      </c>
      <c r="E5359" s="7" t="s">
        <v>5391</v>
      </c>
    </row>
    <row r="5360">
      <c r="A5360" s="4" t="s">
        <v>5436</v>
      </c>
      <c r="B5360" s="5" t="str">
        <f>IFERROR(__xludf.DUMMYFUNCTION("IF(A5360="""","""",INDEX(SPLIT(A5360,"" ""),COUNTA(SPLIT(A5360,"" ""))))"),"Pastena")</f>
        <v>Pastena</v>
      </c>
      <c r="C5360" s="6"/>
      <c r="D5360" s="6" t="s">
        <v>5390</v>
      </c>
      <c r="E5360" s="7" t="s">
        <v>5391</v>
      </c>
    </row>
    <row r="5361">
      <c r="A5361" s="4" t="s">
        <v>5437</v>
      </c>
      <c r="B5361" s="5" t="str">
        <f>IFERROR(__xludf.DUMMYFUNCTION("IF(A5361="""","""",INDEX(SPLIT(A5361,"" ""),COUNTA(SPLIT(A5361,"" ""))))"),"Patrica")</f>
        <v>Patrica</v>
      </c>
      <c r="C5361" s="6"/>
      <c r="D5361" s="6" t="s">
        <v>5390</v>
      </c>
      <c r="E5361" s="7" t="s">
        <v>5391</v>
      </c>
    </row>
    <row r="5362">
      <c r="A5362" s="4" t="s">
        <v>5438</v>
      </c>
      <c r="B5362" s="5" t="str">
        <f>IFERROR(__xludf.DUMMYFUNCTION("IF(A5362="""","""",INDEX(SPLIT(A5362,"" ""),COUNTA(SPLIT(A5362,"" ""))))"),"Pescosolido")</f>
        <v>Pescosolido</v>
      </c>
      <c r="C5362" s="6"/>
      <c r="D5362" s="6" t="s">
        <v>5390</v>
      </c>
      <c r="E5362" s="7" t="s">
        <v>5391</v>
      </c>
    </row>
    <row r="5363">
      <c r="A5363" s="4" t="s">
        <v>5439</v>
      </c>
      <c r="B5363" s="5" t="str">
        <f>IFERROR(__xludf.DUMMYFUNCTION("IF(A5363="""","""",INDEX(SPLIT(A5363,"" ""),COUNTA(SPLIT(A5363,"" ""))))"),"Picinisco")</f>
        <v>Picinisco</v>
      </c>
      <c r="C5363" s="6"/>
      <c r="D5363" s="6" t="s">
        <v>5390</v>
      </c>
      <c r="E5363" s="7" t="s">
        <v>5391</v>
      </c>
    </row>
    <row r="5364">
      <c r="A5364" s="4" t="s">
        <v>5440</v>
      </c>
      <c r="B5364" s="5" t="str">
        <f>IFERROR(__xludf.DUMMYFUNCTION("IF(A5364="""","""",INDEX(SPLIT(A5364,"" ""),COUNTA(SPLIT(A5364,"" ""))))"),"Pico")</f>
        <v>Pico</v>
      </c>
      <c r="C5364" s="6"/>
      <c r="D5364" s="6" t="s">
        <v>5390</v>
      </c>
      <c r="E5364" s="7" t="s">
        <v>5391</v>
      </c>
    </row>
    <row r="5365">
      <c r="A5365" s="4" t="s">
        <v>5441</v>
      </c>
      <c r="B5365" s="5" t="str">
        <f>IFERROR(__xludf.DUMMYFUNCTION("IF(A5365="""","""",INDEX(SPLIT(A5365,"" ""),COUNTA(SPLIT(A5365,"" ""))))"),"Germano")</f>
        <v>Germano</v>
      </c>
      <c r="C5365" s="6"/>
      <c r="D5365" s="6" t="s">
        <v>5390</v>
      </c>
      <c r="E5365" s="7" t="s">
        <v>5391</v>
      </c>
    </row>
    <row r="5366">
      <c r="A5366" s="4" t="s">
        <v>5442</v>
      </c>
      <c r="B5366" s="5" t="str">
        <f>IFERROR(__xludf.DUMMYFUNCTION("IF(A5366="""","""",INDEX(SPLIT(A5366,"" ""),COUNTA(SPLIT(A5366,"" ""))))"),"Piglio")</f>
        <v>Piglio</v>
      </c>
      <c r="C5366" s="6"/>
      <c r="D5366" s="6" t="s">
        <v>5390</v>
      </c>
      <c r="E5366" s="7" t="s">
        <v>5391</v>
      </c>
    </row>
    <row r="5367">
      <c r="A5367" s="4" t="s">
        <v>5443</v>
      </c>
      <c r="B5367" s="5" t="str">
        <f>IFERROR(__xludf.DUMMYFUNCTION("IF(A5367="""","""",INDEX(SPLIT(A5367,"" ""),COUNTA(SPLIT(A5367,"" ""))))"),"Interamna")</f>
        <v>Interamna</v>
      </c>
      <c r="C5367" s="6"/>
      <c r="D5367" s="6" t="s">
        <v>5390</v>
      </c>
      <c r="E5367" s="7" t="s">
        <v>5391</v>
      </c>
    </row>
    <row r="5368">
      <c r="A5368" s="4" t="s">
        <v>5444</v>
      </c>
      <c r="B5368" s="5" t="str">
        <f>IFERROR(__xludf.DUMMYFUNCTION("IF(A5368="""","""",INDEX(SPLIT(A5368,"" ""),COUNTA(SPLIT(A5368,"" ""))))"),"Pofi")</f>
        <v>Pofi</v>
      </c>
      <c r="C5368" s="6"/>
      <c r="D5368" s="6" t="s">
        <v>5390</v>
      </c>
      <c r="E5368" s="7" t="s">
        <v>5391</v>
      </c>
    </row>
    <row r="5369">
      <c r="A5369" s="4" t="s">
        <v>5445</v>
      </c>
      <c r="B5369" s="5" t="str">
        <f>IFERROR(__xludf.DUMMYFUNCTION("IF(A5369="""","""",INDEX(SPLIT(A5369,"" ""),COUNTA(SPLIT(A5369,"" ""))))"),"Pontecorvo")</f>
        <v>Pontecorvo</v>
      </c>
      <c r="C5369" s="6"/>
      <c r="D5369" s="6" t="s">
        <v>5390</v>
      </c>
      <c r="E5369" s="7" t="s">
        <v>5391</v>
      </c>
    </row>
    <row r="5370">
      <c r="A5370" s="4" t="s">
        <v>5446</v>
      </c>
      <c r="B5370" s="5" t="str">
        <f>IFERROR(__xludf.DUMMYFUNCTION("IF(A5370="""","""",INDEX(SPLIT(A5370,"" ""),COUNTA(SPLIT(A5370,"" ""))))"),"Fibreno")</f>
        <v>Fibreno</v>
      </c>
      <c r="C5370" s="6"/>
      <c r="D5370" s="6" t="s">
        <v>5390</v>
      </c>
      <c r="E5370" s="7" t="s">
        <v>5391</v>
      </c>
    </row>
    <row r="5371">
      <c r="A5371" s="4" t="s">
        <v>5447</v>
      </c>
      <c r="B5371" s="5" t="str">
        <f>IFERROR(__xludf.DUMMYFUNCTION("IF(A5371="""","""",INDEX(SPLIT(A5371,"" ""),COUNTA(SPLIT(A5371,"" ""))))"),"Ripi")</f>
        <v>Ripi</v>
      </c>
      <c r="C5371" s="6"/>
      <c r="D5371" s="6" t="s">
        <v>5390</v>
      </c>
      <c r="E5371" s="7" t="s">
        <v>5391</v>
      </c>
    </row>
    <row r="5372">
      <c r="A5372" s="4" t="s">
        <v>5448</v>
      </c>
      <c r="B5372" s="5" t="str">
        <f>IFERROR(__xludf.DUMMYFUNCTION("IF(A5372="""","""",INDEX(SPLIT(A5372,"" ""),COUNTA(SPLIT(A5372,"" ""))))"),"d'Arce")</f>
        <v>d'Arce</v>
      </c>
      <c r="C5372" s="6"/>
      <c r="D5372" s="6" t="s">
        <v>5390</v>
      </c>
      <c r="E5372" s="7" t="s">
        <v>5391</v>
      </c>
    </row>
    <row r="5373">
      <c r="A5373" s="4" t="s">
        <v>5449</v>
      </c>
      <c r="B5373" s="5" t="str">
        <f>IFERROR(__xludf.DUMMYFUNCTION("IF(A5373="""","""",INDEX(SPLIT(A5373,"" ""),COUNTA(SPLIT(A5373,"" ""))))"),"Roccasecca")</f>
        <v>Roccasecca</v>
      </c>
      <c r="C5373" s="6"/>
      <c r="D5373" s="6" t="s">
        <v>5390</v>
      </c>
      <c r="E5373" s="7" t="s">
        <v>5391</v>
      </c>
    </row>
    <row r="5374">
      <c r="A5374" s="4" t="s">
        <v>5450</v>
      </c>
      <c r="B5374" s="5" t="str">
        <f>IFERROR(__xludf.DUMMYFUNCTION("IF(A5374="""","""",INDEX(SPLIT(A5374,"" ""),COUNTA(SPLIT(A5374,"" ""))))"),"Saracinisco")</f>
        <v>Saracinisco</v>
      </c>
      <c r="C5374" s="6"/>
      <c r="D5374" s="6" t="s">
        <v>5390</v>
      </c>
      <c r="E5374" s="7" t="s">
        <v>5391</v>
      </c>
    </row>
    <row r="5375">
      <c r="A5375" s="4" t="s">
        <v>5451</v>
      </c>
      <c r="B5375" s="5" t="str">
        <f>IFERROR(__xludf.DUMMYFUNCTION("IF(A5375="""","""",INDEX(SPLIT(A5375,"" ""),COUNTA(SPLIT(A5375,"" ""))))"),"Comino")</f>
        <v>Comino</v>
      </c>
      <c r="C5375" s="6"/>
      <c r="D5375" s="6" t="s">
        <v>5390</v>
      </c>
      <c r="E5375" s="7" t="s">
        <v>5391</v>
      </c>
    </row>
    <row r="5376">
      <c r="A5376" s="4" t="s">
        <v>5452</v>
      </c>
      <c r="B5376" s="5" t="str">
        <f>IFERROR(__xludf.DUMMYFUNCTION("IF(A5376="""","""",INDEX(SPLIT(A5376,"" ""),COUNTA(SPLIT(A5376,"" ""))))"),"Liri")</f>
        <v>Liri</v>
      </c>
      <c r="C5376" s="6"/>
      <c r="D5376" s="6" t="s">
        <v>5390</v>
      </c>
      <c r="E5376" s="7" t="s">
        <v>5391</v>
      </c>
    </row>
    <row r="5377">
      <c r="A5377" s="4" t="s">
        <v>5453</v>
      </c>
      <c r="B5377" s="5" t="str">
        <f>IFERROR(__xludf.DUMMYFUNCTION("IF(A5377="""","""",INDEX(SPLIT(A5377,"" ""),COUNTA(SPLIT(A5377,"" ""))))"),"Incarico")</f>
        <v>Incarico</v>
      </c>
      <c r="C5377" s="6"/>
      <c r="D5377" s="6" t="s">
        <v>5390</v>
      </c>
      <c r="E5377" s="7" t="s">
        <v>5391</v>
      </c>
    </row>
    <row r="5378">
      <c r="A5378" s="4" t="s">
        <v>5454</v>
      </c>
      <c r="B5378" s="5" t="str">
        <f>IFERROR(__xludf.DUMMYFUNCTION("IF(A5378="""","""",INDEX(SPLIT(A5378,"" ""),COUNTA(SPLIT(A5378,"" ""))))"),"Garigliano")</f>
        <v>Garigliano</v>
      </c>
      <c r="C5378" s="6"/>
      <c r="D5378" s="6" t="s">
        <v>5390</v>
      </c>
      <c r="E5378" s="7" t="s">
        <v>5391</v>
      </c>
    </row>
    <row r="5379">
      <c r="A5379" s="4" t="s">
        <v>5455</v>
      </c>
      <c r="B5379" s="5" t="str">
        <f>IFERROR(__xludf.DUMMYFUNCTION("IF(A5379="""","""",INDEX(SPLIT(A5379,"" ""),COUNTA(SPLIT(A5379,"" ""))))"),"Garigliano")</f>
        <v>Garigliano</v>
      </c>
      <c r="C5379" s="6"/>
      <c r="D5379" s="6" t="s">
        <v>5390</v>
      </c>
      <c r="E5379" s="7" t="s">
        <v>5391</v>
      </c>
    </row>
    <row r="5380">
      <c r="A5380" s="4" t="s">
        <v>5456</v>
      </c>
      <c r="B5380" s="5" t="str">
        <f>IFERROR(__xludf.DUMMYFUNCTION("IF(A5380="""","""",INDEX(SPLIT(A5380,"" ""),COUNTA(SPLIT(A5380,"" ""))))"),"Sant'Apollinare")</f>
        <v>Sant'Apollinare</v>
      </c>
      <c r="C5380" s="6"/>
      <c r="D5380" s="6" t="s">
        <v>5390</v>
      </c>
      <c r="E5380" s="7" t="s">
        <v>5391</v>
      </c>
    </row>
    <row r="5381">
      <c r="A5381" s="4" t="s">
        <v>5457</v>
      </c>
      <c r="B5381" s="5" t="str">
        <f>IFERROR(__xludf.DUMMYFUNCTION("IF(A5381="""","""",INDEX(SPLIT(A5381,"" ""),COUNTA(SPLIT(A5381,"" ""))))"),"Fiumerapido")</f>
        <v>Fiumerapido</v>
      </c>
      <c r="C5381" s="6"/>
      <c r="D5381" s="6" t="s">
        <v>5390</v>
      </c>
      <c r="E5381" s="7" t="s">
        <v>5391</v>
      </c>
    </row>
    <row r="5382">
      <c r="A5382" s="4" t="s">
        <v>5458</v>
      </c>
      <c r="B5382" s="5" t="str">
        <f>IFERROR(__xludf.DUMMYFUNCTION("IF(A5382="""","""",INDEX(SPLIT(A5382,"" ""),COUNTA(SPLIT(A5382,"" ""))))"),"Santopadre")</f>
        <v>Santopadre</v>
      </c>
      <c r="C5382" s="6"/>
      <c r="D5382" s="6" t="s">
        <v>5390</v>
      </c>
      <c r="E5382" s="7" t="s">
        <v>5391</v>
      </c>
    </row>
    <row r="5383">
      <c r="A5383" s="4" t="s">
        <v>5459</v>
      </c>
      <c r="B5383" s="5" t="str">
        <f>IFERROR(__xludf.DUMMYFUNCTION("IF(A5383="""","""",INDEX(SPLIT(A5383,"" ""),COUNTA(SPLIT(A5383,"" ""))))"),"Lazio")</f>
        <v>Lazio</v>
      </c>
      <c r="C5383" s="6"/>
      <c r="D5383" s="6" t="s">
        <v>5390</v>
      </c>
      <c r="E5383" s="7" t="s">
        <v>5391</v>
      </c>
    </row>
    <row r="5384">
      <c r="A5384" s="4" t="s">
        <v>5460</v>
      </c>
      <c r="B5384" s="5" t="str">
        <f>IFERROR(__xludf.DUMMYFUNCTION("IF(A5384="""","""",INDEX(SPLIT(A5384,"" ""),COUNTA(SPLIT(A5384,"" ""))))"),"Serrone")</f>
        <v>Serrone</v>
      </c>
      <c r="C5384" s="6"/>
      <c r="D5384" s="6" t="s">
        <v>5390</v>
      </c>
      <c r="E5384" s="7" t="s">
        <v>5391</v>
      </c>
    </row>
    <row r="5385">
      <c r="A5385" s="4" t="s">
        <v>5461</v>
      </c>
      <c r="B5385" s="5" t="str">
        <f>IFERROR(__xludf.DUMMYFUNCTION("IF(A5385="""","""",INDEX(SPLIT(A5385,"" ""),COUNTA(SPLIT(A5385,"" ""))))"),"Settefrati")</f>
        <v>Settefrati</v>
      </c>
      <c r="C5385" s="6"/>
      <c r="D5385" s="6" t="s">
        <v>5390</v>
      </c>
      <c r="E5385" s="7" t="s">
        <v>5391</v>
      </c>
    </row>
    <row r="5386">
      <c r="A5386" s="4" t="s">
        <v>5462</v>
      </c>
      <c r="B5386" s="5" t="str">
        <f>IFERROR(__xludf.DUMMYFUNCTION("IF(A5386="""","""",INDEX(SPLIT(A5386,"" ""),COUNTA(SPLIT(A5386,"" ""))))"),"Sgurgola")</f>
        <v>Sgurgola</v>
      </c>
      <c r="C5386" s="6"/>
      <c r="D5386" s="6" t="s">
        <v>5390</v>
      </c>
      <c r="E5386" s="7" t="s">
        <v>5391</v>
      </c>
    </row>
    <row r="5387">
      <c r="A5387" s="4" t="s">
        <v>5463</v>
      </c>
      <c r="B5387" s="5" t="str">
        <f>IFERROR(__xludf.DUMMYFUNCTION("IF(A5387="""","""",INDEX(SPLIT(A5387,"" ""),COUNTA(SPLIT(A5387,"" ""))))"),"Sora")</f>
        <v>Sora</v>
      </c>
      <c r="C5387" s="6"/>
      <c r="D5387" s="6" t="s">
        <v>5390</v>
      </c>
      <c r="E5387" s="7" t="s">
        <v>5391</v>
      </c>
    </row>
    <row r="5388">
      <c r="A5388" s="4" t="s">
        <v>5464</v>
      </c>
      <c r="B5388" s="5" t="str">
        <f>IFERROR(__xludf.DUMMYFUNCTION("IF(A5388="""","""",INDEX(SPLIT(A5388,"" ""),COUNTA(SPLIT(A5388,"" ""))))"),"Strangolagalli")</f>
        <v>Strangolagalli</v>
      </c>
      <c r="C5388" s="6"/>
      <c r="D5388" s="6" t="s">
        <v>5390</v>
      </c>
      <c r="E5388" s="7" t="s">
        <v>5391</v>
      </c>
    </row>
    <row r="5389">
      <c r="A5389" s="4" t="s">
        <v>5465</v>
      </c>
      <c r="B5389" s="5" t="str">
        <f>IFERROR(__xludf.DUMMYFUNCTION("IF(A5389="""","""",INDEX(SPLIT(A5389,"" ""),COUNTA(SPLIT(A5389,"" ""))))"),"Supino")</f>
        <v>Supino</v>
      </c>
      <c r="C5389" s="6"/>
      <c r="D5389" s="6" t="s">
        <v>5390</v>
      </c>
      <c r="E5389" s="7" t="s">
        <v>5391</v>
      </c>
    </row>
    <row r="5390">
      <c r="A5390" s="4" t="s">
        <v>5466</v>
      </c>
      <c r="B5390" s="5" t="str">
        <f>IFERROR(__xludf.DUMMYFUNCTION("IF(A5390="""","""",INDEX(SPLIT(A5390,"" ""),COUNTA(SPLIT(A5390,"" ""))))"),"Terelle")</f>
        <v>Terelle</v>
      </c>
      <c r="C5390" s="6"/>
      <c r="D5390" s="6" t="s">
        <v>5390</v>
      </c>
      <c r="E5390" s="7" t="s">
        <v>5391</v>
      </c>
    </row>
    <row r="5391">
      <c r="A5391" s="4" t="s">
        <v>5467</v>
      </c>
      <c r="B5391" s="5" t="str">
        <f>IFERROR(__xludf.DUMMYFUNCTION("IF(A5391="""","""",INDEX(SPLIT(A5391,"" ""),COUNTA(SPLIT(A5391,"" ""))))"),"Cajetani")</f>
        <v>Cajetani</v>
      </c>
      <c r="C5391" s="6"/>
      <c r="D5391" s="6" t="s">
        <v>5390</v>
      </c>
      <c r="E5391" s="7" t="s">
        <v>5391</v>
      </c>
    </row>
    <row r="5392">
      <c r="A5392" s="4" t="s">
        <v>5468</v>
      </c>
      <c r="B5392" s="5" t="str">
        <f>IFERROR(__xludf.DUMMYFUNCTION("IF(A5392="""","""",INDEX(SPLIT(A5392,"" ""),COUNTA(SPLIT(A5392,"" ""))))"),"Torrice")</f>
        <v>Torrice</v>
      </c>
      <c r="C5392" s="6"/>
      <c r="D5392" s="6" t="s">
        <v>5390</v>
      </c>
      <c r="E5392" s="7" t="s">
        <v>5391</v>
      </c>
    </row>
    <row r="5393">
      <c r="A5393" s="4" t="s">
        <v>5469</v>
      </c>
      <c r="B5393" s="5" t="str">
        <f>IFERROR(__xludf.DUMMYFUNCTION("IF(A5393="""","""",INDEX(SPLIT(A5393,"" ""),COUNTA(SPLIT(A5393,"" ""))))"),"Lazio")</f>
        <v>Lazio</v>
      </c>
      <c r="C5393" s="6"/>
      <c r="D5393" s="6" t="s">
        <v>5390</v>
      </c>
      <c r="E5393" s="7" t="s">
        <v>5391</v>
      </c>
    </row>
    <row r="5394">
      <c r="A5394" s="4" t="s">
        <v>5470</v>
      </c>
      <c r="B5394" s="5" t="str">
        <f>IFERROR(__xludf.DUMMYFUNCTION("IF(A5394="""","""",INDEX(SPLIT(A5394,"" ""),COUNTA(SPLIT(A5394,"" ""))))"),"Trivigliano")</f>
        <v>Trivigliano</v>
      </c>
      <c r="C5394" s="6"/>
      <c r="D5394" s="6" t="s">
        <v>5390</v>
      </c>
      <c r="E5394" s="7" t="s">
        <v>5391</v>
      </c>
    </row>
    <row r="5395">
      <c r="A5395" s="4" t="s">
        <v>5471</v>
      </c>
      <c r="B5395" s="5" t="str">
        <f>IFERROR(__xludf.DUMMYFUNCTION("IF(A5395="""","""",INDEX(SPLIT(A5395,"" ""),COUNTA(SPLIT(A5395,"" ""))))"),"Vallecorsa")</f>
        <v>Vallecorsa</v>
      </c>
      <c r="C5395" s="6"/>
      <c r="D5395" s="6" t="s">
        <v>5390</v>
      </c>
      <c r="E5395" s="7" t="s">
        <v>5391</v>
      </c>
    </row>
    <row r="5396">
      <c r="A5396" s="4" t="s">
        <v>5472</v>
      </c>
      <c r="B5396" s="5" t="str">
        <f>IFERROR(__xludf.DUMMYFUNCTION("IF(A5396="""","""",INDEX(SPLIT(A5396,"" ""),COUNTA(SPLIT(A5396,"" ""))))"),"Vallemaio")</f>
        <v>Vallemaio</v>
      </c>
      <c r="C5396" s="6"/>
      <c r="D5396" s="6" t="s">
        <v>5390</v>
      </c>
      <c r="E5396" s="7" t="s">
        <v>5391</v>
      </c>
    </row>
    <row r="5397">
      <c r="A5397" s="4" t="s">
        <v>5473</v>
      </c>
      <c r="B5397" s="5" t="str">
        <f>IFERROR(__xludf.DUMMYFUNCTION("IF(A5397="""","""",INDEX(SPLIT(A5397,"" ""),COUNTA(SPLIT(A5397,"" ""))))"),"Vallerotonda")</f>
        <v>Vallerotonda</v>
      </c>
      <c r="C5397" s="6"/>
      <c r="D5397" s="6" t="s">
        <v>5390</v>
      </c>
      <c r="E5397" s="7" t="s">
        <v>5391</v>
      </c>
    </row>
    <row r="5398">
      <c r="A5398" s="4" t="s">
        <v>5474</v>
      </c>
      <c r="B5398" s="5" t="str">
        <f>IFERROR(__xludf.DUMMYFUNCTION("IF(A5398="""","""",INDEX(SPLIT(A5398,"" ""),COUNTA(SPLIT(A5398,"" ""))))"),"Veroli")</f>
        <v>Veroli</v>
      </c>
      <c r="C5398" s="6"/>
      <c r="D5398" s="6" t="s">
        <v>5390</v>
      </c>
      <c r="E5398" s="7" t="s">
        <v>5391</v>
      </c>
    </row>
    <row r="5399">
      <c r="A5399" s="4" t="s">
        <v>5475</v>
      </c>
      <c r="B5399" s="5" t="str">
        <f>IFERROR(__xludf.DUMMYFUNCTION("IF(A5399="""","""",INDEX(SPLIT(A5399,"" ""),COUNTA(SPLIT(A5399,"" ""))))"),"Vicalvi")</f>
        <v>Vicalvi</v>
      </c>
      <c r="C5399" s="6"/>
      <c r="D5399" s="6" t="s">
        <v>5390</v>
      </c>
      <c r="E5399" s="7" t="s">
        <v>5391</v>
      </c>
    </row>
    <row r="5400">
      <c r="A5400" s="4" t="s">
        <v>5476</v>
      </c>
      <c r="B5400" s="5" t="str">
        <f>IFERROR(__xludf.DUMMYFUNCTION("IF(A5400="""","""",INDEX(SPLIT(A5400,"" ""),COUNTA(SPLIT(A5400,"" ""))))"),"Lazio")</f>
        <v>Lazio</v>
      </c>
      <c r="C5400" s="6"/>
      <c r="D5400" s="6" t="s">
        <v>5390</v>
      </c>
      <c r="E5400" s="7" t="s">
        <v>5391</v>
      </c>
    </row>
    <row r="5401">
      <c r="A5401" s="4" t="s">
        <v>5477</v>
      </c>
      <c r="B5401" s="5" t="str">
        <f>IFERROR(__xludf.DUMMYFUNCTION("IF(A5401="""","""",INDEX(SPLIT(A5401,"" ""),COUNTA(SPLIT(A5401,"" ""))))"),"Latina")</f>
        <v>Latina</v>
      </c>
      <c r="C5401" s="6"/>
      <c r="D5401" s="6" t="s">
        <v>5390</v>
      </c>
      <c r="E5401" s="7" t="s">
        <v>5391</v>
      </c>
    </row>
    <row r="5402">
      <c r="A5402" s="4" t="s">
        <v>5478</v>
      </c>
      <c r="B5402" s="5" t="str">
        <f>IFERROR(__xludf.DUMMYFUNCTION("IF(A5402="""","""",INDEX(SPLIT(A5402,"" ""),COUNTA(SPLIT(A5402,"" ""))))"),"Lucia")</f>
        <v>Lucia</v>
      </c>
      <c r="C5402" s="6"/>
      <c r="D5402" s="6" t="s">
        <v>5390</v>
      </c>
      <c r="E5402" s="7" t="s">
        <v>5391</v>
      </c>
    </row>
    <row r="5403">
      <c r="A5403" s="4" t="s">
        <v>5479</v>
      </c>
      <c r="B5403" s="5" t="str">
        <f>IFERROR(__xludf.DUMMYFUNCTION("IF(A5403="""","""",INDEX(SPLIT(A5403,"" ""),COUNTA(SPLIT(A5403,"" ""))))"),"Stefano")</f>
        <v>Stefano</v>
      </c>
      <c r="C5403" s="6"/>
      <c r="D5403" s="6" t="s">
        <v>5390</v>
      </c>
      <c r="E5403" s="7" t="s">
        <v>5391</v>
      </c>
    </row>
    <row r="5404">
      <c r="A5404" s="4" t="s">
        <v>5480</v>
      </c>
      <c r="B5404" s="5" t="str">
        <f>IFERROR(__xludf.DUMMYFUNCTION("IF(A5404="""","""",INDEX(SPLIT(A5404,"" ""),COUNTA(SPLIT(A5404,"" ""))))"),"Viticuso")</f>
        <v>Viticuso</v>
      </c>
      <c r="C5404" s="6"/>
      <c r="D5404" s="6" t="s">
        <v>5390</v>
      </c>
      <c r="E5404" s="7" t="s">
        <v>5391</v>
      </c>
    </row>
    <row r="5405">
      <c r="A5405" s="4" t="s">
        <v>5481</v>
      </c>
      <c r="B5405" s="5" t="str">
        <f>IFERROR(__xludf.DUMMYFUNCTION("IF(A5405="""","""",INDEX(SPLIT(A5405,"" ""),COUNTA(SPLIT(A5405,"" ""))))"),"Acciano")</f>
        <v>Acciano</v>
      </c>
      <c r="C5405" s="6"/>
      <c r="D5405" s="6" t="s">
        <v>5482</v>
      </c>
      <c r="E5405" s="7" t="s">
        <v>5483</v>
      </c>
    </row>
    <row r="5406">
      <c r="A5406" s="4" t="s">
        <v>5484</v>
      </c>
      <c r="B5406" s="5" t="str">
        <f>IFERROR(__xludf.DUMMYFUNCTION("IF(A5406="""","""",INDEX(SPLIT(A5406,"" ""),COUNTA(SPLIT(A5406,"" ""))))"),"Aielli")</f>
        <v>Aielli</v>
      </c>
      <c r="C5406" s="6"/>
      <c r="D5406" s="6" t="s">
        <v>5482</v>
      </c>
      <c r="E5406" s="7" t="s">
        <v>5483</v>
      </c>
    </row>
    <row r="5407">
      <c r="A5407" s="4" t="s">
        <v>5485</v>
      </c>
      <c r="B5407" s="5" t="str">
        <f>IFERROR(__xludf.DUMMYFUNCTION("IF(A5407="""","""",INDEX(SPLIT(A5407,"" ""),COUNTA(SPLIT(A5407,"" ""))))"),"Alfedena")</f>
        <v>Alfedena</v>
      </c>
      <c r="C5407" s="6"/>
      <c r="D5407" s="6" t="s">
        <v>5482</v>
      </c>
      <c r="E5407" s="7" t="s">
        <v>5483</v>
      </c>
    </row>
    <row r="5408">
      <c r="A5408" s="4" t="s">
        <v>5486</v>
      </c>
      <c r="B5408" s="5" t="str">
        <f>IFERROR(__xludf.DUMMYFUNCTION("IF(A5408="""","""",INDEX(SPLIT(A5408,"" ""),COUNTA(SPLIT(A5408,"" ""))))"),"Abruzzi")</f>
        <v>Abruzzi</v>
      </c>
      <c r="C5408" s="6"/>
      <c r="D5408" s="6" t="s">
        <v>5482</v>
      </c>
      <c r="E5408" s="7" t="s">
        <v>5483</v>
      </c>
    </row>
    <row r="5409">
      <c r="A5409" s="4" t="s">
        <v>5487</v>
      </c>
      <c r="B5409" s="5" t="str">
        <f>IFERROR(__xludf.DUMMYFUNCTION("IF(A5409="""","""",INDEX(SPLIT(A5409,"" ""),COUNTA(SPLIT(A5409,"" ""))))"),"Ateleta")</f>
        <v>Ateleta</v>
      </c>
      <c r="C5409" s="6"/>
      <c r="D5409" s="6" t="s">
        <v>5482</v>
      </c>
      <c r="E5409" s="7" t="s">
        <v>5483</v>
      </c>
    </row>
    <row r="5410">
      <c r="A5410" s="4" t="s">
        <v>5488</v>
      </c>
      <c r="B5410" s="5" t="str">
        <f>IFERROR(__xludf.DUMMYFUNCTION("IF(A5410="""","""",INDEX(SPLIT(A5410,"" ""),COUNTA(SPLIT(A5410,"" ""))))"),"Avezzano")</f>
        <v>Avezzano</v>
      </c>
      <c r="C5410" s="6"/>
      <c r="D5410" s="6" t="s">
        <v>5482</v>
      </c>
      <c r="E5410" s="7" t="s">
        <v>5483</v>
      </c>
    </row>
    <row r="5411">
      <c r="A5411" s="4" t="s">
        <v>5489</v>
      </c>
      <c r="B5411" s="5" t="str">
        <f>IFERROR(__xludf.DUMMYFUNCTION("IF(A5411="""","""",INDEX(SPLIT(A5411,"" ""),COUNTA(SPLIT(A5411,"" ""))))"),"Balsorano")</f>
        <v>Balsorano</v>
      </c>
      <c r="C5411" s="6"/>
      <c r="D5411" s="6" t="s">
        <v>5482</v>
      </c>
      <c r="E5411" s="7" t="s">
        <v>5483</v>
      </c>
    </row>
    <row r="5412">
      <c r="A5412" s="4" t="s">
        <v>5490</v>
      </c>
      <c r="B5412" s="5" t="str">
        <f>IFERROR(__xludf.DUMMYFUNCTION("IF(A5412="""","""",INDEX(SPLIT(A5412,"" ""),COUNTA(SPLIT(A5412,"" ""))))"),"Barete")</f>
        <v>Barete</v>
      </c>
      <c r="C5412" s="6"/>
      <c r="D5412" s="6" t="s">
        <v>5482</v>
      </c>
      <c r="E5412" s="7" t="s">
        <v>5483</v>
      </c>
    </row>
    <row r="5413">
      <c r="A5413" s="4" t="s">
        <v>5491</v>
      </c>
      <c r="B5413" s="5" t="str">
        <f>IFERROR(__xludf.DUMMYFUNCTION("IF(A5413="""","""",INDEX(SPLIT(A5413,"" ""),COUNTA(SPLIT(A5413,"" ""))))"),"Barisciano")</f>
        <v>Barisciano</v>
      </c>
      <c r="C5413" s="6"/>
      <c r="D5413" s="6" t="s">
        <v>5482</v>
      </c>
      <c r="E5413" s="7" t="s">
        <v>5483</v>
      </c>
    </row>
    <row r="5414">
      <c r="A5414" s="4" t="s">
        <v>5492</v>
      </c>
      <c r="B5414" s="5" t="str">
        <f>IFERROR(__xludf.DUMMYFUNCTION("IF(A5414="""","""",INDEX(SPLIT(A5414,"" ""),COUNTA(SPLIT(A5414,"" ""))))"),"Barrea")</f>
        <v>Barrea</v>
      </c>
      <c r="C5414" s="6"/>
      <c r="D5414" s="6" t="s">
        <v>5482</v>
      </c>
      <c r="E5414" s="7" t="s">
        <v>5483</v>
      </c>
    </row>
    <row r="5415">
      <c r="A5415" s="4" t="s">
        <v>5493</v>
      </c>
      <c r="B5415" s="5" t="str">
        <f>IFERROR(__xludf.DUMMYFUNCTION("IF(A5415="""","""",INDEX(SPLIT(A5415,"" ""),COUNTA(SPLIT(A5415,"" ""))))"),"Bisegna")</f>
        <v>Bisegna</v>
      </c>
      <c r="C5415" s="6"/>
      <c r="D5415" s="6" t="s">
        <v>5482</v>
      </c>
      <c r="E5415" s="7" t="s">
        <v>5483</v>
      </c>
    </row>
    <row r="5416">
      <c r="A5416" s="4" t="s">
        <v>5494</v>
      </c>
      <c r="B5416" s="5" t="str">
        <f>IFERROR(__xludf.DUMMYFUNCTION("IF(A5416="""","""",INDEX(SPLIT(A5416,"" ""),COUNTA(SPLIT(A5416,"" ""))))"),"Bugnara")</f>
        <v>Bugnara</v>
      </c>
      <c r="C5416" s="6"/>
      <c r="D5416" s="6" t="s">
        <v>5482</v>
      </c>
      <c r="E5416" s="7" t="s">
        <v>5483</v>
      </c>
    </row>
    <row r="5417">
      <c r="A5417" s="4" t="s">
        <v>5495</v>
      </c>
      <c r="B5417" s="5" t="str">
        <f>IFERROR(__xludf.DUMMYFUNCTION("IF(A5417="""","""",INDEX(SPLIT(A5417,"" ""),COUNTA(SPLIT(A5417,"" ""))))"),"Amiterno")</f>
        <v>Amiterno</v>
      </c>
      <c r="C5417" s="6"/>
      <c r="D5417" s="6" t="s">
        <v>5482</v>
      </c>
      <c r="E5417" s="7" t="s">
        <v>5483</v>
      </c>
    </row>
    <row r="5418">
      <c r="A5418" s="4" t="s">
        <v>5496</v>
      </c>
      <c r="B5418" s="5" t="str">
        <f>IFERROR(__xludf.DUMMYFUNCTION("IF(A5418="""","""",INDEX(SPLIT(A5418,"" ""),COUNTA(SPLIT(A5418,"" ""))))"),"Calascio")</f>
        <v>Calascio</v>
      </c>
      <c r="C5418" s="6"/>
      <c r="D5418" s="6" t="s">
        <v>5482</v>
      </c>
      <c r="E5418" s="7" t="s">
        <v>5483</v>
      </c>
    </row>
    <row r="5419">
      <c r="A5419" s="4" t="s">
        <v>5497</v>
      </c>
      <c r="B5419" s="5" t="str">
        <f>IFERROR(__xludf.DUMMYFUNCTION("IF(A5419="""","""",INDEX(SPLIT(A5419,"" ""),COUNTA(SPLIT(A5419,"" ""))))"),"Giove")</f>
        <v>Giove</v>
      </c>
      <c r="C5419" s="6"/>
      <c r="D5419" s="6" t="s">
        <v>5482</v>
      </c>
      <c r="E5419" s="7" t="s">
        <v>5483</v>
      </c>
    </row>
    <row r="5420">
      <c r="A5420" s="4" t="s">
        <v>5498</v>
      </c>
      <c r="B5420" s="5" t="str">
        <f>IFERROR(__xludf.DUMMYFUNCTION("IF(A5420="""","""",INDEX(SPLIT(A5420,"" ""),COUNTA(SPLIT(A5420,"" ""))))"),"Campotosto")</f>
        <v>Campotosto</v>
      </c>
      <c r="C5420" s="6"/>
      <c r="D5420" s="6" t="s">
        <v>5482</v>
      </c>
      <c r="E5420" s="7" t="s">
        <v>5483</v>
      </c>
    </row>
    <row r="5421">
      <c r="A5421" s="4" t="s">
        <v>5499</v>
      </c>
      <c r="B5421" s="5" t="str">
        <f>IFERROR(__xludf.DUMMYFUNCTION("IF(A5421="""","""",INDEX(SPLIT(A5421,"" ""),COUNTA(SPLIT(A5421,"" ""))))"),"Canistro")</f>
        <v>Canistro</v>
      </c>
      <c r="C5421" s="6"/>
      <c r="D5421" s="6" t="s">
        <v>5482</v>
      </c>
      <c r="E5421" s="7" t="s">
        <v>5483</v>
      </c>
    </row>
    <row r="5422">
      <c r="A5422" s="4" t="s">
        <v>5500</v>
      </c>
      <c r="B5422" s="5" t="str">
        <f>IFERROR(__xludf.DUMMYFUNCTION("IF(A5422="""","""",INDEX(SPLIT(A5422,"" ""),COUNTA(SPLIT(A5422,"" ""))))"),"Cansano")</f>
        <v>Cansano</v>
      </c>
      <c r="C5422" s="6"/>
      <c r="D5422" s="6" t="s">
        <v>5482</v>
      </c>
      <c r="E5422" s="7" t="s">
        <v>5483</v>
      </c>
    </row>
    <row r="5423">
      <c r="A5423" s="4" t="s">
        <v>5501</v>
      </c>
      <c r="B5423" s="5" t="str">
        <f>IFERROR(__xludf.DUMMYFUNCTION("IF(A5423="""","""",INDEX(SPLIT(A5423,"" ""),COUNTA(SPLIT(A5423,"" ""))))"),"Capestrano")</f>
        <v>Capestrano</v>
      </c>
      <c r="C5423" s="6"/>
      <c r="D5423" s="6" t="s">
        <v>5482</v>
      </c>
      <c r="E5423" s="7" t="s">
        <v>5483</v>
      </c>
    </row>
    <row r="5424">
      <c r="A5424" s="4" t="s">
        <v>5502</v>
      </c>
      <c r="B5424" s="5" t="str">
        <f>IFERROR(__xludf.DUMMYFUNCTION("IF(A5424="""","""",INDEX(SPLIT(A5424,"" ""),COUNTA(SPLIT(A5424,"" ""))))"),"Capistrello")</f>
        <v>Capistrello</v>
      </c>
      <c r="C5424" s="6"/>
      <c r="D5424" s="6" t="s">
        <v>5482</v>
      </c>
      <c r="E5424" s="7" t="s">
        <v>5483</v>
      </c>
    </row>
    <row r="5425">
      <c r="A5425" s="4" t="s">
        <v>5503</v>
      </c>
      <c r="B5425" s="5" t="str">
        <f>IFERROR(__xludf.DUMMYFUNCTION("IF(A5425="""","""",INDEX(SPLIT(A5425,"" ""),COUNTA(SPLIT(A5425,"" ""))))"),"Capitignano")</f>
        <v>Capitignano</v>
      </c>
      <c r="C5425" s="6"/>
      <c r="D5425" s="6" t="s">
        <v>5482</v>
      </c>
      <c r="E5425" s="7" t="s">
        <v>5483</v>
      </c>
    </row>
    <row r="5426">
      <c r="A5426" s="4" t="s">
        <v>5504</v>
      </c>
      <c r="B5426" s="5" t="str">
        <f>IFERROR(__xludf.DUMMYFUNCTION("IF(A5426="""","""",INDEX(SPLIT(A5426,"" ""),COUNTA(SPLIT(A5426,"" ""))))"),"Caporciano")</f>
        <v>Caporciano</v>
      </c>
      <c r="C5426" s="6"/>
      <c r="D5426" s="6" t="s">
        <v>5482</v>
      </c>
      <c r="E5426" s="7" t="s">
        <v>5483</v>
      </c>
    </row>
    <row r="5427">
      <c r="A5427" s="4" t="s">
        <v>5505</v>
      </c>
      <c r="B5427" s="5" t="str">
        <f>IFERROR(__xludf.DUMMYFUNCTION("IF(A5427="""","""",INDEX(SPLIT(A5427,"" ""),COUNTA(SPLIT(A5427,"" ""))))"),"Cappadocia")</f>
        <v>Cappadocia</v>
      </c>
      <c r="C5427" s="6"/>
      <c r="D5427" s="6" t="s">
        <v>5482</v>
      </c>
      <c r="E5427" s="7" t="s">
        <v>5483</v>
      </c>
    </row>
    <row r="5428">
      <c r="A5428" s="4" t="s">
        <v>5506</v>
      </c>
      <c r="B5428" s="5" t="str">
        <f>IFERROR(__xludf.DUMMYFUNCTION("IF(A5428="""","""",INDEX(SPLIT(A5428,"" ""),COUNTA(SPLIT(A5428,"" ""))))"),"Calvisio")</f>
        <v>Calvisio</v>
      </c>
      <c r="C5428" s="6"/>
      <c r="D5428" s="6" t="s">
        <v>5482</v>
      </c>
      <c r="E5428" s="7" t="s">
        <v>5483</v>
      </c>
    </row>
    <row r="5429">
      <c r="A5429" s="4" t="s">
        <v>5507</v>
      </c>
      <c r="B5429" s="5" t="str">
        <f>IFERROR(__xludf.DUMMYFUNCTION("IF(A5429="""","""",INDEX(SPLIT(A5429,"" ""),COUNTA(SPLIT(A5429,"" ""))))"),"Carsoli")</f>
        <v>Carsoli</v>
      </c>
      <c r="C5429" s="6"/>
      <c r="D5429" s="6" t="s">
        <v>5482</v>
      </c>
      <c r="E5429" s="7" t="s">
        <v>5483</v>
      </c>
    </row>
    <row r="5430">
      <c r="A5430" s="4" t="s">
        <v>5508</v>
      </c>
      <c r="B5430" s="5" t="str">
        <f>IFERROR(__xludf.DUMMYFUNCTION("IF(A5430="""","""",INDEX(SPLIT(A5430,"" ""),COUNTA(SPLIT(A5430,"" ""))))"),"Monte")</f>
        <v>Monte</v>
      </c>
      <c r="C5430" s="6"/>
      <c r="D5430" s="6" t="s">
        <v>5482</v>
      </c>
      <c r="E5430" s="7" t="s">
        <v>5483</v>
      </c>
    </row>
    <row r="5431">
      <c r="A5431" s="4" t="s">
        <v>5509</v>
      </c>
      <c r="B5431" s="5" t="str">
        <f>IFERROR(__xludf.DUMMYFUNCTION("IF(A5431="""","""",INDEX(SPLIT(A5431,"" ""),COUNTA(SPLIT(A5431,"" ""))))"),"Ieri")</f>
        <v>Ieri</v>
      </c>
      <c r="C5431" s="6"/>
      <c r="D5431" s="6" t="s">
        <v>5482</v>
      </c>
      <c r="E5431" s="7" t="s">
        <v>5483</v>
      </c>
    </row>
    <row r="5432">
      <c r="A5432" s="4" t="s">
        <v>5510</v>
      </c>
      <c r="B5432" s="5" t="str">
        <f>IFERROR(__xludf.DUMMYFUNCTION("IF(A5432="""","""",INDEX(SPLIT(A5432,"" ""),COUNTA(SPLIT(A5432,"" ""))))"),"Sangro")</f>
        <v>Sangro</v>
      </c>
      <c r="C5432" s="6"/>
      <c r="D5432" s="6" t="s">
        <v>5482</v>
      </c>
      <c r="E5432" s="7" t="s">
        <v>5483</v>
      </c>
    </row>
    <row r="5433">
      <c r="A5433" s="4" t="s">
        <v>5511</v>
      </c>
      <c r="B5433" s="5" t="str">
        <f>IFERROR(__xludf.DUMMYFUNCTION("IF(A5433="""","""",INDEX(SPLIT(A5433,"" ""),COUNTA(SPLIT(A5433,"" ""))))"),"Castellafiume")</f>
        <v>Castellafiume</v>
      </c>
      <c r="C5433" s="6"/>
      <c r="D5433" s="6" t="s">
        <v>5482</v>
      </c>
      <c r="E5433" s="7" t="s">
        <v>5483</v>
      </c>
    </row>
    <row r="5434">
      <c r="A5434" s="4" t="s">
        <v>5512</v>
      </c>
      <c r="B5434" s="5" t="str">
        <f>IFERROR(__xludf.DUMMYFUNCTION("IF(A5434="""","""",INDEX(SPLIT(A5434,"" ""),COUNTA(SPLIT(A5434,"" ""))))"),"Calvisio")</f>
        <v>Calvisio</v>
      </c>
      <c r="C5434" s="6"/>
      <c r="D5434" s="6" t="s">
        <v>5482</v>
      </c>
      <c r="E5434" s="7" t="s">
        <v>5483</v>
      </c>
    </row>
    <row r="5435">
      <c r="A5435" s="4" t="s">
        <v>5513</v>
      </c>
      <c r="B5435" s="5" t="str">
        <f>IFERROR(__xludf.DUMMYFUNCTION("IF(A5435="""","""",INDEX(SPLIT(A5435,"" ""),COUNTA(SPLIT(A5435,"" ""))))"),"Subequo")</f>
        <v>Subequo</v>
      </c>
      <c r="C5435" s="6"/>
      <c r="D5435" s="6" t="s">
        <v>5482</v>
      </c>
      <c r="E5435" s="7" t="s">
        <v>5483</v>
      </c>
    </row>
    <row r="5436">
      <c r="A5436" s="4" t="s">
        <v>5514</v>
      </c>
      <c r="B5436" s="5" t="str">
        <f>IFERROR(__xludf.DUMMYFUNCTION("IF(A5436="""","""",INDEX(SPLIT(A5436,"" ""),COUNTA(SPLIT(A5436,"" ""))))"),"Celano")</f>
        <v>Celano</v>
      </c>
      <c r="C5436" s="6"/>
      <c r="D5436" s="6" t="s">
        <v>5482</v>
      </c>
      <c r="E5436" s="7" t="s">
        <v>5483</v>
      </c>
    </row>
    <row r="5437">
      <c r="A5437" s="4" t="s">
        <v>5515</v>
      </c>
      <c r="B5437" s="5" t="str">
        <f>IFERROR(__xludf.DUMMYFUNCTION("IF(A5437="""","""",INDEX(SPLIT(A5437,"" ""),COUNTA(SPLIT(A5437,"" ""))))"),"Cerchio")</f>
        <v>Cerchio</v>
      </c>
      <c r="C5437" s="6"/>
      <c r="D5437" s="6" t="s">
        <v>5482</v>
      </c>
      <c r="E5437" s="7" t="s">
        <v>5483</v>
      </c>
    </row>
    <row r="5438">
      <c r="A5438" s="4" t="s">
        <v>5516</v>
      </c>
      <c r="B5438" s="5" t="str">
        <f>IFERROR(__xludf.DUMMYFUNCTION("IF(A5438="""","""",INDEX(SPLIT(A5438,"" ""),COUNTA(SPLIT(A5438,"" ""))))"),"d'Antino")</f>
        <v>d'Antino</v>
      </c>
      <c r="C5438" s="6"/>
      <c r="D5438" s="6" t="s">
        <v>5482</v>
      </c>
      <c r="E5438" s="7" t="s">
        <v>5483</v>
      </c>
    </row>
    <row r="5439">
      <c r="A5439" s="4" t="s">
        <v>5517</v>
      </c>
      <c r="B5439" s="5" t="str">
        <f>IFERROR(__xludf.DUMMYFUNCTION("IF(A5439="""","""",INDEX(SPLIT(A5439,"" ""),COUNTA(SPLIT(A5439,"" ""))))"),"Alfedena")</f>
        <v>Alfedena</v>
      </c>
      <c r="C5439" s="6"/>
      <c r="D5439" s="6" t="s">
        <v>5482</v>
      </c>
      <c r="E5439" s="7" t="s">
        <v>5483</v>
      </c>
    </row>
    <row r="5440">
      <c r="A5440" s="4" t="s">
        <v>5518</v>
      </c>
      <c r="B5440" s="5" t="str">
        <f>IFERROR(__xludf.DUMMYFUNCTION("IF(A5440="""","""",INDEX(SPLIT(A5440,"" ""),COUNTA(SPLIT(A5440,"" ""))))"),"Roveto")</f>
        <v>Roveto</v>
      </c>
      <c r="C5440" s="6"/>
      <c r="D5440" s="6" t="s">
        <v>5482</v>
      </c>
      <c r="E5440" s="7" t="s">
        <v>5483</v>
      </c>
    </row>
    <row r="5441">
      <c r="A5441" s="4" t="s">
        <v>5519</v>
      </c>
      <c r="B5441" s="5" t="str">
        <f>IFERROR(__xludf.DUMMYFUNCTION("IF(A5441="""","""",INDEX(SPLIT(A5441,"" ""),COUNTA(SPLIT(A5441,"" ""))))"),"Cocullo")</f>
        <v>Cocullo</v>
      </c>
      <c r="C5441" s="6"/>
      <c r="D5441" s="6" t="s">
        <v>5482</v>
      </c>
      <c r="E5441" s="7" t="s">
        <v>5483</v>
      </c>
    </row>
    <row r="5442">
      <c r="A5442" s="4" t="s">
        <v>5520</v>
      </c>
      <c r="B5442" s="5" t="str">
        <f>IFERROR(__xludf.DUMMYFUNCTION("IF(A5442="""","""",INDEX(SPLIT(A5442,"" ""),COUNTA(SPLIT(A5442,"" ""))))"),"Collarmele")</f>
        <v>Collarmele</v>
      </c>
      <c r="C5442" s="6"/>
      <c r="D5442" s="6" t="s">
        <v>5482</v>
      </c>
      <c r="E5442" s="7" t="s">
        <v>5483</v>
      </c>
    </row>
    <row r="5443">
      <c r="A5443" s="4" t="s">
        <v>5521</v>
      </c>
      <c r="B5443" s="5" t="str">
        <f>IFERROR(__xludf.DUMMYFUNCTION("IF(A5443="""","""",INDEX(SPLIT(A5443,"" ""),COUNTA(SPLIT(A5443,"" ""))))"),"Collelongo")</f>
        <v>Collelongo</v>
      </c>
      <c r="C5443" s="6"/>
      <c r="D5443" s="6" t="s">
        <v>5482</v>
      </c>
      <c r="E5443" s="7" t="s">
        <v>5483</v>
      </c>
    </row>
    <row r="5444">
      <c r="A5444" s="4" t="s">
        <v>5522</v>
      </c>
      <c r="B5444" s="5" t="str">
        <f>IFERROR(__xludf.DUMMYFUNCTION("IF(A5444="""","""",INDEX(SPLIT(A5444,"" ""),COUNTA(SPLIT(A5444,"" ""))))"),"Collepietro")</f>
        <v>Collepietro</v>
      </c>
      <c r="C5444" s="6"/>
      <c r="D5444" s="6" t="s">
        <v>5482</v>
      </c>
      <c r="E5444" s="7" t="s">
        <v>5483</v>
      </c>
    </row>
    <row r="5445">
      <c r="A5445" s="4" t="s">
        <v>5523</v>
      </c>
      <c r="B5445" s="5" t="str">
        <f>IFERROR(__xludf.DUMMYFUNCTION("IF(A5445="""","""",INDEX(SPLIT(A5445,"" ""),COUNTA(SPLIT(A5445,"" ""))))"),"Corfinio")</f>
        <v>Corfinio</v>
      </c>
      <c r="C5445" s="6"/>
      <c r="D5445" s="6" t="s">
        <v>5482</v>
      </c>
      <c r="E5445" s="7" t="s">
        <v>5483</v>
      </c>
    </row>
    <row r="5446">
      <c r="A5446" s="4" t="s">
        <v>5524</v>
      </c>
      <c r="B5446" s="5" t="str">
        <f>IFERROR(__xludf.DUMMYFUNCTION("IF(A5446="""","""",INDEX(SPLIT(A5446,"" ""),COUNTA(SPLIT(A5446,"" ""))))"),"Alto")</f>
        <v>Alto</v>
      </c>
      <c r="C5446" s="6"/>
      <c r="D5446" s="6" t="s">
        <v>5482</v>
      </c>
      <c r="E5446" s="7" t="s">
        <v>5483</v>
      </c>
    </row>
    <row r="5447">
      <c r="A5447" s="4" t="s">
        <v>5525</v>
      </c>
      <c r="B5447" s="5" t="str">
        <f>IFERROR(__xludf.DUMMYFUNCTION("IF(A5447="""","""",INDEX(SPLIT(A5447,"" ""),COUNTA(SPLIT(A5447,"" ""))))"),"Fontecchio")</f>
        <v>Fontecchio</v>
      </c>
      <c r="C5447" s="6"/>
      <c r="D5447" s="6" t="s">
        <v>5482</v>
      </c>
      <c r="E5447" s="7" t="s">
        <v>5483</v>
      </c>
    </row>
    <row r="5448">
      <c r="A5448" s="4" t="s">
        <v>5526</v>
      </c>
      <c r="B5448" s="5" t="str">
        <f>IFERROR(__xludf.DUMMYFUNCTION("IF(A5448="""","""",INDEX(SPLIT(A5448,"" ""),COUNTA(SPLIT(A5448,"" ""))))"),"Fossa")</f>
        <v>Fossa</v>
      </c>
      <c r="C5448" s="6"/>
      <c r="D5448" s="6" t="s">
        <v>5482</v>
      </c>
      <c r="E5448" s="7" t="s">
        <v>5483</v>
      </c>
    </row>
    <row r="5449">
      <c r="A5449" s="4" t="s">
        <v>5527</v>
      </c>
      <c r="B5449" s="5" t="str">
        <f>IFERROR(__xludf.DUMMYFUNCTION("IF(A5449="""","""",INDEX(SPLIT(A5449,"" ""),COUNTA(SPLIT(A5449,"" ""))))"),"Aterno")</f>
        <v>Aterno</v>
      </c>
      <c r="C5449" s="6"/>
      <c r="D5449" s="6" t="s">
        <v>5482</v>
      </c>
      <c r="E5449" s="7" t="s">
        <v>5483</v>
      </c>
    </row>
    <row r="5450">
      <c r="A5450" s="4" t="s">
        <v>5528</v>
      </c>
      <c r="B5450" s="5" t="str">
        <f>IFERROR(__xludf.DUMMYFUNCTION("IF(A5450="""","""",INDEX(SPLIT(A5450,"" ""),COUNTA(SPLIT(A5450,"" ""))))"),"Marsi")</f>
        <v>Marsi</v>
      </c>
      <c r="C5450" s="6"/>
      <c r="D5450" s="6" t="s">
        <v>5482</v>
      </c>
      <c r="E5450" s="7" t="s">
        <v>5483</v>
      </c>
    </row>
    <row r="5451">
      <c r="A5451" s="4" t="s">
        <v>5529</v>
      </c>
      <c r="B5451" s="5" t="str">
        <f>IFERROR(__xludf.DUMMYFUNCTION("IF(A5451="""","""",INDEX(SPLIT(A5451,"" ""),COUNTA(SPLIT(A5451,"" ""))))"),"Sicoli")</f>
        <v>Sicoli</v>
      </c>
      <c r="C5451" s="6"/>
      <c r="D5451" s="6" t="s">
        <v>5482</v>
      </c>
      <c r="E5451" s="7" t="s">
        <v>5483</v>
      </c>
    </row>
    <row r="5452">
      <c r="A5452" s="4" t="s">
        <v>5530</v>
      </c>
      <c r="B5452" s="5" t="str">
        <f>IFERROR(__xludf.DUMMYFUNCTION("IF(A5452="""","""",INDEX(SPLIT(A5452,"" ""),COUNTA(SPLIT(A5452,"" ""))))"),"Introdacqua")</f>
        <v>Introdacqua</v>
      </c>
      <c r="C5452" s="6"/>
      <c r="D5452" s="6" t="s">
        <v>5482</v>
      </c>
      <c r="E5452" s="7" t="s">
        <v>5483</v>
      </c>
    </row>
    <row r="5453">
      <c r="A5453" s="4" t="s">
        <v>5531</v>
      </c>
      <c r="B5453" s="5" t="str">
        <f>IFERROR(__xludf.DUMMYFUNCTION("IF(A5453="""","""",INDEX(SPLIT(A5453,"" ""),COUNTA(SPLIT(A5453,"" ""))))"),"L'Aquila")</f>
        <v>L'Aquila</v>
      </c>
      <c r="C5453" s="6"/>
      <c r="D5453" s="6" t="s">
        <v>5482</v>
      </c>
      <c r="E5453" s="7" t="s">
        <v>5483</v>
      </c>
    </row>
    <row r="5454">
      <c r="A5454" s="4" t="s">
        <v>5532</v>
      </c>
      <c r="B5454" s="5" t="str">
        <f>IFERROR(__xludf.DUMMYFUNCTION("IF(A5454="""","""",INDEX(SPLIT(A5454,"" ""),COUNTA(SPLIT(A5454,"" ""))))"),"Marsi")</f>
        <v>Marsi</v>
      </c>
      <c r="C5454" s="6"/>
      <c r="D5454" s="6" t="s">
        <v>5482</v>
      </c>
      <c r="E5454" s="7" t="s">
        <v>5483</v>
      </c>
    </row>
    <row r="5455">
      <c r="A5455" s="4" t="s">
        <v>5533</v>
      </c>
      <c r="B5455" s="5" t="str">
        <f>IFERROR(__xludf.DUMMYFUNCTION("IF(A5455="""","""",INDEX(SPLIT(A5455,"" ""),COUNTA(SPLIT(A5455,"" ""))))"),"Marsi")</f>
        <v>Marsi</v>
      </c>
      <c r="C5455" s="6"/>
      <c r="D5455" s="6" t="s">
        <v>5482</v>
      </c>
      <c r="E5455" s="7" t="s">
        <v>5483</v>
      </c>
    </row>
    <row r="5456">
      <c r="A5456" s="4" t="s">
        <v>5534</v>
      </c>
      <c r="B5456" s="5" t="str">
        <f>IFERROR(__xludf.DUMMYFUNCTION("IF(A5456="""","""",INDEX(SPLIT(A5456,"" ""),COUNTA(SPLIT(A5456,"" ""))))"),"Lucoli")</f>
        <v>Lucoli</v>
      </c>
      <c r="C5456" s="6"/>
      <c r="D5456" s="6" t="s">
        <v>5482</v>
      </c>
      <c r="E5456" s="7" t="s">
        <v>5483</v>
      </c>
    </row>
    <row r="5457">
      <c r="A5457" s="4" t="s">
        <v>5535</v>
      </c>
      <c r="B5457" s="5" t="str">
        <f>IFERROR(__xludf.DUMMYFUNCTION("IF(A5457="""","""",INDEX(SPLIT(A5457,"" ""),COUNTA(SPLIT(A5457,"" ""))))"),"Marsi")</f>
        <v>Marsi</v>
      </c>
      <c r="C5457" s="6"/>
      <c r="D5457" s="6" t="s">
        <v>5482</v>
      </c>
      <c r="E5457" s="7" t="s">
        <v>5483</v>
      </c>
    </row>
    <row r="5458">
      <c r="A5458" s="4" t="s">
        <v>5536</v>
      </c>
      <c r="B5458" s="5" t="str">
        <f>IFERROR(__xludf.DUMMYFUNCTION("IF(A5458="""","""",INDEX(SPLIT(A5458,"" ""),COUNTA(SPLIT(A5458,"" ""))))"),"d'Albe")</f>
        <v>d'Albe</v>
      </c>
      <c r="C5458" s="6"/>
      <c r="D5458" s="6" t="s">
        <v>5482</v>
      </c>
      <c r="E5458" s="7" t="s">
        <v>5483</v>
      </c>
    </row>
    <row r="5459">
      <c r="A5459" s="4" t="s">
        <v>5537</v>
      </c>
      <c r="B5459" s="5" t="str">
        <f>IFERROR(__xludf.DUMMYFUNCTION("IF(A5459="""","""",INDEX(SPLIT(A5459,"" ""),COUNTA(SPLIT(A5459,"" ""))))"),"Aterno")</f>
        <v>Aterno</v>
      </c>
      <c r="C5459" s="6"/>
      <c r="D5459" s="6" t="s">
        <v>5482</v>
      </c>
      <c r="E5459" s="7" t="s">
        <v>5483</v>
      </c>
    </row>
    <row r="5460">
      <c r="A5460" s="4" t="s">
        <v>5538</v>
      </c>
      <c r="B5460" s="5" t="str">
        <f>IFERROR(__xludf.DUMMYFUNCTION("IF(A5460="""","""",INDEX(SPLIT(A5460,"" ""),COUNTA(SPLIT(A5460,"" ""))))"),"Montereale")</f>
        <v>Montereale</v>
      </c>
      <c r="C5460" s="6"/>
      <c r="D5460" s="6" t="s">
        <v>5482</v>
      </c>
      <c r="E5460" s="7" t="s">
        <v>5483</v>
      </c>
    </row>
    <row r="5461">
      <c r="A5461" s="4" t="s">
        <v>5539</v>
      </c>
      <c r="B5461" s="5" t="str">
        <f>IFERROR(__xludf.DUMMYFUNCTION("IF(A5461="""","""",INDEX(SPLIT(A5461,"" ""),COUNTA(SPLIT(A5461,"" ""))))"),"Morino")</f>
        <v>Morino</v>
      </c>
      <c r="C5461" s="6"/>
      <c r="D5461" s="6" t="s">
        <v>5482</v>
      </c>
      <c r="E5461" s="7" t="s">
        <v>5483</v>
      </c>
    </row>
    <row r="5462">
      <c r="A5462" s="4" t="s">
        <v>5540</v>
      </c>
      <c r="B5462" s="5" t="str">
        <f>IFERROR(__xludf.DUMMYFUNCTION("IF(A5462="""","""",INDEX(SPLIT(A5462,"" ""),COUNTA(SPLIT(A5462,"" ""))))"),"Navelli")</f>
        <v>Navelli</v>
      </c>
      <c r="C5462" s="6"/>
      <c r="D5462" s="6" t="s">
        <v>5482</v>
      </c>
      <c r="E5462" s="7" t="s">
        <v>5483</v>
      </c>
    </row>
    <row r="5463">
      <c r="A5463" s="4" t="s">
        <v>5541</v>
      </c>
      <c r="B5463" s="5" t="str">
        <f>IFERROR(__xludf.DUMMYFUNCTION("IF(A5463="""","""",INDEX(SPLIT(A5463,"" ""),COUNTA(SPLIT(A5463,"" ""))))"),"Ocre")</f>
        <v>Ocre</v>
      </c>
      <c r="C5463" s="6"/>
      <c r="D5463" s="6" t="s">
        <v>5482</v>
      </c>
      <c r="E5463" s="7" t="s">
        <v>5483</v>
      </c>
    </row>
    <row r="5464">
      <c r="A5464" s="4" t="s">
        <v>5542</v>
      </c>
      <c r="B5464" s="5" t="str">
        <f>IFERROR(__xludf.DUMMYFUNCTION("IF(A5464="""","""",INDEX(SPLIT(A5464,"" ""),COUNTA(SPLIT(A5464,"" ""))))"),"Ofena")</f>
        <v>Ofena</v>
      </c>
      <c r="C5464" s="6"/>
      <c r="D5464" s="6" t="s">
        <v>5482</v>
      </c>
      <c r="E5464" s="7" t="s">
        <v>5483</v>
      </c>
    </row>
    <row r="5465">
      <c r="A5465" s="4" t="s">
        <v>5543</v>
      </c>
      <c r="B5465" s="5" t="str">
        <f>IFERROR(__xludf.DUMMYFUNCTION("IF(A5465="""","""",INDEX(SPLIT(A5465,"" ""),COUNTA(SPLIT(A5465,"" ""))))"),"Opi")</f>
        <v>Opi</v>
      </c>
      <c r="C5465" s="6"/>
      <c r="D5465" s="6" t="s">
        <v>5482</v>
      </c>
      <c r="E5465" s="7" t="s">
        <v>5483</v>
      </c>
    </row>
    <row r="5466">
      <c r="A5466" s="4" t="s">
        <v>5544</v>
      </c>
      <c r="B5466" s="5" t="str">
        <f>IFERROR(__xludf.DUMMYFUNCTION("IF(A5466="""","""",INDEX(SPLIT(A5466,"" ""),COUNTA(SPLIT(A5466,"" ""))))"),"Oricola")</f>
        <v>Oricola</v>
      </c>
      <c r="C5466" s="6"/>
      <c r="D5466" s="6" t="s">
        <v>5482</v>
      </c>
      <c r="E5466" s="7" t="s">
        <v>5483</v>
      </c>
    </row>
    <row r="5467">
      <c r="A5467" s="4" t="s">
        <v>5545</v>
      </c>
      <c r="B5467" s="5" t="str">
        <f>IFERROR(__xludf.DUMMYFUNCTION("IF(A5467="""","""",INDEX(SPLIT(A5467,"" ""),COUNTA(SPLIT(A5467,"" ""))))"),"Marsi")</f>
        <v>Marsi</v>
      </c>
      <c r="C5467" s="6"/>
      <c r="D5467" s="6" t="s">
        <v>5482</v>
      </c>
      <c r="E5467" s="7" t="s">
        <v>5483</v>
      </c>
    </row>
    <row r="5468">
      <c r="A5468" s="4" t="s">
        <v>5546</v>
      </c>
      <c r="B5468" s="5" t="str">
        <f>IFERROR(__xludf.DUMMYFUNCTION("IF(A5468="""","""",INDEX(SPLIT(A5468,"" ""),COUNTA(SPLIT(A5468,"" ""))))"),"Ortucchio")</f>
        <v>Ortucchio</v>
      </c>
      <c r="C5468" s="6"/>
      <c r="D5468" s="6" t="s">
        <v>5482</v>
      </c>
      <c r="E5468" s="7" t="s">
        <v>5483</v>
      </c>
    </row>
    <row r="5469">
      <c r="A5469" s="4" t="s">
        <v>5547</v>
      </c>
      <c r="B5469" s="5" t="str">
        <f>IFERROR(__xludf.DUMMYFUNCTION("IF(A5469="""","""",INDEX(SPLIT(A5469,"" ""),COUNTA(SPLIT(A5469,"" ""))))"),"Ovindoli")</f>
        <v>Ovindoli</v>
      </c>
      <c r="C5469" s="6"/>
      <c r="D5469" s="6" t="s">
        <v>5482</v>
      </c>
      <c r="E5469" s="7" t="s">
        <v>5483</v>
      </c>
    </row>
    <row r="5470">
      <c r="A5470" s="4" t="s">
        <v>5548</v>
      </c>
      <c r="B5470" s="5" t="str">
        <f>IFERROR(__xludf.DUMMYFUNCTION("IF(A5470="""","""",INDEX(SPLIT(A5470,"" ""),COUNTA(SPLIT(A5470,"" ""))))"),"Pacentro")</f>
        <v>Pacentro</v>
      </c>
      <c r="C5470" s="6"/>
      <c r="D5470" s="6" t="s">
        <v>5482</v>
      </c>
      <c r="E5470" s="7" t="s">
        <v>5483</v>
      </c>
    </row>
    <row r="5471">
      <c r="A5471" s="4" t="s">
        <v>5549</v>
      </c>
      <c r="B5471" s="5" t="str">
        <f>IFERROR(__xludf.DUMMYFUNCTION("IF(A5471="""","""",INDEX(SPLIT(A5471,"" ""),COUNTA(SPLIT(A5471,"" ""))))"),"Pereto")</f>
        <v>Pereto</v>
      </c>
      <c r="C5471" s="6"/>
      <c r="D5471" s="6" t="s">
        <v>5482</v>
      </c>
      <c r="E5471" s="7" t="s">
        <v>5483</v>
      </c>
    </row>
    <row r="5472">
      <c r="A5472" s="4" t="s">
        <v>5550</v>
      </c>
      <c r="B5472" s="5" t="str">
        <f>IFERROR(__xludf.DUMMYFUNCTION("IF(A5472="""","""",INDEX(SPLIT(A5472,"" ""),COUNTA(SPLIT(A5472,"" ""))))"),"Pescasseroli")</f>
        <v>Pescasseroli</v>
      </c>
      <c r="C5472" s="6"/>
      <c r="D5472" s="6" t="s">
        <v>5482</v>
      </c>
      <c r="E5472" s="7" t="s">
        <v>5483</v>
      </c>
    </row>
    <row r="5473">
      <c r="A5473" s="4" t="s">
        <v>5551</v>
      </c>
      <c r="B5473" s="5" t="str">
        <f>IFERROR(__xludf.DUMMYFUNCTION("IF(A5473="""","""",INDEX(SPLIT(A5473,"" ""),COUNTA(SPLIT(A5473,"" ""))))"),"Pescina")</f>
        <v>Pescina</v>
      </c>
      <c r="C5473" s="6"/>
      <c r="D5473" s="6" t="s">
        <v>5482</v>
      </c>
      <c r="E5473" s="7" t="s">
        <v>5483</v>
      </c>
    </row>
    <row r="5474">
      <c r="A5474" s="4" t="s">
        <v>5552</v>
      </c>
      <c r="B5474" s="5" t="str">
        <f>IFERROR(__xludf.DUMMYFUNCTION("IF(A5474="""","""",INDEX(SPLIT(A5474,"" ""),COUNTA(SPLIT(A5474,"" ""))))"),"Pescocostanzo")</f>
        <v>Pescocostanzo</v>
      </c>
      <c r="C5474" s="6"/>
      <c r="D5474" s="6" t="s">
        <v>5482</v>
      </c>
      <c r="E5474" s="7" t="s">
        <v>5483</v>
      </c>
    </row>
    <row r="5475">
      <c r="A5475" s="4" t="s">
        <v>5553</v>
      </c>
      <c r="B5475" s="5" t="str">
        <f>IFERROR(__xludf.DUMMYFUNCTION("IF(A5475="""","""",INDEX(SPLIT(A5475,"" ""),COUNTA(SPLIT(A5475,"" ""))))"),"Gizio")</f>
        <v>Gizio</v>
      </c>
      <c r="C5475" s="6"/>
      <c r="D5475" s="6" t="s">
        <v>5482</v>
      </c>
      <c r="E5475" s="7" t="s">
        <v>5483</v>
      </c>
    </row>
    <row r="5476">
      <c r="A5476" s="4" t="s">
        <v>5554</v>
      </c>
      <c r="B5476" s="5" t="str">
        <f>IFERROR(__xludf.DUMMYFUNCTION("IF(A5476="""","""",INDEX(SPLIT(A5476,"" ""),COUNTA(SPLIT(A5476,"" ""))))"),"Pizzoli")</f>
        <v>Pizzoli</v>
      </c>
      <c r="C5476" s="6"/>
      <c r="D5476" s="6" t="s">
        <v>5482</v>
      </c>
      <c r="E5476" s="7" t="s">
        <v>5483</v>
      </c>
    </row>
    <row r="5477">
      <c r="A5477" s="4" t="s">
        <v>5555</v>
      </c>
      <c r="B5477" s="5" t="str">
        <f>IFERROR(__xludf.DUMMYFUNCTION("IF(A5477="""","""",INDEX(SPLIT(A5477,"" ""),COUNTA(SPLIT(A5477,"" ""))))"),"Picenze")</f>
        <v>Picenze</v>
      </c>
      <c r="C5477" s="6"/>
      <c r="D5477" s="6" t="s">
        <v>5482</v>
      </c>
      <c r="E5477" s="7" t="s">
        <v>5483</v>
      </c>
    </row>
    <row r="5478">
      <c r="A5478" s="4" t="s">
        <v>5556</v>
      </c>
      <c r="B5478" s="5" t="str">
        <f>IFERROR(__xludf.DUMMYFUNCTION("IF(A5478="""","""",INDEX(SPLIT(A5478,"" ""),COUNTA(SPLIT(A5478,"" ""))))"),"d'Ansidonia")</f>
        <v>d'Ansidonia</v>
      </c>
      <c r="C5478" s="6"/>
      <c r="D5478" s="6" t="s">
        <v>5482</v>
      </c>
      <c r="E5478" s="7" t="s">
        <v>5483</v>
      </c>
    </row>
    <row r="5479">
      <c r="A5479" s="4" t="s">
        <v>5557</v>
      </c>
      <c r="B5479" s="5" t="str">
        <f>IFERROR(__xludf.DUMMYFUNCTION("IF(A5479="""","""",INDEX(SPLIT(A5479,"" ""),COUNTA(SPLIT(A5479,"" ""))))"),"Peligna")</f>
        <v>Peligna</v>
      </c>
      <c r="C5479" s="6"/>
      <c r="D5479" s="6" t="s">
        <v>5482</v>
      </c>
      <c r="E5479" s="7" t="s">
        <v>5483</v>
      </c>
    </row>
    <row r="5480">
      <c r="A5480" s="4" t="s">
        <v>5558</v>
      </c>
      <c r="B5480" s="5" t="str">
        <f>IFERROR(__xludf.DUMMYFUNCTION("IF(A5480="""","""",INDEX(SPLIT(A5480,"" ""),COUNTA(SPLIT(A5480,"" ""))))"),"Prezza")</f>
        <v>Prezza</v>
      </c>
      <c r="C5480" s="6"/>
      <c r="D5480" s="6" t="s">
        <v>5482</v>
      </c>
      <c r="E5480" s="7" t="s">
        <v>5483</v>
      </c>
    </row>
    <row r="5481">
      <c r="A5481" s="4" t="s">
        <v>5559</v>
      </c>
      <c r="B5481" s="5" t="str">
        <f>IFERROR(__xludf.DUMMYFUNCTION("IF(A5481="""","""",INDEX(SPLIT(A5481,"" ""),COUNTA(SPLIT(A5481,"" ""))))"),"Raiano")</f>
        <v>Raiano</v>
      </c>
      <c r="C5481" s="6"/>
      <c r="D5481" s="6" t="s">
        <v>5482</v>
      </c>
      <c r="E5481" s="7" t="s">
        <v>5483</v>
      </c>
    </row>
    <row r="5482">
      <c r="A5482" s="4" t="s">
        <v>5560</v>
      </c>
      <c r="B5482" s="5" t="str">
        <f>IFERROR(__xludf.DUMMYFUNCTION("IF(A5482="""","""",INDEX(SPLIT(A5482,"" ""),COUNTA(SPLIT(A5482,"" ""))))"),"Rivisondoli")</f>
        <v>Rivisondoli</v>
      </c>
      <c r="C5482" s="6"/>
      <c r="D5482" s="6" t="s">
        <v>5482</v>
      </c>
      <c r="E5482" s="7" t="s">
        <v>5483</v>
      </c>
    </row>
    <row r="5483">
      <c r="A5483" s="4" t="s">
        <v>5561</v>
      </c>
      <c r="B5483" s="5" t="str">
        <f>IFERROR(__xludf.DUMMYFUNCTION("IF(A5483="""","""",INDEX(SPLIT(A5483,"" ""),COUNTA(SPLIT(A5483,"" ""))))"),"Roccacasale")</f>
        <v>Roccacasale</v>
      </c>
      <c r="C5483" s="6"/>
      <c r="D5483" s="6" t="s">
        <v>5482</v>
      </c>
      <c r="E5483" s="7" t="s">
        <v>5483</v>
      </c>
    </row>
    <row r="5484">
      <c r="A5484" s="4" t="s">
        <v>5562</v>
      </c>
      <c r="B5484" s="5" t="str">
        <f>IFERROR(__xludf.DUMMYFUNCTION("IF(A5484="""","""",INDEX(SPLIT(A5484,"" ""),COUNTA(SPLIT(A5484,"" ""))))"),"Botte")</f>
        <v>Botte</v>
      </c>
      <c r="C5484" s="6"/>
      <c r="D5484" s="6" t="s">
        <v>5482</v>
      </c>
      <c r="E5484" s="7" t="s">
        <v>5483</v>
      </c>
    </row>
    <row r="5485">
      <c r="A5485" s="4" t="s">
        <v>5563</v>
      </c>
      <c r="B5485" s="5" t="str">
        <f>IFERROR(__xludf.DUMMYFUNCTION("IF(A5485="""","""",INDEX(SPLIT(A5485,"" ""),COUNTA(SPLIT(A5485,"" ""))))"),"Cambio")</f>
        <v>Cambio</v>
      </c>
      <c r="C5485" s="6"/>
      <c r="D5485" s="6" t="s">
        <v>5482</v>
      </c>
      <c r="E5485" s="7" t="s">
        <v>5483</v>
      </c>
    </row>
    <row r="5486">
      <c r="A5486" s="4" t="s">
        <v>5564</v>
      </c>
      <c r="B5486" s="5" t="str">
        <f>IFERROR(__xludf.DUMMYFUNCTION("IF(A5486="""","""",INDEX(SPLIT(A5486,"" ""),COUNTA(SPLIT(A5486,"" ""))))"),"Mezzo")</f>
        <v>Mezzo</v>
      </c>
      <c r="C5486" s="6"/>
      <c r="D5486" s="6" t="s">
        <v>5482</v>
      </c>
      <c r="E5486" s="7" t="s">
        <v>5483</v>
      </c>
    </row>
    <row r="5487">
      <c r="A5487" s="4" t="s">
        <v>5565</v>
      </c>
      <c r="B5487" s="5" t="str">
        <f>IFERROR(__xludf.DUMMYFUNCTION("IF(A5487="""","""",INDEX(SPLIT(A5487,"" ""),COUNTA(SPLIT(A5487,"" ""))))"),"Pia")</f>
        <v>Pia</v>
      </c>
      <c r="C5487" s="6"/>
      <c r="D5487" s="6" t="s">
        <v>5482</v>
      </c>
      <c r="E5487" s="7" t="s">
        <v>5483</v>
      </c>
    </row>
    <row r="5488">
      <c r="A5488" s="4" t="s">
        <v>5566</v>
      </c>
      <c r="B5488" s="5" t="str">
        <f>IFERROR(__xludf.DUMMYFUNCTION("IF(A5488="""","""",INDEX(SPLIT(A5488,"" ""),COUNTA(SPLIT(A5488,"" ""))))"),"Roccaraso")</f>
        <v>Roccaraso</v>
      </c>
      <c r="C5488" s="6"/>
      <c r="D5488" s="6" t="s">
        <v>5482</v>
      </c>
      <c r="E5488" s="7" t="s">
        <v>5483</v>
      </c>
    </row>
    <row r="5489">
      <c r="A5489" s="4" t="s">
        <v>5567</v>
      </c>
      <c r="B5489" s="5" t="str">
        <f>IFERROR(__xludf.DUMMYFUNCTION("IF(A5489="""","""",INDEX(SPLIT(A5489,"" ""),COUNTA(SPLIT(A5489,"" ""))))"),"Marsi")</f>
        <v>Marsi</v>
      </c>
      <c r="C5489" s="6"/>
      <c r="D5489" s="6" t="s">
        <v>5482</v>
      </c>
      <c r="E5489" s="7" t="s">
        <v>5483</v>
      </c>
    </row>
    <row r="5490">
      <c r="A5490" s="4" t="s">
        <v>5568</v>
      </c>
      <c r="B5490" s="5" t="str">
        <f>IFERROR(__xludf.DUMMYFUNCTION("IF(A5490="""","""",INDEX(SPLIT(A5490,"" ""),COUNTA(SPLIT(A5490,"" ""))))"),"Perillis")</f>
        <v>Perillis</v>
      </c>
      <c r="C5490" s="6"/>
      <c r="D5490" s="6" t="s">
        <v>5482</v>
      </c>
      <c r="E5490" s="7" t="s">
        <v>5483</v>
      </c>
    </row>
    <row r="5491">
      <c r="A5491" s="4" t="s">
        <v>5569</v>
      </c>
      <c r="B5491" s="5" t="str">
        <f>IFERROR(__xludf.DUMMYFUNCTION("IF(A5491="""","""",INDEX(SPLIT(A5491,"" ""),COUNTA(SPLIT(A5491,"" ""))))"),"Vestini")</f>
        <v>Vestini</v>
      </c>
      <c r="C5491" s="6"/>
      <c r="D5491" s="6" t="s">
        <v>5482</v>
      </c>
      <c r="E5491" s="7" t="s">
        <v>5483</v>
      </c>
    </row>
    <row r="5492">
      <c r="A5492" s="4" t="s">
        <v>5570</v>
      </c>
      <c r="B5492" s="5" t="str">
        <f>IFERROR(__xludf.DUMMYFUNCTION("IF(A5492="""","""",INDEX(SPLIT(A5492,"" ""),COUNTA(SPLIT(A5492,"" ""))))"),"Camere")</f>
        <v>Camere</v>
      </c>
      <c r="C5492" s="6"/>
      <c r="D5492" s="6" t="s">
        <v>5482</v>
      </c>
      <c r="E5492" s="7" t="s">
        <v>5483</v>
      </c>
    </row>
    <row r="5493">
      <c r="A5493" s="4" t="s">
        <v>5571</v>
      </c>
      <c r="B5493" s="5" t="str">
        <f>IFERROR(__xludf.DUMMYFUNCTION("IF(A5493="""","""",INDEX(SPLIT(A5493,"" ""),COUNTA(SPLIT(A5493,"" ""))))"),"Marie")</f>
        <v>Marie</v>
      </c>
      <c r="C5493" s="6"/>
      <c r="D5493" s="6" t="s">
        <v>5482</v>
      </c>
      <c r="E5493" s="7" t="s">
        <v>5483</v>
      </c>
    </row>
    <row r="5494">
      <c r="A5494" s="4" t="s">
        <v>5572</v>
      </c>
      <c r="B5494" s="5" t="str">
        <f>IFERROR(__xludf.DUMMYFUNCTION("IF(A5494="""","""",INDEX(SPLIT(A5494,"" ""),COUNTA(SPLIT(A5494,"" ""))))"),"Forconese")</f>
        <v>Forconese</v>
      </c>
      <c r="C5494" s="6"/>
      <c r="D5494" s="6" t="s">
        <v>5482</v>
      </c>
      <c r="E5494" s="7" t="s">
        <v>5483</v>
      </c>
    </row>
    <row r="5495">
      <c r="A5495" s="4" t="s">
        <v>5573</v>
      </c>
      <c r="B5495" s="5" t="str">
        <f>IFERROR(__xludf.DUMMYFUNCTION("IF(A5495="""","""",INDEX(SPLIT(A5495,"" ""),COUNTA(SPLIT(A5495,"" ""))))"),"Sessanio")</f>
        <v>Sessanio</v>
      </c>
      <c r="C5495" s="6"/>
      <c r="D5495" s="6" t="s">
        <v>5482</v>
      </c>
      <c r="E5495" s="7" t="s">
        <v>5483</v>
      </c>
    </row>
    <row r="5496">
      <c r="A5496" s="4" t="s">
        <v>5574</v>
      </c>
      <c r="B5496" s="5" t="str">
        <f>IFERROR(__xludf.DUMMYFUNCTION("IF(A5496="""","""",INDEX(SPLIT(A5496,"" ""),COUNTA(SPLIT(A5496,"" ""))))"),"Roveto")</f>
        <v>Roveto</v>
      </c>
      <c r="C5496" s="6"/>
      <c r="D5496" s="6" t="s">
        <v>5482</v>
      </c>
      <c r="E5496" s="7" t="s">
        <v>5483</v>
      </c>
    </row>
    <row r="5497">
      <c r="A5497" s="4" t="s">
        <v>5575</v>
      </c>
      <c r="B5497" s="5" t="str">
        <f>IFERROR(__xludf.DUMMYFUNCTION("IF(A5497="""","""",INDEX(SPLIT(A5497,"" ""),COUNTA(SPLIT(A5497,"" ""))))"),"Scanno")</f>
        <v>Scanno</v>
      </c>
      <c r="C5497" s="6"/>
      <c r="D5497" s="6" t="s">
        <v>5482</v>
      </c>
      <c r="E5497" s="7" t="s">
        <v>5483</v>
      </c>
    </row>
    <row r="5498">
      <c r="A5498" s="4" t="s">
        <v>5576</v>
      </c>
      <c r="B5498" s="5" t="str">
        <f>IFERROR(__xludf.DUMMYFUNCTION("IF(A5498="""","""",INDEX(SPLIT(A5498,"" ""),COUNTA(SPLIT(A5498,"" ""))))"),"Scontrone")</f>
        <v>Scontrone</v>
      </c>
      <c r="C5498" s="6"/>
      <c r="D5498" s="6" t="s">
        <v>5482</v>
      </c>
      <c r="E5498" s="7" t="s">
        <v>5483</v>
      </c>
    </row>
    <row r="5499">
      <c r="A5499" s="4" t="s">
        <v>5577</v>
      </c>
      <c r="B5499" s="5" t="str">
        <f>IFERROR(__xludf.DUMMYFUNCTION("IF(A5499="""","""",INDEX(SPLIT(A5499,"" ""),COUNTA(SPLIT(A5499,"" ""))))"),"Scoppito")</f>
        <v>Scoppito</v>
      </c>
      <c r="C5499" s="6"/>
      <c r="D5499" s="6" t="s">
        <v>5482</v>
      </c>
      <c r="E5499" s="7" t="s">
        <v>5483</v>
      </c>
    </row>
    <row r="5500">
      <c r="A5500" s="4" t="s">
        <v>5578</v>
      </c>
      <c r="B5500" s="5" t="str">
        <f>IFERROR(__xludf.DUMMYFUNCTION("IF(A5500="""","""",INDEX(SPLIT(A5500,"" ""),COUNTA(SPLIT(A5500,"" ""))))"),"Marsicana")</f>
        <v>Marsicana</v>
      </c>
      <c r="C5500" s="6"/>
      <c r="D5500" s="6" t="s">
        <v>5482</v>
      </c>
      <c r="E5500" s="7" t="s">
        <v>5483</v>
      </c>
    </row>
    <row r="5501">
      <c r="A5501" s="4" t="s">
        <v>5579</v>
      </c>
      <c r="B5501" s="5" t="str">
        <f>IFERROR(__xludf.DUMMYFUNCTION("IF(A5501="""","""",INDEX(SPLIT(A5501,"" ""),COUNTA(SPLIT(A5501,"" ""))))"),"Secinaro")</f>
        <v>Secinaro</v>
      </c>
      <c r="C5501" s="6"/>
      <c r="D5501" s="6" t="s">
        <v>5482</v>
      </c>
      <c r="E5501" s="7" t="s">
        <v>5483</v>
      </c>
    </row>
    <row r="5502">
      <c r="A5502" s="4" t="s">
        <v>5580</v>
      </c>
      <c r="B5502" s="5" t="str">
        <f>IFERROR(__xludf.DUMMYFUNCTION("IF(A5502="""","""",INDEX(SPLIT(A5502,"" ""),COUNTA(SPLIT(A5502,"" ""))))"),"Sulmona")</f>
        <v>Sulmona</v>
      </c>
      <c r="C5502" s="6"/>
      <c r="D5502" s="6" t="s">
        <v>5482</v>
      </c>
      <c r="E5502" s="7" t="s">
        <v>5483</v>
      </c>
    </row>
    <row r="5503">
      <c r="A5503" s="4" t="s">
        <v>5581</v>
      </c>
      <c r="B5503" s="5" t="str">
        <f>IFERROR(__xludf.DUMMYFUNCTION("IF(A5503="""","""",INDEX(SPLIT(A5503,"" ""),COUNTA(SPLIT(A5503,"" ""))))"),"Tagliacozzo")</f>
        <v>Tagliacozzo</v>
      </c>
      <c r="C5503" s="6"/>
      <c r="D5503" s="6" t="s">
        <v>5482</v>
      </c>
      <c r="E5503" s="7" t="s">
        <v>5483</v>
      </c>
    </row>
    <row r="5504">
      <c r="A5504" s="4" t="s">
        <v>5582</v>
      </c>
      <c r="B5504" s="5" t="str">
        <f>IFERROR(__xludf.DUMMYFUNCTION("IF(A5504="""","""",INDEX(SPLIT(A5504,"" ""),COUNTA(SPLIT(A5504,"" ""))))"),"Abruzzi")</f>
        <v>Abruzzi</v>
      </c>
      <c r="C5504" s="6"/>
      <c r="D5504" s="6" t="s">
        <v>5482</v>
      </c>
      <c r="E5504" s="7" t="s">
        <v>5483</v>
      </c>
    </row>
    <row r="5505">
      <c r="A5505" s="4" t="s">
        <v>5583</v>
      </c>
      <c r="B5505" s="5" t="str">
        <f>IFERROR(__xludf.DUMMYFUNCTION("IF(A5505="""","""",INDEX(SPLIT(A5505,"" ""),COUNTA(SPLIT(A5505,"" ""))))"),"Tornimparte")</f>
        <v>Tornimparte</v>
      </c>
      <c r="C5505" s="6"/>
      <c r="D5505" s="6" t="s">
        <v>5482</v>
      </c>
      <c r="E5505" s="7" t="s">
        <v>5483</v>
      </c>
    </row>
    <row r="5506">
      <c r="A5506" s="4" t="s">
        <v>5584</v>
      </c>
      <c r="B5506" s="5" t="str">
        <f>IFERROR(__xludf.DUMMYFUNCTION("IF(A5506="""","""",INDEX(SPLIT(A5506,"" ""),COUNTA(SPLIT(A5506,"" ""))))"),"Trasacco")</f>
        <v>Trasacco</v>
      </c>
      <c r="C5506" s="6"/>
      <c r="D5506" s="6" t="s">
        <v>5482</v>
      </c>
      <c r="E5506" s="7" t="s">
        <v>5483</v>
      </c>
    </row>
    <row r="5507">
      <c r="A5507" s="4" t="s">
        <v>5585</v>
      </c>
      <c r="B5507" s="5" t="str">
        <f>IFERROR(__xludf.DUMMYFUNCTION("IF(A5507="""","""",INDEX(SPLIT(A5507,"" ""),COUNTA(SPLIT(A5507,"" ""))))"),"Villalago")</f>
        <v>Villalago</v>
      </c>
      <c r="C5507" s="6"/>
      <c r="D5507" s="6" t="s">
        <v>5482</v>
      </c>
      <c r="E5507" s="7" t="s">
        <v>5483</v>
      </c>
    </row>
    <row r="5508">
      <c r="A5508" s="4" t="s">
        <v>5586</v>
      </c>
      <c r="B5508" s="5" t="str">
        <f>IFERROR(__xludf.DUMMYFUNCTION("IF(A5508="""","""",INDEX(SPLIT(A5508,"" ""),COUNTA(SPLIT(A5508,"" ""))))"),"Abruzzi")</f>
        <v>Abruzzi</v>
      </c>
      <c r="C5508" s="6"/>
      <c r="D5508" s="6" t="s">
        <v>5482</v>
      </c>
      <c r="E5508" s="7" t="s">
        <v>5483</v>
      </c>
    </row>
    <row r="5509">
      <c r="A5509" s="4" t="s">
        <v>5587</v>
      </c>
      <c r="B5509" s="5" t="str">
        <f>IFERROR(__xludf.DUMMYFUNCTION("IF(A5509="""","""",INDEX(SPLIT(A5509,"" ""),COUNTA(SPLIT(A5509,"" ""))))"),"Sant'Angelo")</f>
        <v>Sant'Angelo</v>
      </c>
      <c r="C5509" s="6"/>
      <c r="D5509" s="6" t="s">
        <v>5482</v>
      </c>
      <c r="E5509" s="7" t="s">
        <v>5483</v>
      </c>
    </row>
    <row r="5510">
      <c r="A5510" s="4" t="s">
        <v>5588</v>
      </c>
      <c r="B5510" s="5" t="str">
        <f>IFERROR(__xludf.DUMMYFUNCTION("IF(A5510="""","""",INDEX(SPLIT(A5510,"" ""),COUNTA(SPLIT(A5510,"" ""))))"),"Villavallelonga")</f>
        <v>Villavallelonga</v>
      </c>
      <c r="C5510" s="6"/>
      <c r="D5510" s="6" t="s">
        <v>5482</v>
      </c>
      <c r="E5510" s="7" t="s">
        <v>5483</v>
      </c>
    </row>
    <row r="5511">
      <c r="A5511" s="4" t="s">
        <v>5589</v>
      </c>
      <c r="B5511" s="5" t="str">
        <f>IFERROR(__xludf.DUMMYFUNCTION("IF(A5511="""","""",INDEX(SPLIT(A5511,"" ""),COUNTA(SPLIT(A5511,"" ""))))"),"Barrea")</f>
        <v>Barrea</v>
      </c>
      <c r="C5511" s="6"/>
      <c r="D5511" s="6" t="s">
        <v>5482</v>
      </c>
      <c r="E5511" s="7" t="s">
        <v>5483</v>
      </c>
    </row>
    <row r="5512">
      <c r="A5512" s="4" t="s">
        <v>5590</v>
      </c>
      <c r="B5512" s="5" t="str">
        <f>IFERROR(__xludf.DUMMYFUNCTION("IF(A5512="""","""",INDEX(SPLIT(A5512,"" ""),COUNTA(SPLIT(A5512,"" ""))))"),"Vittorito")</f>
        <v>Vittorito</v>
      </c>
      <c r="C5512" s="6"/>
      <c r="D5512" s="6" t="s">
        <v>5482</v>
      </c>
      <c r="E5512" s="7" t="s">
        <v>5483</v>
      </c>
    </row>
    <row r="5513">
      <c r="A5513" s="4" t="s">
        <v>5591</v>
      </c>
      <c r="B5513" s="5" t="str">
        <f>IFERROR(__xludf.DUMMYFUNCTION("IF(A5513="""","""",INDEX(SPLIT(A5513,"" ""),COUNTA(SPLIT(A5513,"" ""))))"),"Adriatica")</f>
        <v>Adriatica</v>
      </c>
      <c r="C5513" s="6"/>
      <c r="D5513" s="6" t="s">
        <v>5592</v>
      </c>
      <c r="E5513" s="7" t="s">
        <v>5593</v>
      </c>
    </row>
    <row r="5514">
      <c r="A5514" s="4" t="s">
        <v>5594</v>
      </c>
      <c r="B5514" s="5" t="str">
        <f>IFERROR(__xludf.DUMMYFUNCTION("IF(A5514="""","""",INDEX(SPLIT(A5514,"" ""),COUNTA(SPLIT(A5514,"" ""))))"),"Ancarano")</f>
        <v>Ancarano</v>
      </c>
      <c r="C5514" s="6"/>
      <c r="D5514" s="6" t="s">
        <v>5592</v>
      </c>
      <c r="E5514" s="7" t="s">
        <v>5593</v>
      </c>
    </row>
    <row r="5515">
      <c r="A5515" s="4" t="s">
        <v>5595</v>
      </c>
      <c r="B5515" s="5" t="str">
        <f>IFERROR(__xludf.DUMMYFUNCTION("IF(A5515="""","""",INDEX(SPLIT(A5515,"" ""),COUNTA(SPLIT(A5515,"" ""))))"),"Arsita")</f>
        <v>Arsita</v>
      </c>
      <c r="C5515" s="6"/>
      <c r="D5515" s="6" t="s">
        <v>5592</v>
      </c>
      <c r="E5515" s="7" t="s">
        <v>5593</v>
      </c>
    </row>
    <row r="5516">
      <c r="A5516" s="4" t="s">
        <v>5596</v>
      </c>
      <c r="B5516" s="5" t="str">
        <f>IFERROR(__xludf.DUMMYFUNCTION("IF(A5516="""","""",INDEX(SPLIT(A5516,"" ""),COUNTA(SPLIT(A5516,"" ""))))"),"Atri")</f>
        <v>Atri</v>
      </c>
      <c r="C5516" s="6"/>
      <c r="D5516" s="6" t="s">
        <v>5592</v>
      </c>
      <c r="E5516" s="7" t="s">
        <v>5593</v>
      </c>
    </row>
    <row r="5517">
      <c r="A5517" s="4" t="s">
        <v>5597</v>
      </c>
      <c r="B5517" s="5" t="str">
        <f>IFERROR(__xludf.DUMMYFUNCTION("IF(A5517="""","""",INDEX(SPLIT(A5517,"" ""),COUNTA(SPLIT(A5517,"" ""))))"),"Basciano")</f>
        <v>Basciano</v>
      </c>
      <c r="C5517" s="6"/>
      <c r="D5517" s="6" t="s">
        <v>5592</v>
      </c>
      <c r="E5517" s="7" t="s">
        <v>5593</v>
      </c>
    </row>
    <row r="5518">
      <c r="A5518" s="4" t="s">
        <v>5598</v>
      </c>
      <c r="B5518" s="5" t="str">
        <f>IFERROR(__xludf.DUMMYFUNCTION("IF(A5518="""","""",INDEX(SPLIT(A5518,"" ""),COUNTA(SPLIT(A5518,"" ""))))"),"Bellante")</f>
        <v>Bellante</v>
      </c>
      <c r="C5518" s="6"/>
      <c r="D5518" s="6" t="s">
        <v>5592</v>
      </c>
      <c r="E5518" s="7" t="s">
        <v>5593</v>
      </c>
    </row>
    <row r="5519">
      <c r="A5519" s="4" t="s">
        <v>5599</v>
      </c>
      <c r="B5519" s="5" t="str">
        <f>IFERROR(__xludf.DUMMYFUNCTION("IF(A5519="""","""",INDEX(SPLIT(A5519,"" ""),COUNTA(SPLIT(A5519,"" ""))))"),"Bisenti")</f>
        <v>Bisenti</v>
      </c>
      <c r="C5519" s="6"/>
      <c r="D5519" s="6" t="s">
        <v>5592</v>
      </c>
      <c r="E5519" s="7" t="s">
        <v>5593</v>
      </c>
    </row>
    <row r="5520">
      <c r="A5520" s="4" t="s">
        <v>5600</v>
      </c>
      <c r="B5520" s="5" t="str">
        <f>IFERROR(__xludf.DUMMYFUNCTION("IF(A5520="""","""",INDEX(SPLIT(A5520,"" ""),COUNTA(SPLIT(A5520,"" ""))))"),"Campli")</f>
        <v>Campli</v>
      </c>
      <c r="C5520" s="6"/>
      <c r="D5520" s="6" t="s">
        <v>5592</v>
      </c>
      <c r="E5520" s="7" t="s">
        <v>5593</v>
      </c>
    </row>
    <row r="5521">
      <c r="A5521" s="4" t="s">
        <v>5601</v>
      </c>
      <c r="B5521" s="5" t="str">
        <f>IFERROR(__xludf.DUMMYFUNCTION("IF(A5521="""","""",INDEX(SPLIT(A5521,"" ""),COUNTA(SPLIT(A5521,"" ""))))"),"Canzano")</f>
        <v>Canzano</v>
      </c>
      <c r="C5521" s="6"/>
      <c r="D5521" s="6" t="s">
        <v>5592</v>
      </c>
      <c r="E5521" s="7" t="s">
        <v>5593</v>
      </c>
    </row>
    <row r="5522">
      <c r="A5522" s="4" t="s">
        <v>5602</v>
      </c>
      <c r="B5522" s="5" t="str">
        <f>IFERROR(__xludf.DUMMYFUNCTION("IF(A5522="""","""",INDEX(SPLIT(A5522,"" ""),COUNTA(SPLIT(A5522,"" ""))))"),"Castagna")</f>
        <v>Castagna</v>
      </c>
      <c r="C5522" s="6"/>
      <c r="D5522" s="6" t="s">
        <v>5592</v>
      </c>
      <c r="E5522" s="7" t="s">
        <v>5593</v>
      </c>
    </row>
    <row r="5523">
      <c r="A5523" s="4" t="s">
        <v>5603</v>
      </c>
      <c r="B5523" s="5" t="str">
        <f>IFERROR(__xludf.DUMMYFUNCTION("IF(A5523="""","""",INDEX(SPLIT(A5523,"" ""),COUNTA(SPLIT(A5523,"" ""))))"),"Castellalto")</f>
        <v>Castellalto</v>
      </c>
      <c r="C5523" s="6"/>
      <c r="D5523" s="6" t="s">
        <v>5592</v>
      </c>
      <c r="E5523" s="7" t="s">
        <v>5593</v>
      </c>
    </row>
    <row r="5524">
      <c r="A5524" s="4" t="s">
        <v>5604</v>
      </c>
      <c r="B5524" s="5" t="str">
        <f>IFERROR(__xludf.DUMMYFUNCTION("IF(A5524="""","""",INDEX(SPLIT(A5524,"" ""),COUNTA(SPLIT(A5524,"" ""))))"),"Castelli")</f>
        <v>Castelli</v>
      </c>
      <c r="C5524" s="6"/>
      <c r="D5524" s="6" t="s">
        <v>5592</v>
      </c>
      <c r="E5524" s="7" t="s">
        <v>5593</v>
      </c>
    </row>
    <row r="5525">
      <c r="A5525" s="4" t="s">
        <v>5605</v>
      </c>
      <c r="B5525" s="5" t="str">
        <f>IFERROR(__xludf.DUMMYFUNCTION("IF(A5525="""","""",INDEX(SPLIT(A5525,"" ""),COUNTA(SPLIT(A5525,"" ""))))"),"Raimondo")</f>
        <v>Raimondo</v>
      </c>
      <c r="C5525" s="6"/>
      <c r="D5525" s="6" t="s">
        <v>5592</v>
      </c>
      <c r="E5525" s="7" t="s">
        <v>5593</v>
      </c>
    </row>
    <row r="5526">
      <c r="A5526" s="4" t="s">
        <v>5606</v>
      </c>
      <c r="B5526" s="5" t="str">
        <f>IFERROR(__xludf.DUMMYFUNCTION("IF(A5526="""","""",INDEX(SPLIT(A5526,"" ""),COUNTA(SPLIT(A5526,"" ""))))"),"Castilenti")</f>
        <v>Castilenti</v>
      </c>
      <c r="C5526" s="6"/>
      <c r="D5526" s="6" t="s">
        <v>5592</v>
      </c>
      <c r="E5526" s="7" t="s">
        <v>5593</v>
      </c>
    </row>
    <row r="5527">
      <c r="A5527" s="4" t="s">
        <v>5607</v>
      </c>
      <c r="B5527" s="5" t="str">
        <f>IFERROR(__xludf.DUMMYFUNCTION("IF(A5527="""","""",INDEX(SPLIT(A5527,"" ""),COUNTA(SPLIT(A5527,"" ""))))"),"Attanasio")</f>
        <v>Attanasio</v>
      </c>
      <c r="C5527" s="6"/>
      <c r="D5527" s="6" t="s">
        <v>5592</v>
      </c>
      <c r="E5527" s="7" t="s">
        <v>5593</v>
      </c>
    </row>
    <row r="5528">
      <c r="A5528" s="4" t="s">
        <v>5608</v>
      </c>
      <c r="B5528" s="5" t="str">
        <f>IFERROR(__xludf.DUMMYFUNCTION("IF(A5528="""","""",INDEX(SPLIT(A5528,"" ""),COUNTA(SPLIT(A5528,"" ""))))"),"Cermignano")</f>
        <v>Cermignano</v>
      </c>
      <c r="C5528" s="6"/>
      <c r="D5528" s="6" t="s">
        <v>5592</v>
      </c>
      <c r="E5528" s="7" t="s">
        <v>5593</v>
      </c>
    </row>
    <row r="5529">
      <c r="A5529" s="4" t="s">
        <v>5609</v>
      </c>
      <c r="B5529" s="5" t="str">
        <f>IFERROR(__xludf.DUMMYFUNCTION("IF(A5529="""","""",INDEX(SPLIT(A5529,"" ""),COUNTA(SPLIT(A5529,"" ""))))"),"Tronto")</f>
        <v>Tronto</v>
      </c>
      <c r="C5529" s="6"/>
      <c r="D5529" s="6" t="s">
        <v>5592</v>
      </c>
      <c r="E5529" s="7" t="s">
        <v>5593</v>
      </c>
    </row>
    <row r="5530">
      <c r="A5530" s="4" t="s">
        <v>5610</v>
      </c>
      <c r="B5530" s="5" t="str">
        <f>IFERROR(__xludf.DUMMYFUNCTION("IF(A5530="""","""",INDEX(SPLIT(A5530,"" ""),COUNTA(SPLIT(A5530,"" ""))))"),"Colledara")</f>
        <v>Colledara</v>
      </c>
      <c r="C5530" s="6"/>
      <c r="D5530" s="6" t="s">
        <v>5592</v>
      </c>
      <c r="E5530" s="7" t="s">
        <v>5593</v>
      </c>
    </row>
    <row r="5531">
      <c r="A5531" s="4" t="s">
        <v>5611</v>
      </c>
      <c r="B5531" s="5" t="str">
        <f>IFERROR(__xludf.DUMMYFUNCTION("IF(A5531="""","""",INDEX(SPLIT(A5531,"" ""),COUNTA(SPLIT(A5531,"" ""))))"),"Colonnella")</f>
        <v>Colonnella</v>
      </c>
      <c r="C5531" s="6"/>
      <c r="D5531" s="6" t="s">
        <v>5592</v>
      </c>
      <c r="E5531" s="7" t="s">
        <v>5593</v>
      </c>
    </row>
    <row r="5532">
      <c r="A5532" s="4" t="s">
        <v>5612</v>
      </c>
      <c r="B5532" s="5" t="str">
        <f>IFERROR(__xludf.DUMMYFUNCTION("IF(A5532="""","""",INDEX(SPLIT(A5532,"" ""),COUNTA(SPLIT(A5532,"" ""))))"),"Controguerra")</f>
        <v>Controguerra</v>
      </c>
      <c r="C5532" s="6"/>
      <c r="D5532" s="6" t="s">
        <v>5592</v>
      </c>
      <c r="E5532" s="7" t="s">
        <v>5593</v>
      </c>
    </row>
    <row r="5533">
      <c r="A5533" s="4" t="s">
        <v>5613</v>
      </c>
      <c r="B5533" s="5" t="str">
        <f>IFERROR(__xludf.DUMMYFUNCTION("IF(A5533="""","""",INDEX(SPLIT(A5533,"" ""),COUNTA(SPLIT(A5533,"" ""))))"),"Corropoli")</f>
        <v>Corropoli</v>
      </c>
      <c r="C5533" s="6"/>
      <c r="D5533" s="6" t="s">
        <v>5592</v>
      </c>
      <c r="E5533" s="7" t="s">
        <v>5593</v>
      </c>
    </row>
    <row r="5534">
      <c r="A5534" s="4" t="s">
        <v>5614</v>
      </c>
      <c r="B5534" s="5" t="str">
        <f>IFERROR(__xludf.DUMMYFUNCTION("IF(A5534="""","""",INDEX(SPLIT(A5534,"" ""),COUNTA(SPLIT(A5534,"" ""))))"),"Cortino")</f>
        <v>Cortino</v>
      </c>
      <c r="C5534" s="6"/>
      <c r="D5534" s="6" t="s">
        <v>5592</v>
      </c>
      <c r="E5534" s="7" t="s">
        <v>5593</v>
      </c>
    </row>
    <row r="5535">
      <c r="A5535" s="4" t="s">
        <v>5615</v>
      </c>
      <c r="B5535" s="5" t="str">
        <f>IFERROR(__xludf.DUMMYFUNCTION("IF(A5535="""","""",INDEX(SPLIT(A5535,"" ""),COUNTA(SPLIT(A5535,"" ""))))"),"Crognaleto")</f>
        <v>Crognaleto</v>
      </c>
      <c r="C5535" s="6"/>
      <c r="D5535" s="6" t="s">
        <v>5592</v>
      </c>
      <c r="E5535" s="7" t="s">
        <v>5593</v>
      </c>
    </row>
    <row r="5536">
      <c r="A5536" s="4" t="s">
        <v>5616</v>
      </c>
      <c r="B5536" s="5" t="str">
        <f>IFERROR(__xludf.DUMMYFUNCTION("IF(A5536="""","""",INDEX(SPLIT(A5536,"" ""),COUNTA(SPLIT(A5536,"" ""))))"),"Adriano")</f>
        <v>Adriano</v>
      </c>
      <c r="C5536" s="6"/>
      <c r="D5536" s="6" t="s">
        <v>5592</v>
      </c>
      <c r="E5536" s="7" t="s">
        <v>5593</v>
      </c>
    </row>
    <row r="5537">
      <c r="A5537" s="4" t="s">
        <v>5617</v>
      </c>
      <c r="B5537" s="5" t="str">
        <f>IFERROR(__xludf.DUMMYFUNCTION("IF(A5537="""","""",INDEX(SPLIT(A5537,"" ""),COUNTA(SPLIT(A5537,"" ""))))"),"Giulianova")</f>
        <v>Giulianova</v>
      </c>
      <c r="C5537" s="6"/>
      <c r="D5537" s="6" t="s">
        <v>5592</v>
      </c>
      <c r="E5537" s="7" t="s">
        <v>5593</v>
      </c>
    </row>
    <row r="5538">
      <c r="A5538" s="4" t="s">
        <v>5618</v>
      </c>
      <c r="B5538" s="5" t="str">
        <f>IFERROR(__xludf.DUMMYFUNCTION("IF(A5538="""","""",INDEX(SPLIT(A5538,"" ""),COUNTA(SPLIT(A5538,"" ""))))"),"d'Italia")</f>
        <v>d'Italia</v>
      </c>
      <c r="C5538" s="6"/>
      <c r="D5538" s="6" t="s">
        <v>5592</v>
      </c>
      <c r="E5538" s="7" t="s">
        <v>5593</v>
      </c>
    </row>
    <row r="5539">
      <c r="A5539" s="4" t="s">
        <v>5619</v>
      </c>
      <c r="B5539" s="5" t="str">
        <f>IFERROR(__xludf.DUMMYFUNCTION("IF(A5539="""","""",INDEX(SPLIT(A5539,"" ""),COUNTA(SPLIT(A5539,"" ""))))"),"Montefino")</f>
        <v>Montefino</v>
      </c>
      <c r="C5539" s="6"/>
      <c r="D5539" s="6" t="s">
        <v>5592</v>
      </c>
      <c r="E5539" s="7" t="s">
        <v>5593</v>
      </c>
    </row>
    <row r="5540">
      <c r="A5540" s="4" t="s">
        <v>5620</v>
      </c>
      <c r="B5540" s="5" t="str">
        <f>IFERROR(__xludf.DUMMYFUNCTION("IF(A5540="""","""",INDEX(SPLIT(A5540,"" ""),COUNTA(SPLIT(A5540,"" ""))))"),"Vomano")</f>
        <v>Vomano</v>
      </c>
      <c r="C5540" s="6"/>
      <c r="D5540" s="6" t="s">
        <v>5592</v>
      </c>
      <c r="E5540" s="7" t="s">
        <v>5593</v>
      </c>
    </row>
    <row r="5541">
      <c r="A5541" s="4" t="s">
        <v>5621</v>
      </c>
      <c r="B5541" s="5" t="str">
        <f>IFERROR(__xludf.DUMMYFUNCTION("IF(A5541="""","""",INDEX(SPLIT(A5541,"" ""),COUNTA(SPLIT(A5541,"" ""))))"),"d'Oro")</f>
        <v>d'Oro</v>
      </c>
      <c r="C5541" s="6"/>
      <c r="D5541" s="6" t="s">
        <v>5592</v>
      </c>
      <c r="E5541" s="7" t="s">
        <v>5593</v>
      </c>
    </row>
    <row r="5542">
      <c r="A5542" s="4" t="s">
        <v>5622</v>
      </c>
      <c r="B5542" s="5" t="str">
        <f>IFERROR(__xludf.DUMMYFUNCTION("IF(A5542="""","""",INDEX(SPLIT(A5542,"" ""),COUNTA(SPLIT(A5542,"" ""))))"),"Sant'Angelo")</f>
        <v>Sant'Angelo</v>
      </c>
      <c r="C5542" s="6"/>
      <c r="D5542" s="6" t="s">
        <v>5592</v>
      </c>
      <c r="E5542" s="7" t="s">
        <v>5593</v>
      </c>
    </row>
    <row r="5543">
      <c r="A5543" s="4" t="s">
        <v>5623</v>
      </c>
      <c r="B5543" s="5" t="str">
        <f>IFERROR(__xludf.DUMMYFUNCTION("IF(A5543="""","""",INDEX(SPLIT(A5543,"" ""),COUNTA(SPLIT(A5543,"" ""))))"),"Nereto")</f>
        <v>Nereto</v>
      </c>
      <c r="C5543" s="6"/>
      <c r="D5543" s="6" t="s">
        <v>5592</v>
      </c>
      <c r="E5543" s="7" t="s">
        <v>5593</v>
      </c>
    </row>
    <row r="5544">
      <c r="A5544" s="4" t="s">
        <v>5624</v>
      </c>
      <c r="B5544" s="5" t="str">
        <f>IFERROR(__xludf.DUMMYFUNCTION("IF(A5544="""","""",INDEX(SPLIT(A5544,"" ""),COUNTA(SPLIT(A5544,"" ""))))"),"Notaresco")</f>
        <v>Notaresco</v>
      </c>
      <c r="C5544" s="6"/>
      <c r="D5544" s="6" t="s">
        <v>5592</v>
      </c>
      <c r="E5544" s="7" t="s">
        <v>5593</v>
      </c>
    </row>
    <row r="5545">
      <c r="A5545" s="4" t="s">
        <v>5625</v>
      </c>
      <c r="B5545" s="5" t="str">
        <f>IFERROR(__xludf.DUMMYFUNCTION("IF(A5545="""","""",INDEX(SPLIT(A5545,"" ""),COUNTA(SPLIT(A5545,"" ""))))"),"Sant'Andrea")</f>
        <v>Sant'Andrea</v>
      </c>
      <c r="C5545" s="6"/>
      <c r="D5545" s="6" t="s">
        <v>5592</v>
      </c>
      <c r="E5545" s="7" t="s">
        <v>5593</v>
      </c>
    </row>
    <row r="5546">
      <c r="A5546" s="4" t="s">
        <v>5626</v>
      </c>
      <c r="B5546" s="5" t="str">
        <f>IFERROR(__xludf.DUMMYFUNCTION("IF(A5546="""","""",INDEX(SPLIT(A5546,"" ""),COUNTA(SPLIT(A5546,"" ""))))"),"Pietracamela")</f>
        <v>Pietracamela</v>
      </c>
      <c r="C5546" s="6"/>
      <c r="D5546" s="6" t="s">
        <v>5592</v>
      </c>
      <c r="E5546" s="7" t="s">
        <v>5593</v>
      </c>
    </row>
    <row r="5547">
      <c r="A5547" s="4" t="s">
        <v>5627</v>
      </c>
      <c r="B5547" s="5" t="str">
        <f>IFERROR(__xludf.DUMMYFUNCTION("IF(A5547="""","""",INDEX(SPLIT(A5547,"" ""),COUNTA(SPLIT(A5547,"" ""))))"),"Pineto")</f>
        <v>Pineto</v>
      </c>
      <c r="C5547" s="6"/>
      <c r="D5547" s="6" t="s">
        <v>5592</v>
      </c>
      <c r="E5547" s="7" t="s">
        <v>5593</v>
      </c>
    </row>
    <row r="5548">
      <c r="A5548" s="4" t="s">
        <v>5628</v>
      </c>
      <c r="B5548" s="5" t="str">
        <f>IFERROR(__xludf.DUMMYFUNCTION("IF(A5548="""","""",INDEX(SPLIT(A5548,"" ""),COUNTA(SPLIT(A5548,"" ""))))"),"Maria")</f>
        <v>Maria</v>
      </c>
      <c r="C5548" s="6"/>
      <c r="D5548" s="6" t="s">
        <v>5592</v>
      </c>
      <c r="E5548" s="7" t="s">
        <v>5593</v>
      </c>
    </row>
    <row r="5549">
      <c r="A5549" s="4" t="s">
        <v>5629</v>
      </c>
      <c r="B5549" s="5" t="str">
        <f>IFERROR(__xludf.DUMMYFUNCTION("IF(A5549="""","""",INDEX(SPLIT(A5549,"" ""),COUNTA(SPLIT(A5549,"" ""))))"),"Abruzzi")</f>
        <v>Abruzzi</v>
      </c>
      <c r="C5549" s="6"/>
      <c r="D5549" s="6" t="s">
        <v>5592</v>
      </c>
      <c r="E5549" s="7" t="s">
        <v>5593</v>
      </c>
    </row>
    <row r="5550">
      <c r="A5550" s="4" t="s">
        <v>5630</v>
      </c>
      <c r="B5550" s="5" t="str">
        <f>IFERROR(__xludf.DUMMYFUNCTION("IF(A5550="""","""",INDEX(SPLIT(A5550,"" ""),COUNTA(SPLIT(A5550,"" ""))))"),"Vibrata")</f>
        <v>Vibrata</v>
      </c>
      <c r="C5550" s="6"/>
      <c r="D5550" s="6" t="s">
        <v>5592</v>
      </c>
      <c r="E5550" s="7" t="s">
        <v>5593</v>
      </c>
    </row>
    <row r="5551">
      <c r="A5551" s="4" t="s">
        <v>5631</v>
      </c>
      <c r="B5551" s="5" t="str">
        <f>IFERROR(__xludf.DUMMYFUNCTION("IF(A5551="""","""",INDEX(SPLIT(A5551,"" ""),COUNTA(SPLIT(A5551,"" ""))))"),"Sant'Omero")</f>
        <v>Sant'Omero</v>
      </c>
      <c r="C5551" s="6"/>
      <c r="D5551" s="6" t="s">
        <v>5592</v>
      </c>
      <c r="E5551" s="7" t="s">
        <v>5593</v>
      </c>
    </row>
    <row r="5552">
      <c r="A5552" s="4" t="s">
        <v>5632</v>
      </c>
      <c r="B5552" s="5" t="str">
        <f>IFERROR(__xludf.DUMMYFUNCTION("IF(A5552="""","""",INDEX(SPLIT(A5552,"" ""),COUNTA(SPLIT(A5552,"" ""))))"),"Silvi")</f>
        <v>Silvi</v>
      </c>
      <c r="C5552" s="6"/>
      <c r="D5552" s="6" t="s">
        <v>5592</v>
      </c>
      <c r="E5552" s="7" t="s">
        <v>5593</v>
      </c>
    </row>
    <row r="5553">
      <c r="A5553" s="4" t="s">
        <v>5592</v>
      </c>
      <c r="B5553" s="5" t="str">
        <f>IFERROR(__xludf.DUMMYFUNCTION("IF(A5553="""","""",INDEX(SPLIT(A5553,"" ""),COUNTA(SPLIT(A5553,"" ""))))"),"Teramo")</f>
        <v>Teramo</v>
      </c>
      <c r="C5553" s="6"/>
      <c r="D5553" s="6" t="s">
        <v>5592</v>
      </c>
      <c r="E5553" s="7" t="s">
        <v>5593</v>
      </c>
    </row>
    <row r="5554">
      <c r="A5554" s="4" t="s">
        <v>5633</v>
      </c>
      <c r="B5554" s="5" t="str">
        <f>IFERROR(__xludf.DUMMYFUNCTION("IF(A5554="""","""",INDEX(SPLIT(A5554,"" ""),COUNTA(SPLIT(A5554,"" ""))))"),"Nuovo")</f>
        <v>Nuovo</v>
      </c>
      <c r="C5554" s="6"/>
      <c r="D5554" s="6" t="s">
        <v>5592</v>
      </c>
      <c r="E5554" s="7" t="s">
        <v>5593</v>
      </c>
    </row>
    <row r="5555">
      <c r="A5555" s="4" t="s">
        <v>5634</v>
      </c>
      <c r="B5555" s="5" t="str">
        <f>IFERROR(__xludf.DUMMYFUNCTION("IF(A5555="""","""",INDEX(SPLIT(A5555,"" ""),COUNTA(SPLIT(A5555,"" ""))))"),"Sicura")</f>
        <v>Sicura</v>
      </c>
      <c r="C5555" s="6"/>
      <c r="D5555" s="6" t="s">
        <v>5592</v>
      </c>
      <c r="E5555" s="7" t="s">
        <v>5593</v>
      </c>
    </row>
    <row r="5556">
      <c r="A5556" s="4" t="s">
        <v>5635</v>
      </c>
      <c r="B5556" s="5" t="str">
        <f>IFERROR(__xludf.DUMMYFUNCTION("IF(A5556="""","""",INDEX(SPLIT(A5556,"" ""),COUNTA(SPLIT(A5556,"" ""))))"),"Tortoreto")</f>
        <v>Tortoreto</v>
      </c>
      <c r="C5556" s="6"/>
      <c r="D5556" s="6" t="s">
        <v>5592</v>
      </c>
      <c r="E5556" s="7" t="s">
        <v>5593</v>
      </c>
    </row>
    <row r="5557">
      <c r="A5557" s="4" t="s">
        <v>5636</v>
      </c>
      <c r="B5557" s="5" t="str">
        <f>IFERROR(__xludf.DUMMYFUNCTION("IF(A5557="""","""",INDEX(SPLIT(A5557,"" ""),COUNTA(SPLIT(A5557,"" ""))))"),"Tossicia")</f>
        <v>Tossicia</v>
      </c>
      <c r="C5557" s="6"/>
      <c r="D5557" s="6" t="s">
        <v>5592</v>
      </c>
      <c r="E5557" s="7" t="s">
        <v>5593</v>
      </c>
    </row>
    <row r="5558">
      <c r="A5558" s="4" t="s">
        <v>5637</v>
      </c>
      <c r="B5558" s="5" t="str">
        <f>IFERROR(__xludf.DUMMYFUNCTION("IF(A5558="""","""",INDEX(SPLIT(A5558,"" ""),COUNTA(SPLIT(A5558,"" ""))))"),"Castellana")</f>
        <v>Castellana</v>
      </c>
      <c r="C5558" s="6"/>
      <c r="D5558" s="6" t="s">
        <v>5592</v>
      </c>
      <c r="E5558" s="7" t="s">
        <v>5593</v>
      </c>
    </row>
    <row r="5559">
      <c r="A5559" s="4" t="s">
        <v>5638</v>
      </c>
      <c r="B5559" s="5" t="str">
        <f>IFERROR(__xludf.DUMMYFUNCTION("IF(A5559="""","""",INDEX(SPLIT(A5559,"" ""),COUNTA(SPLIT(A5559,"" ""))))"),"Martinsicuro")</f>
        <v>Martinsicuro</v>
      </c>
      <c r="C5559" s="6"/>
      <c r="D5559" s="6" t="s">
        <v>5592</v>
      </c>
      <c r="E5559" s="7" t="s">
        <v>5593</v>
      </c>
    </row>
    <row r="5560">
      <c r="A5560" s="4" t="s">
        <v>5639</v>
      </c>
      <c r="B5560" s="5" t="str">
        <f>IFERROR(__xludf.DUMMYFUNCTION("IF(A5560="""","""",INDEX(SPLIT(A5560,"" ""),COUNTA(SPLIT(A5560,"" ""))))"),"Abbateggio")</f>
        <v>Abbateggio</v>
      </c>
      <c r="C5560" s="6"/>
      <c r="D5560" s="6" t="s">
        <v>5640</v>
      </c>
      <c r="E5560" s="7" t="s">
        <v>5641</v>
      </c>
    </row>
    <row r="5561">
      <c r="A5561" s="4" t="s">
        <v>5642</v>
      </c>
      <c r="B5561" s="5" t="str">
        <f>IFERROR(__xludf.DUMMYFUNCTION("IF(A5561="""","""",INDEX(SPLIT(A5561,"" ""),COUNTA(SPLIT(A5561,"" ""))))"),"Alanno")</f>
        <v>Alanno</v>
      </c>
      <c r="C5561" s="6"/>
      <c r="D5561" s="6" t="s">
        <v>5640</v>
      </c>
      <c r="E5561" s="7" t="s">
        <v>5641</v>
      </c>
    </row>
    <row r="5562">
      <c r="A5562" s="4" t="s">
        <v>5643</v>
      </c>
      <c r="B5562" s="5" t="str">
        <f>IFERROR(__xludf.DUMMYFUNCTION("IF(A5562="""","""",INDEX(SPLIT(A5562,"" ""),COUNTA(SPLIT(A5562,"" ""))))"),"Bolognano")</f>
        <v>Bolognano</v>
      </c>
      <c r="C5562" s="6"/>
      <c r="D5562" s="6" t="s">
        <v>5640</v>
      </c>
      <c r="E5562" s="7" t="s">
        <v>5641</v>
      </c>
    </row>
    <row r="5563">
      <c r="A5563" s="4" t="s">
        <v>5644</v>
      </c>
      <c r="B5563" s="5" t="str">
        <f>IFERROR(__xludf.DUMMYFUNCTION("IF(A5563="""","""",INDEX(SPLIT(A5563,"" ""),COUNTA(SPLIT(A5563,"" ""))))"),"Brittoli")</f>
        <v>Brittoli</v>
      </c>
      <c r="C5563" s="6"/>
      <c r="D5563" s="6" t="s">
        <v>5640</v>
      </c>
      <c r="E5563" s="7" t="s">
        <v>5641</v>
      </c>
    </row>
    <row r="5564">
      <c r="A5564" s="4" t="s">
        <v>5645</v>
      </c>
      <c r="B5564" s="5" t="str">
        <f>IFERROR(__xludf.DUMMYFUNCTION("IF(A5564="""","""",INDEX(SPLIT(A5564,"" ""),COUNTA(SPLIT(A5564,"" ""))))"),"Tirino")</f>
        <v>Tirino</v>
      </c>
      <c r="C5564" s="6"/>
      <c r="D5564" s="6" t="s">
        <v>5640</v>
      </c>
      <c r="E5564" s="7" t="s">
        <v>5641</v>
      </c>
    </row>
    <row r="5565">
      <c r="A5565" s="4" t="s">
        <v>5646</v>
      </c>
      <c r="B5565" s="5" t="str">
        <f>IFERROR(__xludf.DUMMYFUNCTION("IF(A5565="""","""",INDEX(SPLIT(A5565,"" ""),COUNTA(SPLIT(A5565,"" ""))))"),"Tavo")</f>
        <v>Tavo</v>
      </c>
      <c r="C5565" s="6"/>
      <c r="D5565" s="6" t="s">
        <v>5640</v>
      </c>
      <c r="E5565" s="7" t="s">
        <v>5641</v>
      </c>
    </row>
    <row r="5566">
      <c r="A5566" s="4" t="s">
        <v>5647</v>
      </c>
      <c r="B5566" s="5" t="str">
        <f>IFERROR(__xludf.DUMMYFUNCTION("IF(A5566="""","""",INDEX(SPLIT(A5566,"" ""),COUNTA(SPLIT(A5566,"" ""))))"),"Terme")</f>
        <v>Terme</v>
      </c>
      <c r="C5566" s="6"/>
      <c r="D5566" s="6" t="s">
        <v>5640</v>
      </c>
      <c r="E5566" s="7" t="s">
        <v>5641</v>
      </c>
    </row>
    <row r="5567">
      <c r="A5567" s="4" t="s">
        <v>5648</v>
      </c>
      <c r="B5567" s="5" t="str">
        <f>IFERROR(__xludf.DUMMYFUNCTION("IF(A5567="""","""",INDEX(SPLIT(A5567,"" ""),COUNTA(SPLIT(A5567,"" ""))))"),"Nora")</f>
        <v>Nora</v>
      </c>
      <c r="C5567" s="6"/>
      <c r="D5567" s="6" t="s">
        <v>5640</v>
      </c>
      <c r="E5567" s="7" t="s">
        <v>5641</v>
      </c>
    </row>
    <row r="5568">
      <c r="A5568" s="4" t="s">
        <v>5649</v>
      </c>
      <c r="B5568" s="5" t="str">
        <f>IFERROR(__xludf.DUMMYFUNCTION("IF(A5568="""","""",INDEX(SPLIT(A5568,"" ""),COUNTA(SPLIT(A5568,"" ""))))"),"Casauria")</f>
        <v>Casauria</v>
      </c>
      <c r="C5568" s="6"/>
      <c r="D5568" s="6" t="s">
        <v>5640</v>
      </c>
      <c r="E5568" s="7" t="s">
        <v>5641</v>
      </c>
    </row>
    <row r="5569">
      <c r="A5569" s="4" t="s">
        <v>5650</v>
      </c>
      <c r="B5569" s="5" t="str">
        <f>IFERROR(__xludf.DUMMYFUNCTION("IF(A5569="""","""",INDEX(SPLIT(A5569,"" ""),COUNTA(SPLIT(A5569,"" ""))))"),"Catignano")</f>
        <v>Catignano</v>
      </c>
      <c r="C5569" s="6"/>
      <c r="D5569" s="6" t="s">
        <v>5640</v>
      </c>
      <c r="E5569" s="7" t="s">
        <v>5641</v>
      </c>
    </row>
    <row r="5570">
      <c r="A5570" s="4" t="s">
        <v>5651</v>
      </c>
      <c r="B5570" s="5" t="str">
        <f>IFERROR(__xludf.DUMMYFUNCTION("IF(A5570="""","""",INDEX(SPLIT(A5570,"" ""),COUNTA(SPLIT(A5570,"" ""))))"),"Cepagatti")</f>
        <v>Cepagatti</v>
      </c>
      <c r="C5570" s="6"/>
      <c r="D5570" s="6" t="s">
        <v>5640</v>
      </c>
      <c r="E5570" s="7" t="s">
        <v>5641</v>
      </c>
    </row>
    <row r="5571">
      <c r="A5571" s="4" t="s">
        <v>5652</v>
      </c>
      <c r="B5571" s="5" t="str">
        <f>IFERROR(__xludf.DUMMYFUNCTION("IF(A5571="""","""",INDEX(SPLIT(A5571,"" ""),COUNTA(SPLIT(A5571,"" ""))))"),"Sant'Angelo")</f>
        <v>Sant'Angelo</v>
      </c>
      <c r="C5571" s="6"/>
      <c r="D5571" s="6" t="s">
        <v>5640</v>
      </c>
      <c r="E5571" s="7" t="s">
        <v>5641</v>
      </c>
    </row>
    <row r="5572">
      <c r="A5572" s="4" t="s">
        <v>5653</v>
      </c>
      <c r="B5572" s="5" t="str">
        <f>IFERROR(__xludf.DUMMYFUNCTION("IF(A5572="""","""",INDEX(SPLIT(A5572,"" ""),COUNTA(SPLIT(A5572,"" ""))))"),"Civitaquana")</f>
        <v>Civitaquana</v>
      </c>
      <c r="C5572" s="6"/>
      <c r="D5572" s="6" t="s">
        <v>5640</v>
      </c>
      <c r="E5572" s="7" t="s">
        <v>5641</v>
      </c>
    </row>
    <row r="5573">
      <c r="A5573" s="4" t="s">
        <v>5654</v>
      </c>
      <c r="B5573" s="5" t="str">
        <f>IFERROR(__xludf.DUMMYFUNCTION("IF(A5573="""","""",INDEX(SPLIT(A5573,"" ""),COUNTA(SPLIT(A5573,"" ""))))"),"Casanova")</f>
        <v>Casanova</v>
      </c>
      <c r="C5573" s="6"/>
      <c r="D5573" s="6" t="s">
        <v>5640</v>
      </c>
      <c r="E5573" s="7" t="s">
        <v>5641</v>
      </c>
    </row>
    <row r="5574">
      <c r="A5574" s="4" t="s">
        <v>5655</v>
      </c>
      <c r="B5574" s="5" t="str">
        <f>IFERROR(__xludf.DUMMYFUNCTION("IF(A5574="""","""",INDEX(SPLIT(A5574,"" ""),COUNTA(SPLIT(A5574,"" ""))))"),"Collecorvino")</f>
        <v>Collecorvino</v>
      </c>
      <c r="C5574" s="6"/>
      <c r="D5574" s="6" t="s">
        <v>5640</v>
      </c>
      <c r="E5574" s="7" t="s">
        <v>5641</v>
      </c>
    </row>
    <row r="5575">
      <c r="A5575" s="4" t="s">
        <v>5656</v>
      </c>
      <c r="B5575" s="5" t="str">
        <f>IFERROR(__xludf.DUMMYFUNCTION("IF(A5575="""","""",INDEX(SPLIT(A5575,"" ""),COUNTA(SPLIT(A5575,"" ""))))"),"Corvara")</f>
        <v>Corvara</v>
      </c>
      <c r="C5575" s="6"/>
      <c r="D5575" s="6" t="s">
        <v>5640</v>
      </c>
      <c r="E5575" s="7" t="s">
        <v>5641</v>
      </c>
    </row>
    <row r="5576">
      <c r="A5576" s="4" t="s">
        <v>5657</v>
      </c>
      <c r="B5576" s="5" t="str">
        <f>IFERROR(__xludf.DUMMYFUNCTION("IF(A5576="""","""",INDEX(SPLIT(A5576,"" ""),COUNTA(SPLIT(A5576,"" ""))))"),"Cugnoli")</f>
        <v>Cugnoli</v>
      </c>
      <c r="C5576" s="6"/>
      <c r="D5576" s="6" t="s">
        <v>5640</v>
      </c>
      <c r="E5576" s="7" t="s">
        <v>5641</v>
      </c>
    </row>
    <row r="5577">
      <c r="A5577" s="4" t="s">
        <v>5658</v>
      </c>
      <c r="B5577" s="5" t="str">
        <f>IFERROR(__xludf.DUMMYFUNCTION("IF(A5577="""","""",INDEX(SPLIT(A5577,"" ""),COUNTA(SPLIT(A5577,"" ""))))"),"Elice")</f>
        <v>Elice</v>
      </c>
      <c r="C5577" s="6"/>
      <c r="D5577" s="6" t="s">
        <v>5640</v>
      </c>
      <c r="E5577" s="7" t="s">
        <v>5641</v>
      </c>
    </row>
    <row r="5578">
      <c r="A5578" s="4" t="s">
        <v>5659</v>
      </c>
      <c r="B5578" s="5" t="str">
        <f>IFERROR(__xludf.DUMMYFUNCTION("IF(A5578="""","""",INDEX(SPLIT(A5578,"" ""),COUNTA(SPLIT(A5578,"" ""))))"),"Farindola")</f>
        <v>Farindola</v>
      </c>
      <c r="C5578" s="6"/>
      <c r="D5578" s="6" t="s">
        <v>5640</v>
      </c>
      <c r="E5578" s="7" t="s">
        <v>5641</v>
      </c>
    </row>
    <row r="5579">
      <c r="A5579" s="4" t="s">
        <v>5660</v>
      </c>
      <c r="B5579" s="5" t="str">
        <f>IFERROR(__xludf.DUMMYFUNCTION("IF(A5579="""","""",INDEX(SPLIT(A5579,"" ""),COUNTA(SPLIT(A5579,"" ""))))"),"Lettomanoppello")</f>
        <v>Lettomanoppello</v>
      </c>
      <c r="C5579" s="6"/>
      <c r="D5579" s="6" t="s">
        <v>5640</v>
      </c>
      <c r="E5579" s="7" t="s">
        <v>5641</v>
      </c>
    </row>
    <row r="5580">
      <c r="A5580" s="4" t="s">
        <v>5661</v>
      </c>
      <c r="B5580" s="5" t="str">
        <f>IFERROR(__xludf.DUMMYFUNCTION("IF(A5580="""","""",INDEX(SPLIT(A5580,"" ""),COUNTA(SPLIT(A5580,"" ""))))"),"Aprutino")</f>
        <v>Aprutino</v>
      </c>
      <c r="C5580" s="6"/>
      <c r="D5580" s="6" t="s">
        <v>5640</v>
      </c>
      <c r="E5580" s="7" t="s">
        <v>5641</v>
      </c>
    </row>
    <row r="5581">
      <c r="A5581" s="4" t="s">
        <v>5662</v>
      </c>
      <c r="B5581" s="5" t="str">
        <f>IFERROR(__xludf.DUMMYFUNCTION("IF(A5581="""","""",INDEX(SPLIT(A5581,"" ""),COUNTA(SPLIT(A5581,"" ""))))"),"Manoppello")</f>
        <v>Manoppello</v>
      </c>
      <c r="C5581" s="6"/>
      <c r="D5581" s="6" t="s">
        <v>5640</v>
      </c>
      <c r="E5581" s="7" t="s">
        <v>5641</v>
      </c>
    </row>
    <row r="5582">
      <c r="A5582" s="4" t="s">
        <v>5663</v>
      </c>
      <c r="B5582" s="5" t="str">
        <f>IFERROR(__xludf.DUMMYFUNCTION("IF(A5582="""","""",INDEX(SPLIT(A5582,"" ""),COUNTA(SPLIT(A5582,"" ""))))"),"Bertona")</f>
        <v>Bertona</v>
      </c>
      <c r="C5582" s="6"/>
      <c r="D5582" s="6" t="s">
        <v>5640</v>
      </c>
      <c r="E5582" s="7" t="s">
        <v>5641</v>
      </c>
    </row>
    <row r="5583">
      <c r="A5583" s="4" t="s">
        <v>5664</v>
      </c>
      <c r="B5583" s="5" t="str">
        <f>IFERROR(__xludf.DUMMYFUNCTION("IF(A5583="""","""",INDEX(SPLIT(A5583,"" ""),COUNTA(SPLIT(A5583,"" ""))))"),"Montesilvano")</f>
        <v>Montesilvano</v>
      </c>
      <c r="C5583" s="6"/>
      <c r="D5583" s="6" t="s">
        <v>5640</v>
      </c>
      <c r="E5583" s="7" t="s">
        <v>5641</v>
      </c>
    </row>
    <row r="5584">
      <c r="A5584" s="4" t="s">
        <v>5665</v>
      </c>
      <c r="B5584" s="5" t="str">
        <f>IFERROR(__xludf.DUMMYFUNCTION("IF(A5584="""","""",INDEX(SPLIT(A5584,"" ""),COUNTA(SPLIT(A5584,"" ""))))"),"Moscufo")</f>
        <v>Moscufo</v>
      </c>
      <c r="C5584" s="6"/>
      <c r="D5584" s="6" t="s">
        <v>5640</v>
      </c>
      <c r="E5584" s="7" t="s">
        <v>5641</v>
      </c>
    </row>
    <row r="5585">
      <c r="A5585" s="4" t="s">
        <v>5666</v>
      </c>
      <c r="B5585" s="5" t="str">
        <f>IFERROR(__xludf.DUMMYFUNCTION("IF(A5585="""","""",INDEX(SPLIT(A5585,"" ""),COUNTA(SPLIT(A5585,"" ""))))"),"Nocciano")</f>
        <v>Nocciano</v>
      </c>
      <c r="C5585" s="6"/>
      <c r="D5585" s="6" t="s">
        <v>5640</v>
      </c>
      <c r="E5585" s="7" t="s">
        <v>5641</v>
      </c>
    </row>
    <row r="5586">
      <c r="A5586" s="4" t="s">
        <v>5667</v>
      </c>
      <c r="B5586" s="5" t="str">
        <f>IFERROR(__xludf.DUMMYFUNCTION("IF(A5586="""","""",INDEX(SPLIT(A5586,"" ""),COUNTA(SPLIT(A5586,"" ""))))"),"Penne")</f>
        <v>Penne</v>
      </c>
      <c r="C5586" s="6"/>
      <c r="D5586" s="6" t="s">
        <v>5640</v>
      </c>
      <c r="E5586" s="7" t="s">
        <v>5641</v>
      </c>
    </row>
    <row r="5587">
      <c r="A5587" s="4" t="s">
        <v>5640</v>
      </c>
      <c r="B5587" s="5" t="str">
        <f>IFERROR(__xludf.DUMMYFUNCTION("IF(A5587="""","""",INDEX(SPLIT(A5587,"" ""),COUNTA(SPLIT(A5587,"" ""))))"),"Pescara")</f>
        <v>Pescara</v>
      </c>
      <c r="C5587" s="6"/>
      <c r="D5587" s="6" t="s">
        <v>5640</v>
      </c>
      <c r="E5587" s="7" t="s">
        <v>5641</v>
      </c>
    </row>
    <row r="5588">
      <c r="A5588" s="4" t="s">
        <v>5668</v>
      </c>
      <c r="B5588" s="5" t="str">
        <f>IFERROR(__xludf.DUMMYFUNCTION("IF(A5588="""","""",INDEX(SPLIT(A5588,"" ""),COUNTA(SPLIT(A5588,"" ""))))"),"Pescosansonesco")</f>
        <v>Pescosansonesco</v>
      </c>
      <c r="C5588" s="6"/>
      <c r="D5588" s="6" t="s">
        <v>5640</v>
      </c>
      <c r="E5588" s="7" t="s">
        <v>5641</v>
      </c>
    </row>
    <row r="5589">
      <c r="A5589" s="4" t="s">
        <v>5669</v>
      </c>
      <c r="B5589" s="5" t="str">
        <f>IFERROR(__xludf.DUMMYFUNCTION("IF(A5589="""","""",INDEX(SPLIT(A5589,"" ""),COUNTA(SPLIT(A5589,"" ""))))"),"Pianella")</f>
        <v>Pianella</v>
      </c>
      <c r="C5589" s="6"/>
      <c r="D5589" s="6" t="s">
        <v>5640</v>
      </c>
      <c r="E5589" s="7" t="s">
        <v>5641</v>
      </c>
    </row>
    <row r="5590">
      <c r="A5590" s="4" t="s">
        <v>5670</v>
      </c>
      <c r="B5590" s="5" t="str">
        <f>IFERROR(__xludf.DUMMYFUNCTION("IF(A5590="""","""",INDEX(SPLIT(A5590,"" ""),COUNTA(SPLIT(A5590,"" ""))))"),"Picciano")</f>
        <v>Picciano</v>
      </c>
      <c r="C5590" s="6"/>
      <c r="D5590" s="6" t="s">
        <v>5640</v>
      </c>
      <c r="E5590" s="7" t="s">
        <v>5641</v>
      </c>
    </row>
    <row r="5591">
      <c r="A5591" s="4" t="s">
        <v>5671</v>
      </c>
      <c r="B5591" s="5" t="str">
        <f>IFERROR(__xludf.DUMMYFUNCTION("IF(A5591="""","""",INDEX(SPLIT(A5591,"" ""),COUNTA(SPLIT(A5591,"" ""))))"),"Pietranico")</f>
        <v>Pietranico</v>
      </c>
      <c r="C5591" s="6"/>
      <c r="D5591" s="6" t="s">
        <v>5640</v>
      </c>
      <c r="E5591" s="7" t="s">
        <v>5641</v>
      </c>
    </row>
    <row r="5592">
      <c r="A5592" s="4" t="s">
        <v>5672</v>
      </c>
      <c r="B5592" s="5" t="str">
        <f>IFERROR(__xludf.DUMMYFUNCTION("IF(A5592="""","""",INDEX(SPLIT(A5592,"" ""),COUNTA(SPLIT(A5592,"" ""))))"),"Popoli")</f>
        <v>Popoli</v>
      </c>
      <c r="C5592" s="6"/>
      <c r="D5592" s="6" t="s">
        <v>5640</v>
      </c>
      <c r="E5592" s="7" t="s">
        <v>5641</v>
      </c>
    </row>
    <row r="5593">
      <c r="A5593" s="4" t="s">
        <v>5673</v>
      </c>
      <c r="B5593" s="5" t="str">
        <f>IFERROR(__xludf.DUMMYFUNCTION("IF(A5593="""","""",INDEX(SPLIT(A5593,"" ""),COUNTA(SPLIT(A5593,"" ""))))"),"Roccamorice")</f>
        <v>Roccamorice</v>
      </c>
      <c r="C5593" s="6"/>
      <c r="D5593" s="6" t="s">
        <v>5640</v>
      </c>
      <c r="E5593" s="7" t="s">
        <v>5641</v>
      </c>
    </row>
    <row r="5594">
      <c r="A5594" s="4" t="s">
        <v>5674</v>
      </c>
      <c r="B5594" s="5" t="str">
        <f>IFERROR(__xludf.DUMMYFUNCTION("IF(A5594="""","""",INDEX(SPLIT(A5594,"" ""),COUNTA(SPLIT(A5594,"" ""))))"),"Rosciano")</f>
        <v>Rosciano</v>
      </c>
      <c r="C5594" s="6"/>
      <c r="D5594" s="6" t="s">
        <v>5640</v>
      </c>
      <c r="E5594" s="7" t="s">
        <v>5641</v>
      </c>
    </row>
    <row r="5595">
      <c r="A5595" s="4" t="s">
        <v>5675</v>
      </c>
      <c r="B5595" s="5" t="str">
        <f>IFERROR(__xludf.DUMMYFUNCTION("IF(A5595="""","""",INDEX(SPLIT(A5595,"" ""),COUNTA(SPLIT(A5595,"" ""))))"),"Salle")</f>
        <v>Salle</v>
      </c>
      <c r="C5595" s="6"/>
      <c r="D5595" s="6" t="s">
        <v>5640</v>
      </c>
      <c r="E5595" s="7" t="s">
        <v>5641</v>
      </c>
    </row>
    <row r="5596">
      <c r="A5596" s="4" t="s">
        <v>5676</v>
      </c>
      <c r="B5596" s="5" t="str">
        <f>IFERROR(__xludf.DUMMYFUNCTION("IF(A5596="""","""",INDEX(SPLIT(A5596,"" ""),COUNTA(SPLIT(A5596,"" ""))))"),"Maiella")</f>
        <v>Maiella</v>
      </c>
      <c r="C5596" s="6"/>
      <c r="D5596" s="6" t="s">
        <v>5640</v>
      </c>
      <c r="E5596" s="7" t="s">
        <v>5641</v>
      </c>
    </row>
    <row r="5597">
      <c r="A5597" s="4" t="s">
        <v>5677</v>
      </c>
      <c r="B5597" s="5" t="str">
        <f>IFERROR(__xludf.DUMMYFUNCTION("IF(A5597="""","""",INDEX(SPLIT(A5597,"" ""),COUNTA(SPLIT(A5597,"" ""))))"),"Citeriore")</f>
        <v>Citeriore</v>
      </c>
      <c r="C5597" s="6"/>
      <c r="D5597" s="6" t="s">
        <v>5640</v>
      </c>
      <c r="E5597" s="7" t="s">
        <v>5641</v>
      </c>
    </row>
    <row r="5598">
      <c r="A5598" s="4" t="s">
        <v>5678</v>
      </c>
      <c r="B5598" s="5" t="str">
        <f>IFERROR(__xludf.DUMMYFUNCTION("IF(A5598="""","""",INDEX(SPLIT(A5598,"" ""),COUNTA(SPLIT(A5598,"" ""))))"),"Scafa")</f>
        <v>Scafa</v>
      </c>
      <c r="C5598" s="6"/>
      <c r="D5598" s="6" t="s">
        <v>5640</v>
      </c>
      <c r="E5598" s="7" t="s">
        <v>5641</v>
      </c>
    </row>
    <row r="5599">
      <c r="A5599" s="4" t="s">
        <v>5679</v>
      </c>
      <c r="B5599" s="5" t="str">
        <f>IFERROR(__xludf.DUMMYFUNCTION("IF(A5599="""","""",INDEX(SPLIT(A5599,"" ""),COUNTA(SPLIT(A5599,"" ""))))"),"Serramonacesca")</f>
        <v>Serramonacesca</v>
      </c>
      <c r="C5599" s="6"/>
      <c r="D5599" s="6" t="s">
        <v>5640</v>
      </c>
      <c r="E5599" s="7" t="s">
        <v>5641</v>
      </c>
    </row>
    <row r="5600">
      <c r="A5600" s="4" t="s">
        <v>5680</v>
      </c>
      <c r="B5600" s="5" t="str">
        <f>IFERROR(__xludf.DUMMYFUNCTION("IF(A5600="""","""",INDEX(SPLIT(A5600,"" ""),COUNTA(SPLIT(A5600,"" ""))))"),"Spoltore")</f>
        <v>Spoltore</v>
      </c>
      <c r="C5600" s="6"/>
      <c r="D5600" s="6" t="s">
        <v>5640</v>
      </c>
      <c r="E5600" s="7" t="s">
        <v>5641</v>
      </c>
    </row>
    <row r="5601">
      <c r="A5601" s="4" t="s">
        <v>5681</v>
      </c>
      <c r="B5601" s="5" t="str">
        <f>IFERROR(__xludf.DUMMYFUNCTION("IF(A5601="""","""",INDEX(SPLIT(A5601,"" ""),COUNTA(SPLIT(A5601,"" ""))))"),"Casauria")</f>
        <v>Casauria</v>
      </c>
      <c r="C5601" s="6"/>
      <c r="D5601" s="6" t="s">
        <v>5640</v>
      </c>
      <c r="E5601" s="7" t="s">
        <v>5641</v>
      </c>
    </row>
    <row r="5602">
      <c r="A5602" s="4" t="s">
        <v>5682</v>
      </c>
      <c r="B5602" s="5" t="str">
        <f>IFERROR(__xludf.DUMMYFUNCTION("IF(A5602="""","""",INDEX(SPLIT(A5602,"" ""),COUNTA(SPLIT(A5602,"" ""))))"),"Passeri")</f>
        <v>Passeri</v>
      </c>
      <c r="C5602" s="6"/>
      <c r="D5602" s="6" t="s">
        <v>5640</v>
      </c>
      <c r="E5602" s="7" t="s">
        <v>5641</v>
      </c>
    </row>
    <row r="5603">
      <c r="A5603" s="4" t="s">
        <v>5683</v>
      </c>
      <c r="B5603" s="5" t="str">
        <f>IFERROR(__xludf.DUMMYFUNCTION("IF(A5603="""","""",INDEX(SPLIT(A5603,"" ""),COUNTA(SPLIT(A5603,"" ""))))"),"Turrivalignani")</f>
        <v>Turrivalignani</v>
      </c>
      <c r="C5603" s="6"/>
      <c r="D5603" s="6" t="s">
        <v>5640</v>
      </c>
      <c r="E5603" s="7" t="s">
        <v>5641</v>
      </c>
    </row>
    <row r="5604">
      <c r="A5604" s="4" t="s">
        <v>5684</v>
      </c>
      <c r="B5604" s="5" t="str">
        <f>IFERROR(__xludf.DUMMYFUNCTION("IF(A5604="""","""",INDEX(SPLIT(A5604,"" ""),COUNTA(SPLIT(A5604,"" ""))))"),"Vicoli")</f>
        <v>Vicoli</v>
      </c>
      <c r="C5604" s="6"/>
      <c r="D5604" s="6" t="s">
        <v>5640</v>
      </c>
      <c r="E5604" s="7" t="s">
        <v>5641</v>
      </c>
    </row>
    <row r="5605">
      <c r="A5605" s="4" t="s">
        <v>5685</v>
      </c>
      <c r="B5605" s="5" t="str">
        <f>IFERROR(__xludf.DUMMYFUNCTION("IF(A5605="""","""",INDEX(SPLIT(A5605,"" ""),COUNTA(SPLIT(A5605,"" ""))))"),"Celiera")</f>
        <v>Celiera</v>
      </c>
      <c r="C5605" s="6"/>
      <c r="D5605" s="6" t="s">
        <v>5640</v>
      </c>
      <c r="E5605" s="7" t="s">
        <v>5641</v>
      </c>
    </row>
    <row r="5606">
      <c r="A5606" s="4" t="s">
        <v>5686</v>
      </c>
      <c r="B5606" s="5" t="str">
        <f>IFERROR(__xludf.DUMMYFUNCTION("IF(A5606="""","""",INDEX(SPLIT(A5606,"" ""),COUNTA(SPLIT(A5606,"" ""))))"),"Altino")</f>
        <v>Altino</v>
      </c>
      <c r="C5606" s="6"/>
      <c r="D5606" s="6" t="s">
        <v>5687</v>
      </c>
      <c r="E5606" s="7" t="s">
        <v>5688</v>
      </c>
    </row>
    <row r="5607">
      <c r="A5607" s="4" t="s">
        <v>5689</v>
      </c>
      <c r="B5607" s="5" t="str">
        <f>IFERROR(__xludf.DUMMYFUNCTION("IF(A5607="""","""",INDEX(SPLIT(A5607,"" ""),COUNTA(SPLIT(A5607,"" ""))))"),"Archi")</f>
        <v>Archi</v>
      </c>
      <c r="C5607" s="6"/>
      <c r="D5607" s="6" t="s">
        <v>5687</v>
      </c>
      <c r="E5607" s="7" t="s">
        <v>5688</v>
      </c>
    </row>
    <row r="5608">
      <c r="A5608" s="4" t="s">
        <v>5690</v>
      </c>
      <c r="B5608" s="5" t="str">
        <f>IFERROR(__xludf.DUMMYFUNCTION("IF(A5608="""","""",INDEX(SPLIT(A5608,"" ""),COUNTA(SPLIT(A5608,"" ""))))"),"Ari")</f>
        <v>Ari</v>
      </c>
      <c r="C5608" s="6"/>
      <c r="D5608" s="6" t="s">
        <v>5687</v>
      </c>
      <c r="E5608" s="7" t="s">
        <v>5688</v>
      </c>
    </row>
    <row r="5609">
      <c r="A5609" s="4" t="s">
        <v>5691</v>
      </c>
      <c r="B5609" s="5" t="str">
        <f>IFERROR(__xludf.DUMMYFUNCTION("IF(A5609="""","""",INDEX(SPLIT(A5609,"" ""),COUNTA(SPLIT(A5609,"" ""))))"),"Arielli")</f>
        <v>Arielli</v>
      </c>
      <c r="C5609" s="6"/>
      <c r="D5609" s="6" t="s">
        <v>5687</v>
      </c>
      <c r="E5609" s="7" t="s">
        <v>5688</v>
      </c>
    </row>
    <row r="5610">
      <c r="A5610" s="4" t="s">
        <v>5692</v>
      </c>
      <c r="B5610" s="5" t="str">
        <f>IFERROR(__xludf.DUMMYFUNCTION("IF(A5610="""","""",INDEX(SPLIT(A5610,"" ""),COUNTA(SPLIT(A5610,"" ""))))"),"Atessa")</f>
        <v>Atessa</v>
      </c>
      <c r="C5610" s="6"/>
      <c r="D5610" s="6" t="s">
        <v>5687</v>
      </c>
      <c r="E5610" s="7" t="s">
        <v>5688</v>
      </c>
    </row>
    <row r="5611">
      <c r="A5611" s="4" t="s">
        <v>5693</v>
      </c>
      <c r="B5611" s="5" t="str">
        <f>IFERROR(__xludf.DUMMYFUNCTION("IF(A5611="""","""",INDEX(SPLIT(A5611,"" ""),COUNTA(SPLIT(A5611,"" ""))))"),"Bomba")</f>
        <v>Bomba</v>
      </c>
      <c r="C5611" s="6"/>
      <c r="D5611" s="6" t="s">
        <v>5687</v>
      </c>
      <c r="E5611" s="7" t="s">
        <v>5688</v>
      </c>
    </row>
    <row r="5612">
      <c r="A5612" s="4" t="s">
        <v>5694</v>
      </c>
      <c r="B5612" s="5" t="str">
        <f>IFERROR(__xludf.DUMMYFUNCTION("IF(A5612="""","""",INDEX(SPLIT(A5612,"" ""),COUNTA(SPLIT(A5612,"" ""))))"),"Borrello")</f>
        <v>Borrello</v>
      </c>
      <c r="C5612" s="6"/>
      <c r="D5612" s="6" t="s">
        <v>5687</v>
      </c>
      <c r="E5612" s="7" t="s">
        <v>5688</v>
      </c>
    </row>
    <row r="5613">
      <c r="A5613" s="4" t="s">
        <v>5695</v>
      </c>
      <c r="B5613" s="5" t="str">
        <f>IFERROR(__xludf.DUMMYFUNCTION("IF(A5613="""","""",INDEX(SPLIT(A5613,"" ""),COUNTA(SPLIT(A5613,"" ""))))"),"Bucchianico")</f>
        <v>Bucchianico</v>
      </c>
      <c r="C5613" s="6"/>
      <c r="D5613" s="6" t="s">
        <v>5687</v>
      </c>
      <c r="E5613" s="7" t="s">
        <v>5688</v>
      </c>
    </row>
    <row r="5614">
      <c r="A5614" s="4" t="s">
        <v>5696</v>
      </c>
      <c r="B5614" s="5" t="str">
        <f>IFERROR(__xludf.DUMMYFUNCTION("IF(A5614="""","""",INDEX(SPLIT(A5614,"" ""),COUNTA(SPLIT(A5614,"" ""))))"),"Sangro")</f>
        <v>Sangro</v>
      </c>
      <c r="C5614" s="6"/>
      <c r="D5614" s="6" t="s">
        <v>5687</v>
      </c>
      <c r="E5614" s="7" t="s">
        <v>5688</v>
      </c>
    </row>
    <row r="5615">
      <c r="A5615" s="4" t="s">
        <v>5697</v>
      </c>
      <c r="B5615" s="5" t="str">
        <f>IFERROR(__xludf.DUMMYFUNCTION("IF(A5615="""","""",INDEX(SPLIT(A5615,"" ""),COUNTA(SPLIT(A5615,"" ""))))"),"Sannita")</f>
        <v>Sannita</v>
      </c>
      <c r="C5615" s="6"/>
      <c r="D5615" s="6" t="s">
        <v>5687</v>
      </c>
      <c r="E5615" s="7" t="s">
        <v>5688</v>
      </c>
    </row>
    <row r="5616">
      <c r="A5616" s="4" t="s">
        <v>5698</v>
      </c>
      <c r="B5616" s="5" t="str">
        <f>IFERROR(__xludf.DUMMYFUNCTION("IF(A5616="""","""",INDEX(SPLIT(A5616,"" ""),COUNTA(SPLIT(A5616,"" ""))))"),"Sinello")</f>
        <v>Sinello</v>
      </c>
      <c r="C5616" s="6"/>
      <c r="D5616" s="6" t="s">
        <v>5687</v>
      </c>
      <c r="E5616" s="7" t="s">
        <v>5688</v>
      </c>
    </row>
    <row r="5617">
      <c r="A5617" s="4" t="s">
        <v>5699</v>
      </c>
      <c r="B5617" s="5" t="str">
        <f>IFERROR(__xludf.DUMMYFUNCTION("IF(A5617="""","""",INDEX(SPLIT(A5617,"" ""),COUNTA(SPLIT(A5617,"" ""))))"),"Carunchio")</f>
        <v>Carunchio</v>
      </c>
      <c r="C5617" s="6"/>
      <c r="D5617" s="6" t="s">
        <v>5687</v>
      </c>
      <c r="E5617" s="7" t="s">
        <v>5688</v>
      </c>
    </row>
    <row r="5618">
      <c r="A5618" s="4" t="s">
        <v>5700</v>
      </c>
      <c r="B5618" s="5" t="str">
        <f>IFERROR(__xludf.DUMMYFUNCTION("IF(A5618="""","""",INDEX(SPLIT(A5618,"" ""),COUNTA(SPLIT(A5618,"" ""))))"),"Casacanditella")</f>
        <v>Casacanditella</v>
      </c>
      <c r="C5618" s="6"/>
      <c r="D5618" s="6" t="s">
        <v>5687</v>
      </c>
      <c r="E5618" s="7" t="s">
        <v>5688</v>
      </c>
    </row>
    <row r="5619">
      <c r="A5619" s="4" t="s">
        <v>5701</v>
      </c>
      <c r="B5619" s="5" t="str">
        <f>IFERROR(__xludf.DUMMYFUNCTION("IF(A5619="""","""",INDEX(SPLIT(A5619,"" ""),COUNTA(SPLIT(A5619,"" ""))))"),"Casalanguida")</f>
        <v>Casalanguida</v>
      </c>
      <c r="C5619" s="6"/>
      <c r="D5619" s="6" t="s">
        <v>5687</v>
      </c>
      <c r="E5619" s="7" t="s">
        <v>5688</v>
      </c>
    </row>
    <row r="5620">
      <c r="A5620" s="4" t="s">
        <v>5702</v>
      </c>
      <c r="B5620" s="5" t="str">
        <f>IFERROR(__xludf.DUMMYFUNCTION("IF(A5620="""","""",INDEX(SPLIT(A5620,"" ""),COUNTA(SPLIT(A5620,"" ""))))"),"Casalbordino")</f>
        <v>Casalbordino</v>
      </c>
      <c r="C5620" s="6"/>
      <c r="D5620" s="6" t="s">
        <v>5687</v>
      </c>
      <c r="E5620" s="7" t="s">
        <v>5688</v>
      </c>
    </row>
    <row r="5621">
      <c r="A5621" s="4" t="s">
        <v>5703</v>
      </c>
      <c r="B5621" s="5" t="str">
        <f>IFERROR(__xludf.DUMMYFUNCTION("IF(A5621="""","""",INDEX(SPLIT(A5621,"" ""),COUNTA(SPLIT(A5621,"" ""))))"),"Casalincontrada")</f>
        <v>Casalincontrada</v>
      </c>
      <c r="C5621" s="6"/>
      <c r="D5621" s="6" t="s">
        <v>5687</v>
      </c>
      <c r="E5621" s="7" t="s">
        <v>5688</v>
      </c>
    </row>
    <row r="5622">
      <c r="A5622" s="4" t="s">
        <v>5704</v>
      </c>
      <c r="B5622" s="5" t="str">
        <f>IFERROR(__xludf.DUMMYFUNCTION("IF(A5622="""","""",INDEX(SPLIT(A5622,"" ""),COUNTA(SPLIT(A5622,"" ""))))"),"Casoli")</f>
        <v>Casoli</v>
      </c>
      <c r="C5622" s="6"/>
      <c r="D5622" s="6" t="s">
        <v>5687</v>
      </c>
      <c r="E5622" s="7" t="s">
        <v>5688</v>
      </c>
    </row>
    <row r="5623">
      <c r="A5623" s="4" t="s">
        <v>5705</v>
      </c>
      <c r="B5623" s="5" t="str">
        <f>IFERROR(__xludf.DUMMYFUNCTION("IF(A5623="""","""",INDEX(SPLIT(A5623,"" ""),COUNTA(SPLIT(A5623,"" ""))))"),"Frentano")</f>
        <v>Frentano</v>
      </c>
      <c r="C5623" s="6"/>
      <c r="D5623" s="6" t="s">
        <v>5687</v>
      </c>
      <c r="E5623" s="7" t="s">
        <v>5688</v>
      </c>
    </row>
    <row r="5624">
      <c r="A5624" s="4" t="s">
        <v>5706</v>
      </c>
      <c r="B5624" s="5" t="str">
        <f>IFERROR(__xludf.DUMMYFUNCTION("IF(A5624="""","""",INDEX(SPLIT(A5624,"" ""),COUNTA(SPLIT(A5624,"" ""))))"),"Castelguidone")</f>
        <v>Castelguidone</v>
      </c>
      <c r="C5624" s="6"/>
      <c r="D5624" s="6" t="s">
        <v>5687</v>
      </c>
      <c r="E5624" s="7" t="s">
        <v>5688</v>
      </c>
    </row>
    <row r="5625">
      <c r="A5625" s="4" t="s">
        <v>5707</v>
      </c>
      <c r="B5625" s="5" t="str">
        <f>IFERROR(__xludf.DUMMYFUNCTION("IF(A5625="""","""",INDEX(SPLIT(A5625,"" ""),COUNTA(SPLIT(A5625,"" ""))))"),"Marino")</f>
        <v>Marino</v>
      </c>
      <c r="C5625" s="6"/>
      <c r="D5625" s="6" t="s">
        <v>5687</v>
      </c>
      <c r="E5625" s="7" t="s">
        <v>5688</v>
      </c>
    </row>
    <row r="5626">
      <c r="A5626" s="4" t="s">
        <v>5708</v>
      </c>
      <c r="B5626" s="5" t="str">
        <f>IFERROR(__xludf.DUMMYFUNCTION("IF(A5626="""","""",INDEX(SPLIT(A5626,"" ""),COUNTA(SPLIT(A5626,"" ""))))"),"Trigno")</f>
        <v>Trigno</v>
      </c>
      <c r="C5626" s="6"/>
      <c r="D5626" s="6" t="s">
        <v>5687</v>
      </c>
      <c r="E5626" s="7" t="s">
        <v>5688</v>
      </c>
    </row>
    <row r="5627">
      <c r="A5627" s="4" t="s">
        <v>5687</v>
      </c>
      <c r="B5627" s="5" t="str">
        <f>IFERROR(__xludf.DUMMYFUNCTION("IF(A5627="""","""",INDEX(SPLIT(A5627,"" ""),COUNTA(SPLIT(A5627,"" ""))))"),"Chieti")</f>
        <v>Chieti</v>
      </c>
      <c r="C5627" s="6"/>
      <c r="D5627" s="6" t="s">
        <v>5687</v>
      </c>
      <c r="E5627" s="7" t="s">
        <v>5688</v>
      </c>
    </row>
    <row r="5628">
      <c r="A5628" s="4" t="s">
        <v>5709</v>
      </c>
      <c r="B5628" s="5" t="str">
        <f>IFERROR(__xludf.DUMMYFUNCTION("IF(A5628="""","""",INDEX(SPLIT(A5628,"" ""),COUNTA(SPLIT(A5628,"" ""))))"),"Civitaluparella")</f>
        <v>Civitaluparella</v>
      </c>
      <c r="C5628" s="6"/>
      <c r="D5628" s="6" t="s">
        <v>5687</v>
      </c>
      <c r="E5628" s="7" t="s">
        <v>5688</v>
      </c>
    </row>
    <row r="5629">
      <c r="A5629" s="4" t="s">
        <v>5710</v>
      </c>
      <c r="B5629" s="5" t="str">
        <f>IFERROR(__xludf.DUMMYFUNCTION("IF(A5629="""","""",INDEX(SPLIT(A5629,"" ""),COUNTA(SPLIT(A5629,"" ""))))"),"Raimondo")</f>
        <v>Raimondo</v>
      </c>
      <c r="C5629" s="6"/>
      <c r="D5629" s="6" t="s">
        <v>5687</v>
      </c>
      <c r="E5629" s="7" t="s">
        <v>5688</v>
      </c>
    </row>
    <row r="5630">
      <c r="A5630" s="4" t="s">
        <v>5711</v>
      </c>
      <c r="B5630" s="5" t="str">
        <f>IFERROR(__xludf.DUMMYFUNCTION("IF(A5630="""","""",INDEX(SPLIT(A5630,"" ""),COUNTA(SPLIT(A5630,"" ""))))"),"Colledimacine")</f>
        <v>Colledimacine</v>
      </c>
      <c r="C5630" s="6"/>
      <c r="D5630" s="6" t="s">
        <v>5687</v>
      </c>
      <c r="E5630" s="7" t="s">
        <v>5688</v>
      </c>
    </row>
    <row r="5631">
      <c r="A5631" s="4" t="s">
        <v>5712</v>
      </c>
      <c r="B5631" s="5" t="str">
        <f>IFERROR(__xludf.DUMMYFUNCTION("IF(A5631="""","""",INDEX(SPLIT(A5631,"" ""),COUNTA(SPLIT(A5631,"" ""))))"),"Colledimezzo")</f>
        <v>Colledimezzo</v>
      </c>
      <c r="C5631" s="6"/>
      <c r="D5631" s="6" t="s">
        <v>5687</v>
      </c>
      <c r="E5631" s="7" t="s">
        <v>5688</v>
      </c>
    </row>
    <row r="5632">
      <c r="A5632" s="4" t="s">
        <v>5713</v>
      </c>
      <c r="B5632" s="5" t="str">
        <f>IFERROR(__xludf.DUMMYFUNCTION("IF(A5632="""","""",INDEX(SPLIT(A5632,"" ""),COUNTA(SPLIT(A5632,"" ""))))"),"Crecchio")</f>
        <v>Crecchio</v>
      </c>
      <c r="C5632" s="6"/>
      <c r="D5632" s="6" t="s">
        <v>5687</v>
      </c>
      <c r="E5632" s="7" t="s">
        <v>5688</v>
      </c>
    </row>
    <row r="5633">
      <c r="A5633" s="4" t="s">
        <v>5714</v>
      </c>
      <c r="B5633" s="5" t="str">
        <f>IFERROR(__xludf.DUMMYFUNCTION("IF(A5633="""","""",INDEX(SPLIT(A5633,"" ""),COUNTA(SPLIT(A5633,"" ""))))"),"Cupello")</f>
        <v>Cupello</v>
      </c>
      <c r="C5633" s="6"/>
      <c r="D5633" s="6" t="s">
        <v>5687</v>
      </c>
      <c r="E5633" s="7" t="s">
        <v>5688</v>
      </c>
    </row>
    <row r="5634">
      <c r="A5634" s="4" t="s">
        <v>5715</v>
      </c>
      <c r="B5634" s="5" t="str">
        <f>IFERROR(__xludf.DUMMYFUNCTION("IF(A5634="""","""",INDEX(SPLIT(A5634,"" ""),COUNTA(SPLIT(A5634,"" ""))))"),"Dogliola")</f>
        <v>Dogliola</v>
      </c>
      <c r="C5634" s="6"/>
      <c r="D5634" s="6" t="s">
        <v>5687</v>
      </c>
      <c r="E5634" s="7" t="s">
        <v>5688</v>
      </c>
    </row>
    <row r="5635">
      <c r="A5635" s="4" t="s">
        <v>5716</v>
      </c>
      <c r="B5635" s="5" t="str">
        <f>IFERROR(__xludf.DUMMYFUNCTION("IF(A5635="""","""",INDEX(SPLIT(A5635,"" ""),COUNTA(SPLIT(A5635,"" ""))))"),"Petri")</f>
        <v>Petri</v>
      </c>
      <c r="C5635" s="6"/>
      <c r="D5635" s="6" t="s">
        <v>5687</v>
      </c>
      <c r="E5635" s="7" t="s">
        <v>5688</v>
      </c>
    </row>
    <row r="5636">
      <c r="A5636" s="4" t="s">
        <v>5717</v>
      </c>
      <c r="B5636" s="5" t="str">
        <f>IFERROR(__xludf.DUMMYFUNCTION("IF(A5636="""","""",INDEX(SPLIT(A5636,"" ""),COUNTA(SPLIT(A5636,"" ""))))"),"Martino")</f>
        <v>Martino</v>
      </c>
      <c r="C5636" s="6"/>
      <c r="D5636" s="6" t="s">
        <v>5687</v>
      </c>
      <c r="E5636" s="7" t="s">
        <v>5688</v>
      </c>
    </row>
    <row r="5637">
      <c r="A5637" s="4" t="s">
        <v>5718</v>
      </c>
      <c r="B5637" s="5" t="str">
        <f>IFERROR(__xludf.DUMMYFUNCTION("IF(A5637="""","""",INDEX(SPLIT(A5637,"" ""),COUNTA(SPLIT(A5637,"" ""))))"),"Filetto")</f>
        <v>Filetto</v>
      </c>
      <c r="C5637" s="6"/>
      <c r="D5637" s="6" t="s">
        <v>5687</v>
      </c>
      <c r="E5637" s="7" t="s">
        <v>5688</v>
      </c>
    </row>
    <row r="5638">
      <c r="A5638" s="4" t="s">
        <v>5719</v>
      </c>
      <c r="B5638" s="5" t="str">
        <f>IFERROR(__xludf.DUMMYFUNCTION("IF(A5638="""","""",INDEX(SPLIT(A5638,"" ""),COUNTA(SPLIT(A5638,"" ""))))"),"Fossacesia")</f>
        <v>Fossacesia</v>
      </c>
      <c r="C5638" s="6"/>
      <c r="D5638" s="6" t="s">
        <v>5687</v>
      </c>
      <c r="E5638" s="7" t="s">
        <v>5688</v>
      </c>
    </row>
    <row r="5639">
      <c r="A5639" s="4" t="s">
        <v>5720</v>
      </c>
      <c r="B5639" s="5" t="str">
        <f>IFERROR(__xludf.DUMMYFUNCTION("IF(A5639="""","""",INDEX(SPLIT(A5639,"" ""),COUNTA(SPLIT(A5639,"" ""))))"),"Fraine")</f>
        <v>Fraine</v>
      </c>
      <c r="C5639" s="6"/>
      <c r="D5639" s="6" t="s">
        <v>5687</v>
      </c>
      <c r="E5639" s="7" t="s">
        <v>5688</v>
      </c>
    </row>
    <row r="5640">
      <c r="A5640" s="4" t="s">
        <v>5721</v>
      </c>
      <c r="B5640" s="5" t="str">
        <f>IFERROR(__xludf.DUMMYFUNCTION("IF(A5640="""","""",INDEX(SPLIT(A5640,"" ""),COUNTA(SPLIT(A5640,"" ""))))"),"Mare")</f>
        <v>Mare</v>
      </c>
      <c r="C5640" s="6"/>
      <c r="D5640" s="6" t="s">
        <v>5687</v>
      </c>
      <c r="E5640" s="7" t="s">
        <v>5688</v>
      </c>
    </row>
    <row r="5641">
      <c r="A5641" s="4" t="s">
        <v>5722</v>
      </c>
      <c r="B5641" s="5" t="str">
        <f>IFERROR(__xludf.DUMMYFUNCTION("IF(A5641="""","""",INDEX(SPLIT(A5641,"" ""),COUNTA(SPLIT(A5641,"" ""))))"),"Fresagrandinaria")</f>
        <v>Fresagrandinaria</v>
      </c>
      <c r="C5641" s="6"/>
      <c r="D5641" s="6" t="s">
        <v>5687</v>
      </c>
      <c r="E5641" s="7" t="s">
        <v>5688</v>
      </c>
    </row>
    <row r="5642">
      <c r="A5642" s="4" t="s">
        <v>5723</v>
      </c>
      <c r="B5642" s="5" t="str">
        <f>IFERROR(__xludf.DUMMYFUNCTION("IF(A5642="""","""",INDEX(SPLIT(A5642,"" ""),COUNTA(SPLIT(A5642,"" ""))))"),"Frisa")</f>
        <v>Frisa</v>
      </c>
      <c r="C5642" s="6"/>
      <c r="D5642" s="6" t="s">
        <v>5687</v>
      </c>
      <c r="E5642" s="7" t="s">
        <v>5688</v>
      </c>
    </row>
    <row r="5643">
      <c r="A5643" s="4" t="s">
        <v>5724</v>
      </c>
      <c r="B5643" s="5" t="str">
        <f>IFERROR(__xludf.DUMMYFUNCTION("IF(A5643="""","""",INDEX(SPLIT(A5643,"" ""),COUNTA(SPLIT(A5643,"" ""))))"),"Furci")</f>
        <v>Furci</v>
      </c>
      <c r="C5643" s="6"/>
      <c r="D5643" s="6" t="s">
        <v>5687</v>
      </c>
      <c r="E5643" s="7" t="s">
        <v>5688</v>
      </c>
    </row>
    <row r="5644">
      <c r="A5644" s="4" t="s">
        <v>5725</v>
      </c>
      <c r="B5644" s="5" t="str">
        <f>IFERROR(__xludf.DUMMYFUNCTION("IF(A5644="""","""",INDEX(SPLIT(A5644,"" ""),COUNTA(SPLIT(A5644,"" ""))))"),"Gamberale")</f>
        <v>Gamberale</v>
      </c>
      <c r="C5644" s="6"/>
      <c r="D5644" s="6" t="s">
        <v>5687</v>
      </c>
      <c r="E5644" s="7" t="s">
        <v>5688</v>
      </c>
    </row>
    <row r="5645">
      <c r="A5645" s="4" t="s">
        <v>5726</v>
      </c>
      <c r="B5645" s="5" t="str">
        <f>IFERROR(__xludf.DUMMYFUNCTION("IF(A5645="""","""",INDEX(SPLIT(A5645,"" ""),COUNTA(SPLIT(A5645,"" ""))))"),"Gessopalena")</f>
        <v>Gessopalena</v>
      </c>
      <c r="C5645" s="6"/>
      <c r="D5645" s="6" t="s">
        <v>5687</v>
      </c>
      <c r="E5645" s="7" t="s">
        <v>5688</v>
      </c>
    </row>
    <row r="5646">
      <c r="A5646" s="4" t="s">
        <v>5727</v>
      </c>
      <c r="B5646" s="5" t="str">
        <f>IFERROR(__xludf.DUMMYFUNCTION("IF(A5646="""","""",INDEX(SPLIT(A5646,"" ""),COUNTA(SPLIT(A5646,"" ""))))"),"Gissi")</f>
        <v>Gissi</v>
      </c>
      <c r="C5646" s="6"/>
      <c r="D5646" s="6" t="s">
        <v>5687</v>
      </c>
      <c r="E5646" s="7" t="s">
        <v>5688</v>
      </c>
    </row>
    <row r="5647">
      <c r="A5647" s="4" t="s">
        <v>5728</v>
      </c>
      <c r="B5647" s="5" t="str">
        <f>IFERROR(__xludf.DUMMYFUNCTION("IF(A5647="""","""",INDEX(SPLIT(A5647,"" ""),COUNTA(SPLIT(A5647,"" ""))))"),"Teatino")</f>
        <v>Teatino</v>
      </c>
      <c r="C5647" s="6"/>
      <c r="D5647" s="6" t="s">
        <v>5687</v>
      </c>
      <c r="E5647" s="7" t="s">
        <v>5688</v>
      </c>
    </row>
    <row r="5648">
      <c r="A5648" s="4" t="s">
        <v>5729</v>
      </c>
      <c r="B5648" s="5" t="str">
        <f>IFERROR(__xludf.DUMMYFUNCTION("IF(A5648="""","""",INDEX(SPLIT(A5648,"" ""),COUNTA(SPLIT(A5648,"" ""))))"),"Guardiagrele")</f>
        <v>Guardiagrele</v>
      </c>
      <c r="C5648" s="6"/>
      <c r="D5648" s="6" t="s">
        <v>5687</v>
      </c>
      <c r="E5648" s="7" t="s">
        <v>5688</v>
      </c>
    </row>
    <row r="5649">
      <c r="A5649" s="4" t="s">
        <v>5730</v>
      </c>
      <c r="B5649" s="5" t="str">
        <f>IFERROR(__xludf.DUMMYFUNCTION("IF(A5649="""","""",INDEX(SPLIT(A5649,"" ""),COUNTA(SPLIT(A5649,"" ""))))"),"Guilmi")</f>
        <v>Guilmi</v>
      </c>
      <c r="C5649" s="6"/>
      <c r="D5649" s="6" t="s">
        <v>5687</v>
      </c>
      <c r="E5649" s="7" t="s">
        <v>5688</v>
      </c>
    </row>
    <row r="5650">
      <c r="A5650" s="4" t="s">
        <v>5731</v>
      </c>
      <c r="B5650" s="5" t="str">
        <f>IFERROR(__xludf.DUMMYFUNCTION("IF(A5650="""","""",INDEX(SPLIT(A5650,"" ""),COUNTA(SPLIT(A5650,"" ""))))"),"Peligni")</f>
        <v>Peligni</v>
      </c>
      <c r="C5650" s="6"/>
      <c r="D5650" s="6" t="s">
        <v>5687</v>
      </c>
      <c r="E5650" s="7" t="s">
        <v>5688</v>
      </c>
    </row>
    <row r="5651">
      <c r="A5651" s="4" t="s">
        <v>5732</v>
      </c>
      <c r="B5651" s="5" t="str">
        <f>IFERROR(__xludf.DUMMYFUNCTION("IF(A5651="""","""",INDEX(SPLIT(A5651,"" ""),COUNTA(SPLIT(A5651,"" ""))))"),"Lanciano")</f>
        <v>Lanciano</v>
      </c>
      <c r="C5651" s="6"/>
      <c r="D5651" s="6" t="s">
        <v>5687</v>
      </c>
      <c r="E5651" s="7" t="s">
        <v>5688</v>
      </c>
    </row>
    <row r="5652">
      <c r="A5652" s="4" t="s">
        <v>5733</v>
      </c>
      <c r="B5652" s="5" t="str">
        <f>IFERROR(__xludf.DUMMYFUNCTION("IF(A5652="""","""",INDEX(SPLIT(A5652,"" ""),COUNTA(SPLIT(A5652,"" ""))))"),"Lentella")</f>
        <v>Lentella</v>
      </c>
      <c r="C5652" s="6"/>
      <c r="D5652" s="6" t="s">
        <v>5687</v>
      </c>
      <c r="E5652" s="7" t="s">
        <v>5688</v>
      </c>
    </row>
    <row r="5653">
      <c r="A5653" s="4" t="s">
        <v>5734</v>
      </c>
      <c r="B5653" s="5" t="str">
        <f>IFERROR(__xludf.DUMMYFUNCTION("IF(A5653="""","""",INDEX(SPLIT(A5653,"" ""),COUNTA(SPLIT(A5653,"" ""))))"),"Lettopalena")</f>
        <v>Lettopalena</v>
      </c>
      <c r="C5653" s="6"/>
      <c r="D5653" s="6" t="s">
        <v>5687</v>
      </c>
      <c r="E5653" s="7" t="s">
        <v>5688</v>
      </c>
    </row>
    <row r="5654">
      <c r="A5654" s="4" t="s">
        <v>5735</v>
      </c>
      <c r="B5654" s="5" t="str">
        <f>IFERROR(__xludf.DUMMYFUNCTION("IF(A5654="""","""",INDEX(SPLIT(A5654,"" ""),COUNTA(SPLIT(A5654,"" ""))))"),"Liscia")</f>
        <v>Liscia</v>
      </c>
      <c r="C5654" s="6"/>
      <c r="D5654" s="6" t="s">
        <v>5687</v>
      </c>
      <c r="E5654" s="7" t="s">
        <v>5688</v>
      </c>
    </row>
    <row r="5655">
      <c r="A5655" s="4" t="s">
        <v>5736</v>
      </c>
      <c r="B5655" s="5" t="str">
        <f>IFERROR(__xludf.DUMMYFUNCTION("IF(A5655="""","""",INDEX(SPLIT(A5655,"" ""),COUNTA(SPLIT(A5655,"" ""))))"),"Miglianico")</f>
        <v>Miglianico</v>
      </c>
      <c r="C5655" s="6"/>
      <c r="D5655" s="6" t="s">
        <v>5687</v>
      </c>
      <c r="E5655" s="7" t="s">
        <v>5688</v>
      </c>
    </row>
    <row r="5656">
      <c r="A5656" s="4" t="s">
        <v>5737</v>
      </c>
      <c r="B5656" s="5" t="str">
        <f>IFERROR(__xludf.DUMMYFUNCTION("IF(A5656="""","""",INDEX(SPLIT(A5656,"" ""),COUNTA(SPLIT(A5656,"" ""))))"),"Montazzoli")</f>
        <v>Montazzoli</v>
      </c>
      <c r="C5656" s="6"/>
      <c r="D5656" s="6" t="s">
        <v>5687</v>
      </c>
      <c r="E5656" s="7" t="s">
        <v>5688</v>
      </c>
    </row>
    <row r="5657">
      <c r="A5657" s="4" t="s">
        <v>5738</v>
      </c>
      <c r="B5657" s="5" t="str">
        <f>IFERROR(__xludf.DUMMYFUNCTION("IF(A5657="""","""",INDEX(SPLIT(A5657,"" ""),COUNTA(SPLIT(A5657,"" ""))))"),"Monteferrante")</f>
        <v>Monteferrante</v>
      </c>
      <c r="C5657" s="6"/>
      <c r="D5657" s="6" t="s">
        <v>5687</v>
      </c>
      <c r="E5657" s="7" t="s">
        <v>5688</v>
      </c>
    </row>
    <row r="5658">
      <c r="A5658" s="4" t="s">
        <v>5739</v>
      </c>
      <c r="B5658" s="5" t="str">
        <f>IFERROR(__xludf.DUMMYFUNCTION("IF(A5658="""","""",INDEX(SPLIT(A5658,"" ""),COUNTA(SPLIT(A5658,"" ""))))"),"Montelapiano")</f>
        <v>Montelapiano</v>
      </c>
      <c r="C5658" s="6"/>
      <c r="D5658" s="6" t="s">
        <v>5687</v>
      </c>
      <c r="E5658" s="7" t="s">
        <v>5688</v>
      </c>
    </row>
    <row r="5659">
      <c r="A5659" s="4" t="s">
        <v>5740</v>
      </c>
      <c r="B5659" s="5" t="str">
        <f>IFERROR(__xludf.DUMMYFUNCTION("IF(A5659="""","""",INDEX(SPLIT(A5659,"" ""),COUNTA(SPLIT(A5659,"" ""))))"),"Montenerodomo")</f>
        <v>Montenerodomo</v>
      </c>
      <c r="C5659" s="6"/>
      <c r="D5659" s="6" t="s">
        <v>5687</v>
      </c>
      <c r="E5659" s="7" t="s">
        <v>5688</v>
      </c>
    </row>
    <row r="5660">
      <c r="A5660" s="4" t="s">
        <v>5741</v>
      </c>
      <c r="B5660" s="5" t="str">
        <f>IFERROR(__xludf.DUMMYFUNCTION("IF(A5660="""","""",INDEX(SPLIT(A5660,"" ""),COUNTA(SPLIT(A5660,"" ""))))"),"Monteodorisio")</f>
        <v>Monteodorisio</v>
      </c>
      <c r="C5660" s="6"/>
      <c r="D5660" s="6" t="s">
        <v>5687</v>
      </c>
      <c r="E5660" s="7" t="s">
        <v>5688</v>
      </c>
    </row>
    <row r="5661">
      <c r="A5661" s="4" t="s">
        <v>5742</v>
      </c>
      <c r="B5661" s="5" t="str">
        <f>IFERROR(__xludf.DUMMYFUNCTION("IF(A5661="""","""",INDEX(SPLIT(A5661,"" ""),COUNTA(SPLIT(A5661,"" ""))))"),"Mozzagrogna")</f>
        <v>Mozzagrogna</v>
      </c>
      <c r="C5661" s="6"/>
      <c r="D5661" s="6" t="s">
        <v>5687</v>
      </c>
      <c r="E5661" s="7" t="s">
        <v>5688</v>
      </c>
    </row>
    <row r="5662">
      <c r="A5662" s="4" t="s">
        <v>5743</v>
      </c>
      <c r="B5662" s="5" t="str">
        <f>IFERROR(__xludf.DUMMYFUNCTION("IF(A5662="""","""",INDEX(SPLIT(A5662,"" ""),COUNTA(SPLIT(A5662,"" ""))))"),"Orsogna")</f>
        <v>Orsogna</v>
      </c>
      <c r="C5662" s="6"/>
      <c r="D5662" s="6" t="s">
        <v>5687</v>
      </c>
      <c r="E5662" s="7" t="s">
        <v>5688</v>
      </c>
    </row>
    <row r="5663">
      <c r="A5663" s="4" t="s">
        <v>5744</v>
      </c>
      <c r="B5663" s="5" t="str">
        <f>IFERROR(__xludf.DUMMYFUNCTION("IF(A5663="""","""",INDEX(SPLIT(A5663,"" ""),COUNTA(SPLIT(A5663,"" ""))))"),"Ortona")</f>
        <v>Ortona</v>
      </c>
      <c r="C5663" s="6"/>
      <c r="D5663" s="6" t="s">
        <v>5687</v>
      </c>
      <c r="E5663" s="7" t="s">
        <v>5688</v>
      </c>
    </row>
    <row r="5664">
      <c r="A5664" s="4" t="s">
        <v>5745</v>
      </c>
      <c r="B5664" s="5" t="str">
        <f>IFERROR(__xludf.DUMMYFUNCTION("IF(A5664="""","""",INDEX(SPLIT(A5664,"" ""),COUNTA(SPLIT(A5664,"" ""))))"),"Paglieta")</f>
        <v>Paglieta</v>
      </c>
      <c r="C5664" s="6"/>
      <c r="D5664" s="6" t="s">
        <v>5687</v>
      </c>
      <c r="E5664" s="7" t="s">
        <v>5688</v>
      </c>
    </row>
    <row r="5665">
      <c r="A5665" s="4" t="s">
        <v>5746</v>
      </c>
      <c r="B5665" s="5" t="str">
        <f>IFERROR(__xludf.DUMMYFUNCTION("IF(A5665="""","""",INDEX(SPLIT(A5665,"" ""),COUNTA(SPLIT(A5665,"" ""))))"),"Palena")</f>
        <v>Palena</v>
      </c>
      <c r="C5665" s="6"/>
      <c r="D5665" s="6" t="s">
        <v>5687</v>
      </c>
      <c r="E5665" s="7" t="s">
        <v>5688</v>
      </c>
    </row>
    <row r="5666">
      <c r="A5666" s="4" t="s">
        <v>5747</v>
      </c>
      <c r="B5666" s="5" t="str">
        <f>IFERROR(__xludf.DUMMYFUNCTION("IF(A5666="""","""",INDEX(SPLIT(A5666,"" ""),COUNTA(SPLIT(A5666,"" ""))))"),"Palmoli")</f>
        <v>Palmoli</v>
      </c>
      <c r="C5666" s="6"/>
      <c r="D5666" s="6" t="s">
        <v>5687</v>
      </c>
      <c r="E5666" s="7" t="s">
        <v>5688</v>
      </c>
    </row>
    <row r="5667">
      <c r="A5667" s="4" t="s">
        <v>5748</v>
      </c>
      <c r="B5667" s="5" t="str">
        <f>IFERROR(__xludf.DUMMYFUNCTION("IF(A5667="""","""",INDEX(SPLIT(A5667,"" ""),COUNTA(SPLIT(A5667,"" ""))))"),"Palombaro")</f>
        <v>Palombaro</v>
      </c>
      <c r="C5667" s="6"/>
      <c r="D5667" s="6" t="s">
        <v>5687</v>
      </c>
      <c r="E5667" s="7" t="s">
        <v>5688</v>
      </c>
    </row>
    <row r="5668">
      <c r="A5668" s="4" t="s">
        <v>5749</v>
      </c>
      <c r="B5668" s="5" t="str">
        <f>IFERROR(__xludf.DUMMYFUNCTION("IF(A5668="""","""",INDEX(SPLIT(A5668,"" ""),COUNTA(SPLIT(A5668,"" ""))))"),"Pennadomo")</f>
        <v>Pennadomo</v>
      </c>
      <c r="C5668" s="6"/>
      <c r="D5668" s="6" t="s">
        <v>5687</v>
      </c>
      <c r="E5668" s="7" t="s">
        <v>5688</v>
      </c>
    </row>
    <row r="5669">
      <c r="A5669" s="4" t="s">
        <v>5750</v>
      </c>
      <c r="B5669" s="5" t="str">
        <f>IFERROR(__xludf.DUMMYFUNCTION("IF(A5669="""","""",INDEX(SPLIT(A5669,"" ""),COUNTA(SPLIT(A5669,"" ""))))"),"Pennapiedimonte")</f>
        <v>Pennapiedimonte</v>
      </c>
      <c r="C5669" s="6"/>
      <c r="D5669" s="6" t="s">
        <v>5687</v>
      </c>
      <c r="E5669" s="7" t="s">
        <v>5688</v>
      </c>
    </row>
    <row r="5670">
      <c r="A5670" s="4" t="s">
        <v>5751</v>
      </c>
      <c r="B5670" s="5" t="str">
        <f>IFERROR(__xludf.DUMMYFUNCTION("IF(A5670="""","""",INDEX(SPLIT(A5670,"" ""),COUNTA(SPLIT(A5670,"" ""))))"),"Perano")</f>
        <v>Perano</v>
      </c>
      <c r="C5670" s="6"/>
      <c r="D5670" s="6" t="s">
        <v>5687</v>
      </c>
      <c r="E5670" s="7" t="s">
        <v>5688</v>
      </c>
    </row>
    <row r="5671">
      <c r="A5671" s="4" t="s">
        <v>5752</v>
      </c>
      <c r="B5671" s="5" t="str">
        <f>IFERROR(__xludf.DUMMYFUNCTION("IF(A5671="""","""",INDEX(SPLIT(A5671,"" ""),COUNTA(SPLIT(A5671,"" ""))))"),"Pizzoferrato")</f>
        <v>Pizzoferrato</v>
      </c>
      <c r="C5671" s="6"/>
      <c r="D5671" s="6" t="s">
        <v>5687</v>
      </c>
      <c r="E5671" s="7" t="s">
        <v>5688</v>
      </c>
    </row>
    <row r="5672">
      <c r="A5672" s="4" t="s">
        <v>5753</v>
      </c>
      <c r="B5672" s="5" t="str">
        <f>IFERROR(__xludf.DUMMYFUNCTION("IF(A5672="""","""",INDEX(SPLIT(A5672,"" ""),COUNTA(SPLIT(A5672,"" ""))))"),"Poggiofiorito")</f>
        <v>Poggiofiorito</v>
      </c>
      <c r="C5672" s="6"/>
      <c r="D5672" s="6" t="s">
        <v>5687</v>
      </c>
      <c r="E5672" s="7" t="s">
        <v>5688</v>
      </c>
    </row>
    <row r="5673">
      <c r="A5673" s="4" t="s">
        <v>5754</v>
      </c>
      <c r="B5673" s="5" t="str">
        <f>IFERROR(__xludf.DUMMYFUNCTION("IF(A5673="""","""",INDEX(SPLIT(A5673,"" ""),COUNTA(SPLIT(A5673,"" ""))))"),"Pollutri")</f>
        <v>Pollutri</v>
      </c>
      <c r="C5673" s="6"/>
      <c r="D5673" s="6" t="s">
        <v>5687</v>
      </c>
      <c r="E5673" s="7" t="s">
        <v>5688</v>
      </c>
    </row>
    <row r="5674">
      <c r="A5674" s="4" t="s">
        <v>5755</v>
      </c>
      <c r="B5674" s="5" t="str">
        <f>IFERROR(__xludf.DUMMYFUNCTION("IF(A5674="""","""",INDEX(SPLIT(A5674,"" ""),COUNTA(SPLIT(A5674,"" ""))))"),"Pretoro")</f>
        <v>Pretoro</v>
      </c>
      <c r="C5674" s="6"/>
      <c r="D5674" s="6" t="s">
        <v>5687</v>
      </c>
      <c r="E5674" s="7" t="s">
        <v>5688</v>
      </c>
    </row>
    <row r="5675">
      <c r="A5675" s="4" t="s">
        <v>5756</v>
      </c>
      <c r="B5675" s="5" t="str">
        <f>IFERROR(__xludf.DUMMYFUNCTION("IF(A5675="""","""",INDEX(SPLIT(A5675,"" ""),COUNTA(SPLIT(A5675,"" ""))))"),"Quadri")</f>
        <v>Quadri</v>
      </c>
      <c r="C5675" s="6"/>
      <c r="D5675" s="6" t="s">
        <v>5687</v>
      </c>
      <c r="E5675" s="7" t="s">
        <v>5688</v>
      </c>
    </row>
    <row r="5676">
      <c r="A5676" s="4" t="s">
        <v>5757</v>
      </c>
      <c r="B5676" s="5" t="str">
        <f>IFERROR(__xludf.DUMMYFUNCTION("IF(A5676="""","""",INDEX(SPLIT(A5676,"" ""),COUNTA(SPLIT(A5676,"" ""))))"),"Rapino")</f>
        <v>Rapino</v>
      </c>
      <c r="C5676" s="6"/>
      <c r="D5676" s="6" t="s">
        <v>5687</v>
      </c>
      <c r="E5676" s="7" t="s">
        <v>5688</v>
      </c>
    </row>
    <row r="5677">
      <c r="A5677" s="4" t="s">
        <v>5758</v>
      </c>
      <c r="B5677" s="5" t="str">
        <f>IFERROR(__xludf.DUMMYFUNCTION("IF(A5677="""","""",INDEX(SPLIT(A5677,"" ""),COUNTA(SPLIT(A5677,"" ""))))"),"Teatina")</f>
        <v>Teatina</v>
      </c>
      <c r="C5677" s="6"/>
      <c r="D5677" s="6" t="s">
        <v>5687</v>
      </c>
      <c r="E5677" s="7" t="s">
        <v>5688</v>
      </c>
    </row>
    <row r="5678">
      <c r="A5678" s="4" t="s">
        <v>5759</v>
      </c>
      <c r="B5678" s="5" t="str">
        <f>IFERROR(__xludf.DUMMYFUNCTION("IF(A5678="""","""",INDEX(SPLIT(A5678,"" ""),COUNTA(SPLIT(A5678,"" ""))))"),"Roccamontepiano")</f>
        <v>Roccamontepiano</v>
      </c>
      <c r="C5678" s="6"/>
      <c r="D5678" s="6" t="s">
        <v>5687</v>
      </c>
      <c r="E5678" s="7" t="s">
        <v>5688</v>
      </c>
    </row>
    <row r="5679">
      <c r="A5679" s="4" t="s">
        <v>5760</v>
      </c>
      <c r="B5679" s="5" t="str">
        <f>IFERROR(__xludf.DUMMYFUNCTION("IF(A5679="""","""",INDEX(SPLIT(A5679,"" ""),COUNTA(SPLIT(A5679,"" ""))))"),"Giovanni")</f>
        <v>Giovanni</v>
      </c>
      <c r="C5679" s="6"/>
      <c r="D5679" s="6" t="s">
        <v>5687</v>
      </c>
      <c r="E5679" s="7" t="s">
        <v>5688</v>
      </c>
    </row>
    <row r="5680">
      <c r="A5680" s="4" t="s">
        <v>5761</v>
      </c>
      <c r="B5680" s="5" t="str">
        <f>IFERROR(__xludf.DUMMYFUNCTION("IF(A5680="""","""",INDEX(SPLIT(A5680,"" ""),COUNTA(SPLIT(A5680,"" ""))))"),"Roccascalegna")</f>
        <v>Roccascalegna</v>
      </c>
      <c r="C5680" s="6"/>
      <c r="D5680" s="6" t="s">
        <v>5687</v>
      </c>
      <c r="E5680" s="7" t="s">
        <v>5688</v>
      </c>
    </row>
    <row r="5681">
      <c r="A5681" s="4" t="s">
        <v>5762</v>
      </c>
      <c r="B5681" s="5" t="str">
        <f>IFERROR(__xludf.DUMMYFUNCTION("IF(A5681="""","""",INDEX(SPLIT(A5681,"" ""),COUNTA(SPLIT(A5681,"" ""))))"),"Roccaspinalveti")</f>
        <v>Roccaspinalveti</v>
      </c>
      <c r="C5681" s="6"/>
      <c r="D5681" s="6" t="s">
        <v>5687</v>
      </c>
      <c r="E5681" s="7" t="s">
        <v>5688</v>
      </c>
    </row>
    <row r="5682">
      <c r="A5682" s="4" t="s">
        <v>5763</v>
      </c>
      <c r="B5682" s="5" t="str">
        <f>IFERROR(__xludf.DUMMYFUNCTION("IF(A5682="""","""",INDEX(SPLIT(A5682,"" ""),COUNTA(SPLIT(A5682,"" ""))))"),"Sangro")</f>
        <v>Sangro</v>
      </c>
      <c r="C5682" s="6"/>
      <c r="D5682" s="6" t="s">
        <v>5687</v>
      </c>
      <c r="E5682" s="7" t="s">
        <v>5688</v>
      </c>
    </row>
    <row r="5683">
      <c r="A5683" s="4" t="s">
        <v>5764</v>
      </c>
      <c r="B5683" s="5" t="str">
        <f>IFERROR(__xludf.DUMMYFUNCTION("IF(A5683="""","""",INDEX(SPLIT(A5683,"" ""),COUNTA(SPLIT(A5683,"" ""))))"),"Rosello")</f>
        <v>Rosello</v>
      </c>
      <c r="C5683" s="6"/>
      <c r="D5683" s="6" t="s">
        <v>5687</v>
      </c>
      <c r="E5683" s="7" t="s">
        <v>5688</v>
      </c>
    </row>
    <row r="5684">
      <c r="A5684" s="4" t="s">
        <v>5765</v>
      </c>
      <c r="B5684" s="5" t="str">
        <f>IFERROR(__xludf.DUMMYFUNCTION("IF(A5684="""","""",INDEX(SPLIT(A5684,"" ""),COUNTA(SPLIT(A5684,"" ""))))"),"Buono")</f>
        <v>Buono</v>
      </c>
      <c r="C5684" s="6"/>
      <c r="D5684" s="6" t="s">
        <v>5687</v>
      </c>
      <c r="E5684" s="7" t="s">
        <v>5688</v>
      </c>
    </row>
    <row r="5685">
      <c r="A5685" s="4" t="s">
        <v>5766</v>
      </c>
      <c r="B5685" s="5" t="str">
        <f>IFERROR(__xludf.DUMMYFUNCTION("IF(A5685="""","""",INDEX(SPLIT(A5685,"" ""),COUNTA(SPLIT(A5685,"" ""))))"),"Lipioni")</f>
        <v>Lipioni</v>
      </c>
      <c r="C5685" s="6"/>
      <c r="D5685" s="6" t="s">
        <v>5687</v>
      </c>
      <c r="E5685" s="7" t="s">
        <v>5688</v>
      </c>
    </row>
    <row r="5686">
      <c r="A5686" s="4" t="s">
        <v>5767</v>
      </c>
      <c r="B5686" s="5" t="str">
        <f>IFERROR(__xludf.DUMMYFUNCTION("IF(A5686="""","""",INDEX(SPLIT(A5686,"" ""),COUNTA(SPLIT(A5686,"" ""))))"),"Teatino")</f>
        <v>Teatino</v>
      </c>
      <c r="C5686" s="6"/>
      <c r="D5686" s="6" t="s">
        <v>5687</v>
      </c>
      <c r="E5686" s="7" t="s">
        <v>5688</v>
      </c>
    </row>
    <row r="5687">
      <c r="A5687" s="4" t="s">
        <v>5768</v>
      </c>
      <c r="B5687" s="5" t="str">
        <f>IFERROR(__xludf.DUMMYFUNCTION("IF(A5687="""","""",INDEX(SPLIT(A5687,"" ""),COUNTA(SPLIT(A5687,"" ""))))"),"Marrucina")</f>
        <v>Marrucina</v>
      </c>
      <c r="C5687" s="6"/>
      <c r="D5687" s="6" t="s">
        <v>5687</v>
      </c>
      <c r="E5687" s="7" t="s">
        <v>5688</v>
      </c>
    </row>
    <row r="5688">
      <c r="A5688" s="4" t="s">
        <v>5769</v>
      </c>
      <c r="B5688" s="5" t="str">
        <f>IFERROR(__xludf.DUMMYFUNCTION("IF(A5688="""","""",INDEX(SPLIT(A5688,"" ""),COUNTA(SPLIT(A5688,"" ""))))"),"Salvo")</f>
        <v>Salvo</v>
      </c>
      <c r="C5688" s="6"/>
      <c r="D5688" s="6" t="s">
        <v>5687</v>
      </c>
      <c r="E5688" s="7" t="s">
        <v>5688</v>
      </c>
    </row>
    <row r="5689">
      <c r="A5689" s="4" t="s">
        <v>5770</v>
      </c>
      <c r="B5689" s="5" t="str">
        <f>IFERROR(__xludf.DUMMYFUNCTION("IF(A5689="""","""",INDEX(SPLIT(A5689,"" ""),COUNTA(SPLIT(A5689,"" ""))))"),"Imbaro")</f>
        <v>Imbaro</v>
      </c>
      <c r="C5689" s="6"/>
      <c r="D5689" s="6" t="s">
        <v>5687</v>
      </c>
      <c r="E5689" s="7" t="s">
        <v>5688</v>
      </c>
    </row>
    <row r="5690">
      <c r="A5690" s="4" t="s">
        <v>5771</v>
      </c>
      <c r="B5690" s="5" t="str">
        <f>IFERROR(__xludf.DUMMYFUNCTION("IF(A5690="""","""",INDEX(SPLIT(A5690,"" ""),COUNTA(SPLIT(A5690,"" ""))))"),"Sangro")</f>
        <v>Sangro</v>
      </c>
      <c r="C5690" s="6"/>
      <c r="D5690" s="6" t="s">
        <v>5687</v>
      </c>
      <c r="E5690" s="7" t="s">
        <v>5688</v>
      </c>
    </row>
    <row r="5691">
      <c r="A5691" s="4" t="s">
        <v>5772</v>
      </c>
      <c r="B5691" s="5" t="str">
        <f>IFERROR(__xludf.DUMMYFUNCTION("IF(A5691="""","""",INDEX(SPLIT(A5691,"" ""),COUNTA(SPLIT(A5691,"" ""))))"),"Chietino")</f>
        <v>Chietino</v>
      </c>
      <c r="C5691" s="6"/>
      <c r="D5691" s="6" t="s">
        <v>5687</v>
      </c>
      <c r="E5691" s="7" t="s">
        <v>5688</v>
      </c>
    </row>
    <row r="5692">
      <c r="A5692" s="4" t="s">
        <v>5773</v>
      </c>
      <c r="B5692" s="5" t="str">
        <f>IFERROR(__xludf.DUMMYFUNCTION("IF(A5692="""","""",INDEX(SPLIT(A5692,"" ""),COUNTA(SPLIT(A5692,"" ""))))"),"Scerni")</f>
        <v>Scerni</v>
      </c>
      <c r="C5692" s="6"/>
      <c r="D5692" s="6" t="s">
        <v>5687</v>
      </c>
      <c r="E5692" s="7" t="s">
        <v>5688</v>
      </c>
    </row>
    <row r="5693">
      <c r="A5693" s="4" t="s">
        <v>5774</v>
      </c>
      <c r="B5693" s="5" t="str">
        <f>IFERROR(__xludf.DUMMYFUNCTION("IF(A5693="""","""",INDEX(SPLIT(A5693,"" ""),COUNTA(SPLIT(A5693,"" ""))))"),"Abruzzo")</f>
        <v>Abruzzo</v>
      </c>
      <c r="C5693" s="6"/>
      <c r="D5693" s="6" t="s">
        <v>5687</v>
      </c>
      <c r="E5693" s="7" t="s">
        <v>5688</v>
      </c>
    </row>
    <row r="5694">
      <c r="A5694" s="4" t="s">
        <v>5775</v>
      </c>
      <c r="B5694" s="5" t="str">
        <f>IFERROR(__xludf.DUMMYFUNCTION("IF(A5694="""","""",INDEX(SPLIT(A5694,"" ""),COUNTA(SPLIT(A5694,"" ""))))"),"Peligna")</f>
        <v>Peligna</v>
      </c>
      <c r="C5694" s="6"/>
      <c r="D5694" s="6" t="s">
        <v>5687</v>
      </c>
      <c r="E5694" s="7" t="s">
        <v>5688</v>
      </c>
    </row>
    <row r="5695">
      <c r="A5695" s="4" t="s">
        <v>5776</v>
      </c>
      <c r="B5695" s="5" t="str">
        <f>IFERROR(__xludf.DUMMYFUNCTION("IF(A5695="""","""",INDEX(SPLIT(A5695,"" ""),COUNTA(SPLIT(A5695,"" ""))))"),"Tollo")</f>
        <v>Tollo</v>
      </c>
      <c r="C5695" s="6"/>
      <c r="D5695" s="6" t="s">
        <v>5687</v>
      </c>
      <c r="E5695" s="7" t="s">
        <v>5688</v>
      </c>
    </row>
    <row r="5696">
      <c r="A5696" s="4" t="s">
        <v>5777</v>
      </c>
      <c r="B5696" s="5" t="str">
        <f>IFERROR(__xludf.DUMMYFUNCTION("IF(A5696="""","""",INDEX(SPLIT(A5696,"" ""),COUNTA(SPLIT(A5696,"" ""))))"),"Sangro")</f>
        <v>Sangro</v>
      </c>
      <c r="C5696" s="6"/>
      <c r="D5696" s="6" t="s">
        <v>5687</v>
      </c>
      <c r="E5696" s="7" t="s">
        <v>5688</v>
      </c>
    </row>
    <row r="5697">
      <c r="A5697" s="4" t="s">
        <v>5778</v>
      </c>
      <c r="B5697" s="5" t="str">
        <f>IFERROR(__xludf.DUMMYFUNCTION("IF(A5697="""","""",INDEX(SPLIT(A5697,"" ""),COUNTA(SPLIT(A5697,"" ""))))"),"Tornareccio")</f>
        <v>Tornareccio</v>
      </c>
      <c r="C5697" s="6"/>
      <c r="D5697" s="6" t="s">
        <v>5687</v>
      </c>
      <c r="E5697" s="7" t="s">
        <v>5688</v>
      </c>
    </row>
    <row r="5698">
      <c r="A5698" s="4" t="s">
        <v>5779</v>
      </c>
      <c r="B5698" s="5" t="str">
        <f>IFERROR(__xludf.DUMMYFUNCTION("IF(A5698="""","""",INDEX(SPLIT(A5698,"" ""),COUNTA(SPLIT(A5698,"" ""))))"),"Torrebruna")</f>
        <v>Torrebruna</v>
      </c>
      <c r="C5698" s="6"/>
      <c r="D5698" s="6" t="s">
        <v>5687</v>
      </c>
      <c r="E5698" s="7" t="s">
        <v>5688</v>
      </c>
    </row>
    <row r="5699">
      <c r="A5699" s="4" t="s">
        <v>5780</v>
      </c>
      <c r="B5699" s="5" t="str">
        <f>IFERROR(__xludf.DUMMYFUNCTION("IF(A5699="""","""",INDEX(SPLIT(A5699,"" ""),COUNTA(SPLIT(A5699,"" ""))))"),"Teatina")</f>
        <v>Teatina</v>
      </c>
      <c r="C5699" s="6"/>
      <c r="D5699" s="6" t="s">
        <v>5687</v>
      </c>
      <c r="E5699" s="7" t="s">
        <v>5688</v>
      </c>
    </row>
    <row r="5700">
      <c r="A5700" s="4" t="s">
        <v>5781</v>
      </c>
      <c r="B5700" s="5" t="str">
        <f>IFERROR(__xludf.DUMMYFUNCTION("IF(A5700="""","""",INDEX(SPLIT(A5700,"" ""),COUNTA(SPLIT(A5700,"" ""))))"),"Peligna")</f>
        <v>Peligna</v>
      </c>
      <c r="C5700" s="6"/>
      <c r="D5700" s="6" t="s">
        <v>5687</v>
      </c>
      <c r="E5700" s="7" t="s">
        <v>5688</v>
      </c>
    </row>
    <row r="5701">
      <c r="A5701" s="4" t="s">
        <v>5782</v>
      </c>
      <c r="B5701" s="5" t="str">
        <f>IFERROR(__xludf.DUMMYFUNCTION("IF(A5701="""","""",INDEX(SPLIT(A5701,"" ""),COUNTA(SPLIT(A5701,"" ""))))"),"Treglio")</f>
        <v>Treglio</v>
      </c>
      <c r="C5701" s="6"/>
      <c r="D5701" s="6" t="s">
        <v>5687</v>
      </c>
      <c r="E5701" s="7" t="s">
        <v>5688</v>
      </c>
    </row>
    <row r="5702">
      <c r="A5702" s="4" t="s">
        <v>5783</v>
      </c>
      <c r="B5702" s="5" t="str">
        <f>IFERROR(__xludf.DUMMYFUNCTION("IF(A5702="""","""",INDEX(SPLIT(A5702,"" ""),COUNTA(SPLIT(A5702,"" ""))))"),"Tufillo")</f>
        <v>Tufillo</v>
      </c>
      <c r="C5702" s="6"/>
      <c r="D5702" s="6" t="s">
        <v>5687</v>
      </c>
      <c r="E5702" s="7" t="s">
        <v>5688</v>
      </c>
    </row>
    <row r="5703">
      <c r="A5703" s="4" t="s">
        <v>5784</v>
      </c>
      <c r="B5703" s="5" t="str">
        <f>IFERROR(__xludf.DUMMYFUNCTION("IF(A5703="""","""",INDEX(SPLIT(A5703,"" ""),COUNTA(SPLIT(A5703,"" ""))))"),"Vacri")</f>
        <v>Vacri</v>
      </c>
      <c r="C5703" s="6"/>
      <c r="D5703" s="6" t="s">
        <v>5687</v>
      </c>
      <c r="E5703" s="7" t="s">
        <v>5688</v>
      </c>
    </row>
    <row r="5704">
      <c r="A5704" s="4" t="s">
        <v>5785</v>
      </c>
      <c r="B5704" s="5" t="str">
        <f>IFERROR(__xludf.DUMMYFUNCTION("IF(A5704="""","""",INDEX(SPLIT(A5704,"" ""),COUNTA(SPLIT(A5704,"" ""))))"),"Vasto")</f>
        <v>Vasto</v>
      </c>
      <c r="C5704" s="6"/>
      <c r="D5704" s="6" t="s">
        <v>5687</v>
      </c>
      <c r="E5704" s="7" t="s">
        <v>5688</v>
      </c>
    </row>
    <row r="5705">
      <c r="A5705" s="4" t="s">
        <v>5786</v>
      </c>
      <c r="B5705" s="5" t="str">
        <f>IFERROR(__xludf.DUMMYFUNCTION("IF(A5705="""","""",INDEX(SPLIT(A5705,"" ""),COUNTA(SPLIT(A5705,"" ""))))"),"Villalfonsina")</f>
        <v>Villalfonsina</v>
      </c>
      <c r="C5705" s="6"/>
      <c r="D5705" s="6" t="s">
        <v>5687</v>
      </c>
      <c r="E5705" s="7" t="s">
        <v>5688</v>
      </c>
    </row>
    <row r="5706">
      <c r="A5706" s="4" t="s">
        <v>5787</v>
      </c>
      <c r="B5706" s="5" t="str">
        <f>IFERROR(__xludf.DUMMYFUNCTION("IF(A5706="""","""",INDEX(SPLIT(A5706,"" ""),COUNTA(SPLIT(A5706,"" ""))))"),"Villamagna")</f>
        <v>Villamagna</v>
      </c>
      <c r="C5706" s="6"/>
      <c r="D5706" s="6" t="s">
        <v>5687</v>
      </c>
      <c r="E5706" s="7" t="s">
        <v>5688</v>
      </c>
    </row>
    <row r="5707">
      <c r="A5707" s="4" t="s">
        <v>5788</v>
      </c>
      <c r="B5707" s="5" t="str">
        <f>IFERROR(__xludf.DUMMYFUNCTION("IF(A5707="""","""",INDEX(SPLIT(A5707,"" ""),COUNTA(SPLIT(A5707,"" ""))))"),"Maria")</f>
        <v>Maria</v>
      </c>
      <c r="C5707" s="6"/>
      <c r="D5707" s="6" t="s">
        <v>5687</v>
      </c>
      <c r="E5707" s="7" t="s">
        <v>5688</v>
      </c>
    </row>
    <row r="5708">
      <c r="A5708" s="4" t="s">
        <v>5789</v>
      </c>
      <c r="B5708" s="5" t="str">
        <f>IFERROR(__xludf.DUMMYFUNCTION("IF(A5708="""","""",INDEX(SPLIT(A5708,"" ""),COUNTA(SPLIT(A5708,"" ""))))"),"Pietraferrazzana")</f>
        <v>Pietraferrazzana</v>
      </c>
      <c r="C5708" s="6"/>
      <c r="D5708" s="6" t="s">
        <v>5687</v>
      </c>
      <c r="E5708" s="7" t="s">
        <v>5688</v>
      </c>
    </row>
    <row r="5709">
      <c r="A5709" s="4" t="s">
        <v>5790</v>
      </c>
      <c r="B5709" s="5" t="str">
        <f>IFERROR(__xludf.DUMMYFUNCTION("IF(A5709="""","""",INDEX(SPLIT(A5709,"" ""),COUNTA(SPLIT(A5709,"" ""))))"),"Fallo")</f>
        <v>Fallo</v>
      </c>
      <c r="C5709" s="6"/>
      <c r="D5709" s="6" t="s">
        <v>5687</v>
      </c>
      <c r="E5709" s="7" t="s">
        <v>5688</v>
      </c>
    </row>
    <row r="5710">
      <c r="A5710" s="4" t="s">
        <v>5791</v>
      </c>
      <c r="B5710" s="5" t="str">
        <f>IFERROR(__xludf.DUMMYFUNCTION("IF(A5710="""","""",INDEX(SPLIT(A5710,"" ""),COUNTA(SPLIT(A5710,"" ""))))"),"Collecroce")</f>
        <v>Collecroce</v>
      </c>
      <c r="C5710" s="6"/>
      <c r="D5710" s="6" t="s">
        <v>5792</v>
      </c>
      <c r="E5710" s="7" t="s">
        <v>5793</v>
      </c>
    </row>
    <row r="5711">
      <c r="A5711" s="4" t="s">
        <v>5794</v>
      </c>
      <c r="B5711" s="5" t="str">
        <f>IFERROR(__xludf.DUMMYFUNCTION("IF(A5711="""","""",INDEX(SPLIT(A5711,"" ""),COUNTA(SPLIT(A5711,"" ""))))"),"Baranello")</f>
        <v>Baranello</v>
      </c>
      <c r="C5711" s="6"/>
      <c r="D5711" s="6" t="s">
        <v>5792</v>
      </c>
      <c r="E5711" s="7" t="s">
        <v>5793</v>
      </c>
    </row>
    <row r="5712">
      <c r="A5712" s="4" t="s">
        <v>5795</v>
      </c>
      <c r="B5712" s="5" t="str">
        <f>IFERROR(__xludf.DUMMYFUNCTION("IF(A5712="""","""",INDEX(SPLIT(A5712,"" ""),COUNTA(SPLIT(A5712,"" ""))))"),"Bojano")</f>
        <v>Bojano</v>
      </c>
      <c r="C5712" s="6"/>
      <c r="D5712" s="6" t="s">
        <v>5792</v>
      </c>
      <c r="E5712" s="7" t="s">
        <v>5793</v>
      </c>
    </row>
    <row r="5713">
      <c r="A5713" s="4" t="s">
        <v>5796</v>
      </c>
      <c r="B5713" s="5" t="str">
        <f>IFERROR(__xludf.DUMMYFUNCTION("IF(A5713="""","""",INDEX(SPLIT(A5713,"" ""),COUNTA(SPLIT(A5713,"" ""))))"),"Bonefro")</f>
        <v>Bonefro</v>
      </c>
      <c r="C5713" s="6"/>
      <c r="D5713" s="6" t="s">
        <v>5792</v>
      </c>
      <c r="E5713" s="7" t="s">
        <v>5793</v>
      </c>
    </row>
    <row r="5714">
      <c r="A5714" s="4" t="s">
        <v>5797</v>
      </c>
      <c r="B5714" s="5" t="str">
        <f>IFERROR(__xludf.DUMMYFUNCTION("IF(A5714="""","""",INDEX(SPLIT(A5714,"" ""),COUNTA(SPLIT(A5714,"" ""))))"),"Busso")</f>
        <v>Busso</v>
      </c>
      <c r="C5714" s="6"/>
      <c r="D5714" s="6" t="s">
        <v>5792</v>
      </c>
      <c r="E5714" s="7" t="s">
        <v>5793</v>
      </c>
    </row>
    <row r="5715">
      <c r="A5715" s="4" t="s">
        <v>5792</v>
      </c>
      <c r="B5715" s="5" t="str">
        <f>IFERROR(__xludf.DUMMYFUNCTION("IF(A5715="""","""",INDEX(SPLIT(A5715,"" ""),COUNTA(SPLIT(A5715,"" ""))))"),"Campobasso")</f>
        <v>Campobasso</v>
      </c>
      <c r="C5715" s="6"/>
      <c r="D5715" s="6" t="s">
        <v>5792</v>
      </c>
      <c r="E5715" s="7" t="s">
        <v>5793</v>
      </c>
    </row>
    <row r="5716">
      <c r="A5716" s="4" t="s">
        <v>5798</v>
      </c>
      <c r="B5716" s="5" t="str">
        <f>IFERROR(__xludf.DUMMYFUNCTION("IF(A5716="""","""",INDEX(SPLIT(A5716,"" ""),COUNTA(SPLIT(A5716,"" ""))))"),"Campochiaro")</f>
        <v>Campochiaro</v>
      </c>
      <c r="C5716" s="6"/>
      <c r="D5716" s="6" t="s">
        <v>5792</v>
      </c>
      <c r="E5716" s="7" t="s">
        <v>5793</v>
      </c>
    </row>
    <row r="5717">
      <c r="A5717" s="4" t="s">
        <v>5799</v>
      </c>
      <c r="B5717" s="5" t="str">
        <f>IFERROR(__xludf.DUMMYFUNCTION("IF(A5717="""","""",INDEX(SPLIT(A5717,"" ""),COUNTA(SPLIT(A5717,"" ""))))"),"Campodipietra")</f>
        <v>Campodipietra</v>
      </c>
      <c r="C5717" s="6"/>
      <c r="D5717" s="6" t="s">
        <v>5792</v>
      </c>
      <c r="E5717" s="7" t="s">
        <v>5793</v>
      </c>
    </row>
    <row r="5718">
      <c r="A5718" s="4" t="s">
        <v>5800</v>
      </c>
      <c r="B5718" s="5" t="str">
        <f>IFERROR(__xludf.DUMMYFUNCTION("IF(A5718="""","""",INDEX(SPLIT(A5718,"" ""),COUNTA(SPLIT(A5718,"" ""))))"),"Campolieto")</f>
        <v>Campolieto</v>
      </c>
      <c r="C5718" s="6"/>
      <c r="D5718" s="6" t="s">
        <v>5792</v>
      </c>
      <c r="E5718" s="7" t="s">
        <v>5793</v>
      </c>
    </row>
    <row r="5719">
      <c r="A5719" s="4" t="s">
        <v>5801</v>
      </c>
      <c r="B5719" s="5" t="str">
        <f>IFERROR(__xludf.DUMMYFUNCTION("IF(A5719="""","""",INDEX(SPLIT(A5719,"" ""),COUNTA(SPLIT(A5719,"" ""))))"),"Campomarino")</f>
        <v>Campomarino</v>
      </c>
      <c r="C5719" s="6"/>
      <c r="D5719" s="6" t="s">
        <v>5792</v>
      </c>
      <c r="E5719" s="7" t="s">
        <v>5793</v>
      </c>
    </row>
    <row r="5720">
      <c r="A5720" s="4" t="s">
        <v>5802</v>
      </c>
      <c r="B5720" s="5" t="str">
        <f>IFERROR(__xludf.DUMMYFUNCTION("IF(A5720="""","""",INDEX(SPLIT(A5720,"" ""),COUNTA(SPLIT(A5720,"" ""))))"),"Casacalenda")</f>
        <v>Casacalenda</v>
      </c>
      <c r="C5720" s="6"/>
      <c r="D5720" s="6" t="s">
        <v>5792</v>
      </c>
      <c r="E5720" s="7" t="s">
        <v>5793</v>
      </c>
    </row>
    <row r="5721">
      <c r="A5721" s="4" t="s">
        <v>5803</v>
      </c>
      <c r="B5721" s="5" t="str">
        <f>IFERROR(__xludf.DUMMYFUNCTION("IF(A5721="""","""",INDEX(SPLIT(A5721,"" ""),COUNTA(SPLIT(A5721,"" ""))))"),"Casalciprano")</f>
        <v>Casalciprano</v>
      </c>
      <c r="C5721" s="6"/>
      <c r="D5721" s="6" t="s">
        <v>5792</v>
      </c>
      <c r="E5721" s="7" t="s">
        <v>5793</v>
      </c>
    </row>
    <row r="5722">
      <c r="A5722" s="4" t="s">
        <v>5804</v>
      </c>
      <c r="B5722" s="5" t="str">
        <f>IFERROR(__xludf.DUMMYFUNCTION("IF(A5722="""","""",INDEX(SPLIT(A5722,"" ""),COUNTA(SPLIT(A5722,"" ""))))"),"Castelbottaccio")</f>
        <v>Castelbottaccio</v>
      </c>
      <c r="C5722" s="6"/>
      <c r="D5722" s="6" t="s">
        <v>5792</v>
      </c>
      <c r="E5722" s="7" t="s">
        <v>5793</v>
      </c>
    </row>
    <row r="5723">
      <c r="A5723" s="4" t="s">
        <v>5805</v>
      </c>
      <c r="B5723" s="5" t="str">
        <f>IFERROR(__xludf.DUMMYFUNCTION("IF(A5723="""","""",INDEX(SPLIT(A5723,"" ""),COUNTA(SPLIT(A5723,"" ""))))"),"Biferno")</f>
        <v>Biferno</v>
      </c>
      <c r="C5723" s="6"/>
      <c r="D5723" s="6" t="s">
        <v>5792</v>
      </c>
      <c r="E5723" s="7" t="s">
        <v>5793</v>
      </c>
    </row>
    <row r="5724">
      <c r="A5724" s="4" t="s">
        <v>5806</v>
      </c>
      <c r="B5724" s="5" t="str">
        <f>IFERROR(__xludf.DUMMYFUNCTION("IF(A5724="""","""",INDEX(SPLIT(A5724,"" ""),COUNTA(SPLIT(A5724,"" ""))))"),"Castelmauro")</f>
        <v>Castelmauro</v>
      </c>
      <c r="C5724" s="6"/>
      <c r="D5724" s="6" t="s">
        <v>5792</v>
      </c>
      <c r="E5724" s="7" t="s">
        <v>5793</v>
      </c>
    </row>
    <row r="5725">
      <c r="A5725" s="4" t="s">
        <v>5807</v>
      </c>
      <c r="B5725" s="5" t="str">
        <f>IFERROR(__xludf.DUMMYFUNCTION("IF(A5725="""","""",INDEX(SPLIT(A5725,"" ""),COUNTA(SPLIT(A5725,"" ""))))"),"Castropignano")</f>
        <v>Castropignano</v>
      </c>
      <c r="C5725" s="6"/>
      <c r="D5725" s="6" t="s">
        <v>5792</v>
      </c>
      <c r="E5725" s="7" t="s">
        <v>5793</v>
      </c>
    </row>
    <row r="5726">
      <c r="A5726" s="4" t="s">
        <v>5808</v>
      </c>
      <c r="B5726" s="5" t="str">
        <f>IFERROR(__xludf.DUMMYFUNCTION("IF(A5726="""","""",INDEX(SPLIT(A5726,"" ""),COUNTA(SPLIT(A5726,"" ""))))"),"Cercemaggiore")</f>
        <v>Cercemaggiore</v>
      </c>
      <c r="C5726" s="6"/>
      <c r="D5726" s="6" t="s">
        <v>5792</v>
      </c>
      <c r="E5726" s="7" t="s">
        <v>5793</v>
      </c>
    </row>
    <row r="5727">
      <c r="A5727" s="4" t="s">
        <v>5809</v>
      </c>
      <c r="B5727" s="5" t="str">
        <f>IFERROR(__xludf.DUMMYFUNCTION("IF(A5727="""","""",INDEX(SPLIT(A5727,"" ""),COUNTA(SPLIT(A5727,"" ""))))"),"Cercepiccola")</f>
        <v>Cercepiccola</v>
      </c>
      <c r="C5727" s="6"/>
      <c r="D5727" s="6" t="s">
        <v>5792</v>
      </c>
      <c r="E5727" s="7" t="s">
        <v>5793</v>
      </c>
    </row>
    <row r="5728">
      <c r="A5728" s="4" t="s">
        <v>5810</v>
      </c>
      <c r="B5728" s="5" t="str">
        <f>IFERROR(__xludf.DUMMYFUNCTION("IF(A5728="""","""",INDEX(SPLIT(A5728,"" ""),COUNTA(SPLIT(A5728,"" ""))))"),"Civitacampomarano")</f>
        <v>Civitacampomarano</v>
      </c>
      <c r="C5728" s="6"/>
      <c r="D5728" s="6" t="s">
        <v>5792</v>
      </c>
      <c r="E5728" s="7" t="s">
        <v>5793</v>
      </c>
    </row>
    <row r="5729">
      <c r="A5729" s="4" t="s">
        <v>5811</v>
      </c>
      <c r="B5729" s="5" t="str">
        <f>IFERROR(__xludf.DUMMYFUNCTION("IF(A5729="""","""",INDEX(SPLIT(A5729,"" ""),COUNTA(SPLIT(A5729,"" ""))))"),"d'Anchise")</f>
        <v>d'Anchise</v>
      </c>
      <c r="C5729" s="6"/>
      <c r="D5729" s="6" t="s">
        <v>5792</v>
      </c>
      <c r="E5729" s="7" t="s">
        <v>5793</v>
      </c>
    </row>
    <row r="5730">
      <c r="A5730" s="4" t="s">
        <v>5812</v>
      </c>
      <c r="B5730" s="5" t="str">
        <f>IFERROR(__xludf.DUMMYFUNCTION("IF(A5730="""","""",INDEX(SPLIT(A5730,"" ""),COUNTA(SPLIT(A5730,"" ""))))"),"Colletorto")</f>
        <v>Colletorto</v>
      </c>
      <c r="C5730" s="6"/>
      <c r="D5730" s="6" t="s">
        <v>5792</v>
      </c>
      <c r="E5730" s="7" t="s">
        <v>5793</v>
      </c>
    </row>
    <row r="5731">
      <c r="A5731" s="4" t="s">
        <v>5813</v>
      </c>
      <c r="B5731" s="5" t="str">
        <f>IFERROR(__xludf.DUMMYFUNCTION("IF(A5731="""","""",INDEX(SPLIT(A5731,"" ""),COUNTA(SPLIT(A5731,"" ""))))"),"Duronia")</f>
        <v>Duronia</v>
      </c>
      <c r="C5731" s="6"/>
      <c r="D5731" s="6" t="s">
        <v>5792</v>
      </c>
      <c r="E5731" s="7" t="s">
        <v>5793</v>
      </c>
    </row>
    <row r="5732">
      <c r="A5732" s="4" t="s">
        <v>5814</v>
      </c>
      <c r="B5732" s="5" t="str">
        <f>IFERROR(__xludf.DUMMYFUNCTION("IF(A5732="""","""",INDEX(SPLIT(A5732,"" ""),COUNTA(SPLIT(A5732,"" ""))))"),"Ferrazzano")</f>
        <v>Ferrazzano</v>
      </c>
      <c r="C5732" s="6"/>
      <c r="D5732" s="6" t="s">
        <v>5792</v>
      </c>
      <c r="E5732" s="7" t="s">
        <v>5793</v>
      </c>
    </row>
    <row r="5733">
      <c r="A5733" s="4" t="s">
        <v>5815</v>
      </c>
      <c r="B5733" s="5" t="str">
        <f>IFERROR(__xludf.DUMMYFUNCTION("IF(A5733="""","""",INDEX(SPLIT(A5733,"" ""),COUNTA(SPLIT(A5733,"" ""))))"),"Fossalto")</f>
        <v>Fossalto</v>
      </c>
      <c r="C5733" s="6"/>
      <c r="D5733" s="6" t="s">
        <v>5792</v>
      </c>
      <c r="E5733" s="7" t="s">
        <v>5793</v>
      </c>
    </row>
    <row r="5734">
      <c r="A5734" s="4" t="s">
        <v>5816</v>
      </c>
      <c r="B5734" s="5" t="str">
        <f>IFERROR(__xludf.DUMMYFUNCTION("IF(A5734="""","""",INDEX(SPLIT(A5734,"" ""),COUNTA(SPLIT(A5734,"" ""))))"),"Gambatesa")</f>
        <v>Gambatesa</v>
      </c>
      <c r="C5734" s="6"/>
      <c r="D5734" s="6" t="s">
        <v>5792</v>
      </c>
      <c r="E5734" s="7" t="s">
        <v>5793</v>
      </c>
    </row>
    <row r="5735">
      <c r="A5735" s="4" t="s">
        <v>5817</v>
      </c>
      <c r="B5735" s="5" t="str">
        <f>IFERROR(__xludf.DUMMYFUNCTION("IF(A5735="""","""",INDEX(SPLIT(A5735,"" ""),COUNTA(SPLIT(A5735,"" ""))))"),"Gildone")</f>
        <v>Gildone</v>
      </c>
      <c r="C5735" s="6"/>
      <c r="D5735" s="6" t="s">
        <v>5792</v>
      </c>
      <c r="E5735" s="7" t="s">
        <v>5793</v>
      </c>
    </row>
    <row r="5736">
      <c r="A5736" s="4" t="s">
        <v>5818</v>
      </c>
      <c r="B5736" s="5" t="str">
        <f>IFERROR(__xludf.DUMMYFUNCTION("IF(A5736="""","""",INDEX(SPLIT(A5736,"" ""),COUNTA(SPLIT(A5736,"" ""))))"),"Guardialfiera")</f>
        <v>Guardialfiera</v>
      </c>
      <c r="C5736" s="6"/>
      <c r="D5736" s="6" t="s">
        <v>5792</v>
      </c>
      <c r="E5736" s="7" t="s">
        <v>5793</v>
      </c>
    </row>
    <row r="5737">
      <c r="A5737" s="4" t="s">
        <v>5819</v>
      </c>
      <c r="B5737" s="5" t="str">
        <f>IFERROR(__xludf.DUMMYFUNCTION("IF(A5737="""","""",INDEX(SPLIT(A5737,"" ""),COUNTA(SPLIT(A5737,"" ""))))"),"Guardiaregia")</f>
        <v>Guardiaregia</v>
      </c>
      <c r="C5737" s="6"/>
      <c r="D5737" s="6" t="s">
        <v>5792</v>
      </c>
      <c r="E5737" s="7" t="s">
        <v>5793</v>
      </c>
    </row>
    <row r="5738">
      <c r="A5738" s="4" t="s">
        <v>5820</v>
      </c>
      <c r="B5738" s="5" t="str">
        <f>IFERROR(__xludf.DUMMYFUNCTION("IF(A5738="""","""",INDEX(SPLIT(A5738,"" ""),COUNTA(SPLIT(A5738,"" ""))))"),"Guglionesi")</f>
        <v>Guglionesi</v>
      </c>
      <c r="C5738" s="6"/>
      <c r="D5738" s="6" t="s">
        <v>5792</v>
      </c>
      <c r="E5738" s="7" t="s">
        <v>5793</v>
      </c>
    </row>
    <row r="5739">
      <c r="A5739" s="4" t="s">
        <v>5821</v>
      </c>
      <c r="B5739" s="5" t="str">
        <f>IFERROR(__xludf.DUMMYFUNCTION("IF(A5739="""","""",INDEX(SPLIT(A5739,"" ""),COUNTA(SPLIT(A5739,"" ""))))"),"Jelsi")</f>
        <v>Jelsi</v>
      </c>
      <c r="C5739" s="6"/>
      <c r="D5739" s="6" t="s">
        <v>5792</v>
      </c>
      <c r="E5739" s="7" t="s">
        <v>5793</v>
      </c>
    </row>
    <row r="5740">
      <c r="A5740" s="4" t="s">
        <v>5822</v>
      </c>
      <c r="B5740" s="5" t="str">
        <f>IFERROR(__xludf.DUMMYFUNCTION("IF(A5740="""","""",INDEX(SPLIT(A5740,"" ""),COUNTA(SPLIT(A5740,"" ""))))"),"Larino")</f>
        <v>Larino</v>
      </c>
      <c r="C5740" s="6"/>
      <c r="D5740" s="6" t="s">
        <v>5792</v>
      </c>
      <c r="E5740" s="7" t="s">
        <v>5793</v>
      </c>
    </row>
    <row r="5741">
      <c r="A5741" s="4" t="s">
        <v>5823</v>
      </c>
      <c r="B5741" s="5" t="str">
        <f>IFERROR(__xludf.DUMMYFUNCTION("IF(A5741="""","""",INDEX(SPLIT(A5741,"" ""),COUNTA(SPLIT(A5741,"" ""))))"),"Limosano")</f>
        <v>Limosano</v>
      </c>
      <c r="C5741" s="6"/>
      <c r="D5741" s="6" t="s">
        <v>5792</v>
      </c>
      <c r="E5741" s="7" t="s">
        <v>5793</v>
      </c>
    </row>
    <row r="5742">
      <c r="A5742" s="4" t="s">
        <v>5824</v>
      </c>
      <c r="B5742" s="5" t="str">
        <f>IFERROR(__xludf.DUMMYFUNCTION("IF(A5742="""","""",INDEX(SPLIT(A5742,"" ""),COUNTA(SPLIT(A5742,"" ""))))"),"Lucito")</f>
        <v>Lucito</v>
      </c>
      <c r="C5742" s="6"/>
      <c r="D5742" s="6" t="s">
        <v>5792</v>
      </c>
      <c r="E5742" s="7" t="s">
        <v>5793</v>
      </c>
    </row>
    <row r="5743">
      <c r="A5743" s="4" t="s">
        <v>5825</v>
      </c>
      <c r="B5743" s="5" t="str">
        <f>IFERROR(__xludf.DUMMYFUNCTION("IF(A5743="""","""",INDEX(SPLIT(A5743,"" ""),COUNTA(SPLIT(A5743,"" ""))))"),"Lupara")</f>
        <v>Lupara</v>
      </c>
      <c r="C5743" s="6"/>
      <c r="D5743" s="6" t="s">
        <v>5792</v>
      </c>
      <c r="E5743" s="7" t="s">
        <v>5793</v>
      </c>
    </row>
    <row r="5744">
      <c r="A5744" s="4" t="s">
        <v>5826</v>
      </c>
      <c r="B5744" s="5" t="str">
        <f>IFERROR(__xludf.DUMMYFUNCTION("IF(A5744="""","""",INDEX(SPLIT(A5744,"" ""),COUNTA(SPLIT(A5744,"" ""))))"),"Valfortore")</f>
        <v>Valfortore</v>
      </c>
      <c r="C5744" s="6"/>
      <c r="D5744" s="6" t="s">
        <v>5792</v>
      </c>
      <c r="E5744" s="7" t="s">
        <v>5793</v>
      </c>
    </row>
    <row r="5745">
      <c r="A5745" s="4" t="s">
        <v>5827</v>
      </c>
      <c r="B5745" s="5" t="str">
        <f>IFERROR(__xludf.DUMMYFUNCTION("IF(A5745="""","""",INDEX(SPLIT(A5745,"" ""),COUNTA(SPLIT(A5745,"" ""))))"),"Mafalda")</f>
        <v>Mafalda</v>
      </c>
      <c r="C5745" s="6"/>
      <c r="D5745" s="6" t="s">
        <v>5792</v>
      </c>
      <c r="E5745" s="7" t="s">
        <v>5793</v>
      </c>
    </row>
    <row r="5746">
      <c r="A5746" s="4" t="s">
        <v>5828</v>
      </c>
      <c r="B5746" s="5" t="str">
        <f>IFERROR(__xludf.DUMMYFUNCTION("IF(A5746="""","""",INDEX(SPLIT(A5746,"" ""),COUNTA(SPLIT(A5746,"" ""))))"),"Matrice")</f>
        <v>Matrice</v>
      </c>
      <c r="C5746" s="6"/>
      <c r="D5746" s="6" t="s">
        <v>5792</v>
      </c>
      <c r="E5746" s="7" t="s">
        <v>5793</v>
      </c>
    </row>
    <row r="5747">
      <c r="A5747" s="4" t="s">
        <v>5829</v>
      </c>
      <c r="B5747" s="5" t="str">
        <f>IFERROR(__xludf.DUMMYFUNCTION("IF(A5747="""","""",INDEX(SPLIT(A5747,"" ""),COUNTA(SPLIT(A5747,"" ""))))"),"Sannitico")</f>
        <v>Sannitico</v>
      </c>
      <c r="C5747" s="6"/>
      <c r="D5747" s="6" t="s">
        <v>5792</v>
      </c>
      <c r="E5747" s="7" t="s">
        <v>5793</v>
      </c>
    </row>
    <row r="5748">
      <c r="A5748" s="4" t="s">
        <v>5830</v>
      </c>
      <c r="B5748" s="5" t="str">
        <f>IFERROR(__xludf.DUMMYFUNCTION("IF(A5748="""","""",INDEX(SPLIT(A5748,"" ""),COUNTA(SPLIT(A5748,"" ""))))"),"Molise")</f>
        <v>Molise</v>
      </c>
      <c r="C5748" s="6"/>
      <c r="D5748" s="6" t="s">
        <v>5792</v>
      </c>
      <c r="E5748" s="7" t="s">
        <v>5793</v>
      </c>
    </row>
    <row r="5749">
      <c r="A5749" s="4" t="s">
        <v>5831</v>
      </c>
      <c r="B5749" s="5" t="str">
        <f>IFERROR(__xludf.DUMMYFUNCTION("IF(A5749="""","""",INDEX(SPLIT(A5749,"" ""),COUNTA(SPLIT(A5749,"" ""))))"),"Monacilioni")</f>
        <v>Monacilioni</v>
      </c>
      <c r="C5749" s="6"/>
      <c r="D5749" s="6" t="s">
        <v>5792</v>
      </c>
      <c r="E5749" s="7" t="s">
        <v>5793</v>
      </c>
    </row>
    <row r="5750">
      <c r="A5750" s="4" t="s">
        <v>5832</v>
      </c>
      <c r="B5750" s="5" t="str">
        <f>IFERROR(__xludf.DUMMYFUNCTION("IF(A5750="""","""",INDEX(SPLIT(A5750,"" ""),COUNTA(SPLIT(A5750,"" ""))))"),"Montagano")</f>
        <v>Montagano</v>
      </c>
      <c r="C5750" s="6"/>
      <c r="D5750" s="6" t="s">
        <v>5792</v>
      </c>
      <c r="E5750" s="7" t="s">
        <v>5793</v>
      </c>
    </row>
    <row r="5751">
      <c r="A5751" s="4" t="s">
        <v>5833</v>
      </c>
      <c r="B5751" s="5" t="str">
        <f>IFERROR(__xludf.DUMMYFUNCTION("IF(A5751="""","""",INDEX(SPLIT(A5751,"" ""),COUNTA(SPLIT(A5751,"" ""))))"),"Montecilfone")</f>
        <v>Montecilfone</v>
      </c>
      <c r="C5751" s="6"/>
      <c r="D5751" s="6" t="s">
        <v>5792</v>
      </c>
      <c r="E5751" s="7" t="s">
        <v>5793</v>
      </c>
    </row>
    <row r="5752">
      <c r="A5752" s="4" t="s">
        <v>5834</v>
      </c>
      <c r="B5752" s="5" t="str">
        <f>IFERROR(__xludf.DUMMYFUNCTION("IF(A5752="""","""",INDEX(SPLIT(A5752,"" ""),COUNTA(SPLIT(A5752,"" ""))))"),"Sannio")</f>
        <v>Sannio</v>
      </c>
      <c r="C5752" s="6"/>
      <c r="D5752" s="6" t="s">
        <v>5792</v>
      </c>
      <c r="E5752" s="7" t="s">
        <v>5793</v>
      </c>
    </row>
    <row r="5753">
      <c r="A5753" s="4" t="s">
        <v>5835</v>
      </c>
      <c r="B5753" s="5" t="str">
        <f>IFERROR(__xludf.DUMMYFUNCTION("IF(A5753="""","""",INDEX(SPLIT(A5753,"" ""),COUNTA(SPLIT(A5753,"" ""))))"),"Montelongo")</f>
        <v>Montelongo</v>
      </c>
      <c r="C5753" s="6"/>
      <c r="D5753" s="6" t="s">
        <v>5792</v>
      </c>
      <c r="E5753" s="7" t="s">
        <v>5793</v>
      </c>
    </row>
    <row r="5754">
      <c r="A5754" s="4" t="s">
        <v>5836</v>
      </c>
      <c r="B5754" s="5" t="str">
        <f>IFERROR(__xludf.DUMMYFUNCTION("IF(A5754="""","""",INDEX(SPLIT(A5754,"" ""),COUNTA(SPLIT(A5754,"" ""))))"),"Montemitro")</f>
        <v>Montemitro</v>
      </c>
      <c r="C5754" s="6"/>
      <c r="D5754" s="6" t="s">
        <v>5792</v>
      </c>
      <c r="E5754" s="7" t="s">
        <v>5793</v>
      </c>
    </row>
    <row r="5755">
      <c r="A5755" s="4" t="s">
        <v>5837</v>
      </c>
      <c r="B5755" s="5" t="str">
        <f>IFERROR(__xludf.DUMMYFUNCTION("IF(A5755="""","""",INDEX(SPLIT(A5755,"" ""),COUNTA(SPLIT(A5755,"" ""))))"),"Bisaccia")</f>
        <v>Bisaccia</v>
      </c>
      <c r="C5755" s="6"/>
      <c r="D5755" s="6" t="s">
        <v>5792</v>
      </c>
      <c r="E5755" s="7" t="s">
        <v>5793</v>
      </c>
    </row>
    <row r="5756">
      <c r="A5756" s="4" t="s">
        <v>5838</v>
      </c>
      <c r="B5756" s="5" t="str">
        <f>IFERROR(__xludf.DUMMYFUNCTION("IF(A5756="""","""",INDEX(SPLIT(A5756,"" ""),COUNTA(SPLIT(A5756,"" ""))))"),"Frentani")</f>
        <v>Frentani</v>
      </c>
      <c r="C5756" s="6"/>
      <c r="D5756" s="6" t="s">
        <v>5792</v>
      </c>
      <c r="E5756" s="7" t="s">
        <v>5793</v>
      </c>
    </row>
    <row r="5757">
      <c r="A5757" s="4" t="s">
        <v>5839</v>
      </c>
      <c r="B5757" s="5" t="str">
        <f>IFERROR(__xludf.DUMMYFUNCTION("IF(A5757="""","""",INDEX(SPLIT(A5757,"" ""),COUNTA(SPLIT(A5757,"" ""))))"),"Sannio")</f>
        <v>Sannio</v>
      </c>
      <c r="C5757" s="6"/>
      <c r="D5757" s="6" t="s">
        <v>5792</v>
      </c>
      <c r="E5757" s="7" t="s">
        <v>5793</v>
      </c>
    </row>
    <row r="5758">
      <c r="A5758" s="4" t="s">
        <v>5840</v>
      </c>
      <c r="B5758" s="5" t="str">
        <f>IFERROR(__xludf.DUMMYFUNCTION("IF(A5758="""","""",INDEX(SPLIT(A5758,"" ""),COUNTA(SPLIT(A5758,"" ""))))"),"Oratino")</f>
        <v>Oratino</v>
      </c>
      <c r="C5758" s="6"/>
      <c r="D5758" s="6" t="s">
        <v>5792</v>
      </c>
      <c r="E5758" s="7" t="s">
        <v>5793</v>
      </c>
    </row>
    <row r="5759">
      <c r="A5759" s="4" t="s">
        <v>5841</v>
      </c>
      <c r="B5759" s="5" t="str">
        <f>IFERROR(__xludf.DUMMYFUNCTION("IF(A5759="""","""",INDEX(SPLIT(A5759,"" ""),COUNTA(SPLIT(A5759,"" ""))))"),"Palata")</f>
        <v>Palata</v>
      </c>
      <c r="C5759" s="6"/>
      <c r="D5759" s="6" t="s">
        <v>5792</v>
      </c>
      <c r="E5759" s="7" t="s">
        <v>5793</v>
      </c>
    </row>
    <row r="5760">
      <c r="A5760" s="4" t="s">
        <v>5842</v>
      </c>
      <c r="B5760" s="5" t="str">
        <f>IFERROR(__xludf.DUMMYFUNCTION("IF(A5760="""","""",INDEX(SPLIT(A5760,"" ""),COUNTA(SPLIT(A5760,"" ""))))"),"Petacciato")</f>
        <v>Petacciato</v>
      </c>
      <c r="C5760" s="6"/>
      <c r="D5760" s="6" t="s">
        <v>5792</v>
      </c>
      <c r="E5760" s="7" t="s">
        <v>5793</v>
      </c>
    </row>
    <row r="5761">
      <c r="A5761" s="4" t="s">
        <v>5843</v>
      </c>
      <c r="B5761" s="5" t="str">
        <f>IFERROR(__xludf.DUMMYFUNCTION("IF(A5761="""","""",INDEX(SPLIT(A5761,"" ""),COUNTA(SPLIT(A5761,"" ""))))"),"Tifernina")</f>
        <v>Tifernina</v>
      </c>
      <c r="C5761" s="6"/>
      <c r="D5761" s="6" t="s">
        <v>5792</v>
      </c>
      <c r="E5761" s="7" t="s">
        <v>5793</v>
      </c>
    </row>
    <row r="5762">
      <c r="A5762" s="4" t="s">
        <v>5844</v>
      </c>
      <c r="B5762" s="5" t="str">
        <f>IFERROR(__xludf.DUMMYFUNCTION("IF(A5762="""","""",INDEX(SPLIT(A5762,"" ""),COUNTA(SPLIT(A5762,"" ""))))"),"Pietracatella")</f>
        <v>Pietracatella</v>
      </c>
      <c r="C5762" s="6"/>
      <c r="D5762" s="6" t="s">
        <v>5792</v>
      </c>
      <c r="E5762" s="7" t="s">
        <v>5793</v>
      </c>
    </row>
    <row r="5763">
      <c r="A5763" s="4" t="s">
        <v>5845</v>
      </c>
      <c r="B5763" s="5" t="str">
        <f>IFERROR(__xludf.DUMMYFUNCTION("IF(A5763="""","""",INDEX(SPLIT(A5763,"" ""),COUNTA(SPLIT(A5763,"" ""))))"),"Pietracupa")</f>
        <v>Pietracupa</v>
      </c>
      <c r="C5763" s="6"/>
      <c r="D5763" s="6" t="s">
        <v>5792</v>
      </c>
      <c r="E5763" s="7" t="s">
        <v>5793</v>
      </c>
    </row>
    <row r="5764">
      <c r="A5764" s="4" t="s">
        <v>5846</v>
      </c>
      <c r="B5764" s="5" t="str">
        <f>IFERROR(__xludf.DUMMYFUNCTION("IF(A5764="""","""",INDEX(SPLIT(A5764,"" ""),COUNTA(SPLIT(A5764,"" ""))))"),"Portocannone")</f>
        <v>Portocannone</v>
      </c>
      <c r="C5764" s="6"/>
      <c r="D5764" s="6" t="s">
        <v>5792</v>
      </c>
      <c r="E5764" s="7" t="s">
        <v>5793</v>
      </c>
    </row>
    <row r="5765">
      <c r="A5765" s="4" t="s">
        <v>5847</v>
      </c>
      <c r="B5765" s="5" t="str">
        <f>IFERROR(__xludf.DUMMYFUNCTION("IF(A5765="""","""",INDEX(SPLIT(A5765,"" ""),COUNTA(SPLIT(A5765,"" ""))))"),"Provvidenti")</f>
        <v>Provvidenti</v>
      </c>
      <c r="C5765" s="6"/>
      <c r="D5765" s="6" t="s">
        <v>5792</v>
      </c>
      <c r="E5765" s="7" t="s">
        <v>5793</v>
      </c>
    </row>
    <row r="5766">
      <c r="A5766" s="4" t="s">
        <v>5848</v>
      </c>
      <c r="B5766" s="5" t="str">
        <f>IFERROR(__xludf.DUMMYFUNCTION("IF(A5766="""","""",INDEX(SPLIT(A5766,"" ""),COUNTA(SPLIT(A5766,"" ""))))"),"Riccia")</f>
        <v>Riccia</v>
      </c>
      <c r="C5766" s="6"/>
      <c r="D5766" s="6" t="s">
        <v>5792</v>
      </c>
      <c r="E5766" s="7" t="s">
        <v>5793</v>
      </c>
    </row>
    <row r="5767">
      <c r="A5767" s="4" t="s">
        <v>5849</v>
      </c>
      <c r="B5767" s="5" t="str">
        <f>IFERROR(__xludf.DUMMYFUNCTION("IF(A5767="""","""",INDEX(SPLIT(A5767,"" ""),COUNTA(SPLIT(A5767,"" ""))))"),"Ripabottoni")</f>
        <v>Ripabottoni</v>
      </c>
      <c r="C5767" s="6"/>
      <c r="D5767" s="6" t="s">
        <v>5792</v>
      </c>
      <c r="E5767" s="7" t="s">
        <v>5793</v>
      </c>
    </row>
    <row r="5768">
      <c r="A5768" s="4" t="s">
        <v>5850</v>
      </c>
      <c r="B5768" s="5" t="str">
        <f>IFERROR(__xludf.DUMMYFUNCTION("IF(A5768="""","""",INDEX(SPLIT(A5768,"" ""),COUNTA(SPLIT(A5768,"" ""))))"),"Ripalimosani")</f>
        <v>Ripalimosani</v>
      </c>
      <c r="C5768" s="6"/>
      <c r="D5768" s="6" t="s">
        <v>5792</v>
      </c>
      <c r="E5768" s="7" t="s">
        <v>5793</v>
      </c>
    </row>
    <row r="5769">
      <c r="A5769" s="4" t="s">
        <v>5851</v>
      </c>
      <c r="B5769" s="5" t="str">
        <f>IFERROR(__xludf.DUMMYFUNCTION("IF(A5769="""","""",INDEX(SPLIT(A5769,"" ""),COUNTA(SPLIT(A5769,"" ""))))"),"Roccavivara")</f>
        <v>Roccavivara</v>
      </c>
      <c r="C5769" s="6"/>
      <c r="D5769" s="6" t="s">
        <v>5792</v>
      </c>
      <c r="E5769" s="7" t="s">
        <v>5793</v>
      </c>
    </row>
    <row r="5770">
      <c r="A5770" s="4" t="s">
        <v>5852</v>
      </c>
      <c r="B5770" s="5" t="str">
        <f>IFERROR(__xludf.DUMMYFUNCTION("IF(A5770="""","""",INDEX(SPLIT(A5770,"" ""),COUNTA(SPLIT(A5770,"" ""))))"),"Rotello")</f>
        <v>Rotello</v>
      </c>
      <c r="C5770" s="6"/>
      <c r="D5770" s="6" t="s">
        <v>5792</v>
      </c>
      <c r="E5770" s="7" t="s">
        <v>5793</v>
      </c>
    </row>
    <row r="5771">
      <c r="A5771" s="4" t="s">
        <v>5853</v>
      </c>
      <c r="B5771" s="5" t="str">
        <f>IFERROR(__xludf.DUMMYFUNCTION("IF(A5771="""","""",INDEX(SPLIT(A5771,"" ""),COUNTA(SPLIT(A5771,"" ""))))"),"Salcito")</f>
        <v>Salcito</v>
      </c>
      <c r="C5771" s="6"/>
      <c r="D5771" s="6" t="s">
        <v>5792</v>
      </c>
      <c r="E5771" s="7" t="s">
        <v>5793</v>
      </c>
    </row>
    <row r="5772">
      <c r="A5772" s="4" t="s">
        <v>5854</v>
      </c>
      <c r="B5772" s="5" t="str">
        <f>IFERROR(__xludf.DUMMYFUNCTION("IF(A5772="""","""",INDEX(SPLIT(A5772,"" ""),COUNTA(SPLIT(A5772,"" ""))))"),"Biase")</f>
        <v>Biase</v>
      </c>
      <c r="C5772" s="6"/>
      <c r="D5772" s="6" t="s">
        <v>5792</v>
      </c>
      <c r="E5772" s="7" t="s">
        <v>5793</v>
      </c>
    </row>
    <row r="5773">
      <c r="A5773" s="4" t="s">
        <v>5855</v>
      </c>
      <c r="B5773" s="5" t="str">
        <f>IFERROR(__xludf.DUMMYFUNCTION("IF(A5773="""","""",INDEX(SPLIT(A5773,"" ""),COUNTA(SPLIT(A5773,"" ""))))"),"Molise")</f>
        <v>Molise</v>
      </c>
      <c r="C5773" s="6"/>
      <c r="D5773" s="6" t="s">
        <v>5792</v>
      </c>
      <c r="E5773" s="7" t="s">
        <v>5793</v>
      </c>
    </row>
    <row r="5774">
      <c r="A5774" s="4" t="s">
        <v>5856</v>
      </c>
      <c r="B5774" s="5" t="str">
        <f>IFERROR(__xludf.DUMMYFUNCTION("IF(A5774="""","""",INDEX(SPLIT(A5774,"" ""),COUNTA(SPLIT(A5774,"" ""))))"),"Schiavoni")</f>
        <v>Schiavoni</v>
      </c>
      <c r="C5774" s="6"/>
      <c r="D5774" s="6" t="s">
        <v>5792</v>
      </c>
      <c r="E5774" s="7" t="s">
        <v>5793</v>
      </c>
    </row>
    <row r="5775">
      <c r="A5775" s="4" t="s">
        <v>5857</v>
      </c>
      <c r="B5775" s="5" t="str">
        <f>IFERROR(__xludf.DUMMYFUNCTION("IF(A5775="""","""",INDEX(SPLIT(A5775,"" ""),COUNTA(SPLIT(A5775,"" ""))))"),"Galdo")</f>
        <v>Galdo</v>
      </c>
      <c r="C5775" s="6"/>
      <c r="D5775" s="6" t="s">
        <v>5792</v>
      </c>
      <c r="E5775" s="7" t="s">
        <v>5793</v>
      </c>
    </row>
    <row r="5776">
      <c r="A5776" s="4" t="s">
        <v>5858</v>
      </c>
      <c r="B5776" s="5" t="str">
        <f>IFERROR(__xludf.DUMMYFUNCTION("IF(A5776="""","""",INDEX(SPLIT(A5776,"" ""),COUNTA(SPLIT(A5776,"" ""))))"),"Sannio")</f>
        <v>Sannio</v>
      </c>
      <c r="C5776" s="6"/>
      <c r="D5776" s="6" t="s">
        <v>5792</v>
      </c>
      <c r="E5776" s="7" t="s">
        <v>5793</v>
      </c>
    </row>
    <row r="5777">
      <c r="A5777" s="4" t="s">
        <v>5859</v>
      </c>
      <c r="B5777" s="5" t="str">
        <f>IFERROR(__xludf.DUMMYFUNCTION("IF(A5777="""","""",INDEX(SPLIT(A5777,"" ""),COUNTA(SPLIT(A5777,"" ""))))"),"Puglia")</f>
        <v>Puglia</v>
      </c>
      <c r="C5777" s="6"/>
      <c r="D5777" s="6" t="s">
        <v>5792</v>
      </c>
      <c r="E5777" s="7" t="s">
        <v>5793</v>
      </c>
    </row>
    <row r="5778">
      <c r="A5778" s="4" t="s">
        <v>5860</v>
      </c>
      <c r="B5778" s="5" t="str">
        <f>IFERROR(__xludf.DUMMYFUNCTION("IF(A5778="""","""",INDEX(SPLIT(A5778,"" ""),COUNTA(SPLIT(A5778,"" ""))))"),"Pensilis")</f>
        <v>Pensilis</v>
      </c>
      <c r="C5778" s="6"/>
      <c r="D5778" s="6" t="s">
        <v>5792</v>
      </c>
      <c r="E5778" s="7" t="s">
        <v>5793</v>
      </c>
    </row>
    <row r="5779">
      <c r="A5779" s="4" t="s">
        <v>5861</v>
      </c>
      <c r="B5779" s="5" t="str">
        <f>IFERROR(__xludf.DUMMYFUNCTION("IF(A5779="""","""",INDEX(SPLIT(A5779,"" ""),COUNTA(SPLIT(A5779,"" ""))))"),"Massimo")</f>
        <v>Massimo</v>
      </c>
      <c r="C5779" s="6"/>
      <c r="D5779" s="6" t="s">
        <v>5792</v>
      </c>
      <c r="E5779" s="7" t="s">
        <v>5793</v>
      </c>
    </row>
    <row r="5780">
      <c r="A5780" s="4" t="s">
        <v>5862</v>
      </c>
      <c r="B5780" s="5" t="str">
        <f>IFERROR(__xludf.DUMMYFUNCTION("IF(A5780="""","""",INDEX(SPLIT(A5780,"" ""),COUNTA(SPLIT(A5780,"" ""))))"),"Matese")</f>
        <v>Matese</v>
      </c>
      <c r="C5780" s="6"/>
      <c r="D5780" s="6" t="s">
        <v>5792</v>
      </c>
      <c r="E5780" s="7" t="s">
        <v>5793</v>
      </c>
    </row>
    <row r="5781">
      <c r="A5781" s="4" t="s">
        <v>5863</v>
      </c>
      <c r="B5781" s="5" t="str">
        <f>IFERROR(__xludf.DUMMYFUNCTION("IF(A5781="""","""",INDEX(SPLIT(A5781,"" ""),COUNTA(SPLIT(A5781,"" ""))))"),"Magliano")</f>
        <v>Magliano</v>
      </c>
      <c r="C5781" s="6"/>
      <c r="D5781" s="6" t="s">
        <v>5792</v>
      </c>
      <c r="E5781" s="7" t="s">
        <v>5793</v>
      </c>
    </row>
    <row r="5782">
      <c r="A5782" s="4" t="s">
        <v>5864</v>
      </c>
      <c r="B5782" s="5" t="str">
        <f>IFERROR(__xludf.DUMMYFUNCTION("IF(A5782="""","""",INDEX(SPLIT(A5782,"" ""),COUNTA(SPLIT(A5782,"" ""))))"),"Limosano")</f>
        <v>Limosano</v>
      </c>
      <c r="C5782" s="6"/>
      <c r="D5782" s="6" t="s">
        <v>5792</v>
      </c>
      <c r="E5782" s="7" t="s">
        <v>5793</v>
      </c>
    </row>
    <row r="5783">
      <c r="A5783" s="4" t="s">
        <v>5865</v>
      </c>
      <c r="B5783" s="5" t="str">
        <f>IFERROR(__xludf.DUMMYFUNCTION("IF(A5783="""","""",INDEX(SPLIT(A5783,"" ""),COUNTA(SPLIT(A5783,"" ""))))"),"Pianisi")</f>
        <v>Pianisi</v>
      </c>
      <c r="C5783" s="6"/>
      <c r="D5783" s="6" t="s">
        <v>5792</v>
      </c>
      <c r="E5783" s="7" t="s">
        <v>5793</v>
      </c>
    </row>
    <row r="5784">
      <c r="A5784" s="4" t="s">
        <v>5866</v>
      </c>
      <c r="B5784" s="5" t="str">
        <f>IFERROR(__xludf.DUMMYFUNCTION("IF(A5784="""","""",INDEX(SPLIT(A5784,"" ""),COUNTA(SPLIT(A5784,"" ""))))"),"Sepino")</f>
        <v>Sepino</v>
      </c>
      <c r="C5784" s="6"/>
      <c r="D5784" s="6" t="s">
        <v>5792</v>
      </c>
      <c r="E5784" s="7" t="s">
        <v>5793</v>
      </c>
    </row>
    <row r="5785">
      <c r="A5785" s="4" t="s">
        <v>5867</v>
      </c>
      <c r="B5785" s="5" t="str">
        <f>IFERROR(__xludf.DUMMYFUNCTION("IF(A5785="""","""",INDEX(SPLIT(A5785,"" ""),COUNTA(SPLIT(A5785,"" ""))))"),"Spinete")</f>
        <v>Spinete</v>
      </c>
      <c r="C5785" s="6"/>
      <c r="D5785" s="6" t="s">
        <v>5792</v>
      </c>
      <c r="E5785" s="7" t="s">
        <v>5793</v>
      </c>
    </row>
    <row r="5786">
      <c r="A5786" s="4" t="s">
        <v>5868</v>
      </c>
      <c r="B5786" s="5" t="str">
        <f>IFERROR(__xludf.DUMMYFUNCTION("IF(A5786="""","""",INDEX(SPLIT(A5786,"" ""),COUNTA(SPLIT(A5786,"" ""))))"),"Tavenna")</f>
        <v>Tavenna</v>
      </c>
      <c r="C5786" s="6"/>
      <c r="D5786" s="6" t="s">
        <v>5792</v>
      </c>
      <c r="E5786" s="7" t="s">
        <v>5793</v>
      </c>
    </row>
    <row r="5787">
      <c r="A5787" s="4" t="s">
        <v>5869</v>
      </c>
      <c r="B5787" s="5" t="str">
        <f>IFERROR(__xludf.DUMMYFUNCTION("IF(A5787="""","""",INDEX(SPLIT(A5787,"" ""),COUNTA(SPLIT(A5787,"" ""))))"),"Termoli")</f>
        <v>Termoli</v>
      </c>
      <c r="C5787" s="6"/>
      <c r="D5787" s="6" t="s">
        <v>5792</v>
      </c>
      <c r="E5787" s="7" t="s">
        <v>5793</v>
      </c>
    </row>
    <row r="5788">
      <c r="A5788" s="4" t="s">
        <v>5870</v>
      </c>
      <c r="B5788" s="5" t="str">
        <f>IFERROR(__xludf.DUMMYFUNCTION("IF(A5788="""","""",INDEX(SPLIT(A5788,"" ""),COUNTA(SPLIT(A5788,"" ""))))"),"Sannio")</f>
        <v>Sannio</v>
      </c>
      <c r="C5788" s="6"/>
      <c r="D5788" s="6" t="s">
        <v>5792</v>
      </c>
      <c r="E5788" s="7" t="s">
        <v>5793</v>
      </c>
    </row>
    <row r="5789">
      <c r="A5789" s="4" t="s">
        <v>5871</v>
      </c>
      <c r="B5789" s="5" t="str">
        <f>IFERROR(__xludf.DUMMYFUNCTION("IF(A5789="""","""",INDEX(SPLIT(A5789,"" ""),COUNTA(SPLIT(A5789,"" ""))))"),"Toro")</f>
        <v>Toro</v>
      </c>
      <c r="C5789" s="6"/>
      <c r="D5789" s="6" t="s">
        <v>5792</v>
      </c>
      <c r="E5789" s="7" t="s">
        <v>5793</v>
      </c>
    </row>
    <row r="5790">
      <c r="A5790" s="4" t="s">
        <v>5872</v>
      </c>
      <c r="B5790" s="5" t="str">
        <f>IFERROR(__xludf.DUMMYFUNCTION("IF(A5790="""","""",INDEX(SPLIT(A5790,"" ""),COUNTA(SPLIT(A5790,"" ""))))"),"Trivento")</f>
        <v>Trivento</v>
      </c>
      <c r="C5790" s="6"/>
      <c r="D5790" s="6" t="s">
        <v>5792</v>
      </c>
      <c r="E5790" s="7" t="s">
        <v>5793</v>
      </c>
    </row>
    <row r="5791">
      <c r="A5791" s="4" t="s">
        <v>5873</v>
      </c>
      <c r="B5791" s="5" t="str">
        <f>IFERROR(__xludf.DUMMYFUNCTION("IF(A5791="""","""",INDEX(SPLIT(A5791,"" ""),COUNTA(SPLIT(A5791,"" ""))))"),"Tufara")</f>
        <v>Tufara</v>
      </c>
      <c r="C5791" s="6"/>
      <c r="D5791" s="6" t="s">
        <v>5792</v>
      </c>
      <c r="E5791" s="7" t="s">
        <v>5793</v>
      </c>
    </row>
    <row r="5792">
      <c r="A5792" s="4" t="s">
        <v>5874</v>
      </c>
      <c r="B5792" s="5" t="str">
        <f>IFERROR(__xludf.DUMMYFUNCTION("IF(A5792="""","""",INDEX(SPLIT(A5792,"" ""),COUNTA(SPLIT(A5792,"" ""))))"),"Ururi")</f>
        <v>Ururi</v>
      </c>
      <c r="C5792" s="6"/>
      <c r="D5792" s="6" t="s">
        <v>5792</v>
      </c>
      <c r="E5792" s="7" t="s">
        <v>5793</v>
      </c>
    </row>
    <row r="5793">
      <c r="A5793" s="4" t="s">
        <v>5875</v>
      </c>
      <c r="B5793" s="5" t="str">
        <f>IFERROR(__xludf.DUMMYFUNCTION("IF(A5793="""","""",INDEX(SPLIT(A5793,"" ""),COUNTA(SPLIT(A5793,"" ""))))"),"Vinchiaturo")</f>
        <v>Vinchiaturo</v>
      </c>
      <c r="C5793" s="6"/>
      <c r="D5793" s="6" t="s">
        <v>5792</v>
      </c>
      <c r="E5793" s="7" t="s">
        <v>5793</v>
      </c>
    </row>
    <row r="5794">
      <c r="A5794" s="4" t="s">
        <v>5876</v>
      </c>
      <c r="B5794" s="5" t="str">
        <f>IFERROR(__xludf.DUMMYFUNCTION("IF(A5794="""","""",INDEX(SPLIT(A5794,"" ""),COUNTA(SPLIT(A5794,"" ""))))"),"d'Isernia")</f>
        <v>d'Isernia</v>
      </c>
      <c r="C5794" s="6"/>
      <c r="D5794" s="6" t="s">
        <v>5877</v>
      </c>
      <c r="E5794" s="7" t="s">
        <v>5878</v>
      </c>
    </row>
    <row r="5795">
      <c r="A5795" s="4" t="s">
        <v>5879</v>
      </c>
      <c r="B5795" s="5" t="str">
        <f>IFERROR(__xludf.DUMMYFUNCTION("IF(A5795="""","""",INDEX(SPLIT(A5795,"" ""),COUNTA(SPLIT(A5795,"" ""))))"),"Agnone")</f>
        <v>Agnone</v>
      </c>
      <c r="C5795" s="6"/>
      <c r="D5795" s="6" t="s">
        <v>5877</v>
      </c>
      <c r="E5795" s="7" t="s">
        <v>5878</v>
      </c>
    </row>
    <row r="5796">
      <c r="A5796" s="4" t="s">
        <v>5880</v>
      </c>
      <c r="B5796" s="5" t="str">
        <f>IFERROR(__xludf.DUMMYFUNCTION("IF(A5796="""","""",INDEX(SPLIT(A5796,"" ""),COUNTA(SPLIT(A5796,"" ""))))"),"Trigno")</f>
        <v>Trigno</v>
      </c>
      <c r="C5796" s="6"/>
      <c r="D5796" s="6" t="s">
        <v>5877</v>
      </c>
      <c r="E5796" s="7" t="s">
        <v>5878</v>
      </c>
    </row>
    <row r="5797">
      <c r="A5797" s="4" t="s">
        <v>5881</v>
      </c>
      <c r="B5797" s="5" t="str">
        <f>IFERROR(__xludf.DUMMYFUNCTION("IF(A5797="""","""",INDEX(SPLIT(A5797,"" ""),COUNTA(SPLIT(A5797,"" ""))))"),"Sannio")</f>
        <v>Sannio</v>
      </c>
      <c r="C5797" s="6"/>
      <c r="D5797" s="6" t="s">
        <v>5877</v>
      </c>
      <c r="E5797" s="7" t="s">
        <v>5878</v>
      </c>
    </row>
    <row r="5798">
      <c r="A5798" s="4" t="s">
        <v>5882</v>
      </c>
      <c r="B5798" s="5" t="str">
        <f>IFERROR(__xludf.DUMMYFUNCTION("IF(A5798="""","""",INDEX(SPLIT(A5798,"" ""),COUNTA(SPLIT(A5798,"" ""))))"),"Sannio")</f>
        <v>Sannio</v>
      </c>
      <c r="C5798" s="6"/>
      <c r="D5798" s="6" t="s">
        <v>5877</v>
      </c>
      <c r="E5798" s="7" t="s">
        <v>5878</v>
      </c>
    </row>
    <row r="5799">
      <c r="A5799" s="4" t="s">
        <v>5883</v>
      </c>
      <c r="B5799" s="5" t="str">
        <f>IFERROR(__xludf.DUMMYFUNCTION("IF(A5799="""","""",INDEX(SPLIT(A5799,"" ""),COUNTA(SPLIT(A5799,"" ""))))"),"Capracotta")</f>
        <v>Capracotta</v>
      </c>
      <c r="C5799" s="6"/>
      <c r="D5799" s="6" t="s">
        <v>5877</v>
      </c>
      <c r="E5799" s="7" t="s">
        <v>5878</v>
      </c>
    </row>
    <row r="5800">
      <c r="A5800" s="4" t="s">
        <v>5884</v>
      </c>
      <c r="B5800" s="5" t="str">
        <f>IFERROR(__xludf.DUMMYFUNCTION("IF(A5800="""","""",INDEX(SPLIT(A5800,"" ""),COUNTA(SPLIT(A5800,"" ""))))"),"Carovilli")</f>
        <v>Carovilli</v>
      </c>
      <c r="C5800" s="6"/>
      <c r="D5800" s="6" t="s">
        <v>5877</v>
      </c>
      <c r="E5800" s="7" t="s">
        <v>5878</v>
      </c>
    </row>
    <row r="5801">
      <c r="A5801" s="4" t="s">
        <v>5885</v>
      </c>
      <c r="B5801" s="5" t="str">
        <f>IFERROR(__xludf.DUMMYFUNCTION("IF(A5801="""","""",INDEX(SPLIT(A5801,"" ""),COUNTA(SPLIT(A5801,"" ""))))"),"Carpinone")</f>
        <v>Carpinone</v>
      </c>
      <c r="C5801" s="6"/>
      <c r="D5801" s="6" t="s">
        <v>5877</v>
      </c>
      <c r="E5801" s="7" t="s">
        <v>5878</v>
      </c>
    </row>
    <row r="5802">
      <c r="A5802" s="4" t="s">
        <v>5886</v>
      </c>
      <c r="B5802" s="5" t="str">
        <f>IFERROR(__xludf.DUMMYFUNCTION("IF(A5802="""","""",INDEX(SPLIT(A5802,"" ""),COUNTA(SPLIT(A5802,"" ""))))"),"Giudice")</f>
        <v>Giudice</v>
      </c>
      <c r="C5802" s="6"/>
      <c r="D5802" s="6" t="s">
        <v>5877</v>
      </c>
      <c r="E5802" s="7" t="s">
        <v>5878</v>
      </c>
    </row>
    <row r="5803">
      <c r="A5803" s="4" t="s">
        <v>5887</v>
      </c>
      <c r="B5803" s="5" t="str">
        <f>IFERROR(__xludf.DUMMYFUNCTION("IF(A5803="""","""",INDEX(SPLIT(A5803,"" ""),COUNTA(SPLIT(A5803,"" ""))))"),"Castelpetroso")</f>
        <v>Castelpetroso</v>
      </c>
      <c r="C5803" s="6"/>
      <c r="D5803" s="6" t="s">
        <v>5877</v>
      </c>
      <c r="E5803" s="7" t="s">
        <v>5878</v>
      </c>
    </row>
    <row r="5804">
      <c r="A5804" s="4" t="s">
        <v>5888</v>
      </c>
      <c r="B5804" s="5" t="str">
        <f>IFERROR(__xludf.DUMMYFUNCTION("IF(A5804="""","""",INDEX(SPLIT(A5804,"" ""),COUNTA(SPLIT(A5804,"" ""))))"),"Castelpizzuto")</f>
        <v>Castelpizzuto</v>
      </c>
      <c r="C5804" s="6"/>
      <c r="D5804" s="6" t="s">
        <v>5877</v>
      </c>
      <c r="E5804" s="7" t="s">
        <v>5878</v>
      </c>
    </row>
    <row r="5805">
      <c r="A5805" s="4" t="s">
        <v>5889</v>
      </c>
      <c r="B5805" s="5" t="str">
        <f>IFERROR(__xludf.DUMMYFUNCTION("IF(A5805="""","""",INDEX(SPLIT(A5805,"" ""),COUNTA(SPLIT(A5805,"" ""))))"),"Vincenzo")</f>
        <v>Vincenzo</v>
      </c>
      <c r="C5805" s="6"/>
      <c r="D5805" s="6" t="s">
        <v>5877</v>
      </c>
      <c r="E5805" s="7" t="s">
        <v>5878</v>
      </c>
    </row>
    <row r="5806">
      <c r="A5806" s="4" t="s">
        <v>5890</v>
      </c>
      <c r="B5806" s="5" t="str">
        <f>IFERROR(__xludf.DUMMYFUNCTION("IF(A5806="""","""",INDEX(SPLIT(A5806,"" ""),COUNTA(SPLIT(A5806,"" ""))))"),"Castelverrino")</f>
        <v>Castelverrino</v>
      </c>
      <c r="C5806" s="6"/>
      <c r="D5806" s="6" t="s">
        <v>5877</v>
      </c>
      <c r="E5806" s="7" t="s">
        <v>5878</v>
      </c>
    </row>
    <row r="5807">
      <c r="A5807" s="4" t="s">
        <v>5891</v>
      </c>
      <c r="B5807" s="5" t="str">
        <f>IFERROR(__xludf.DUMMYFUNCTION("IF(A5807="""","""",INDEX(SPLIT(A5807,"" ""),COUNTA(SPLIT(A5807,"" ""))))"),"Volturno")</f>
        <v>Volturno</v>
      </c>
      <c r="C5807" s="6"/>
      <c r="D5807" s="6" t="s">
        <v>5877</v>
      </c>
      <c r="E5807" s="7" t="s">
        <v>5878</v>
      </c>
    </row>
    <row r="5808">
      <c r="A5808" s="4" t="s">
        <v>5892</v>
      </c>
      <c r="B5808" s="5" t="str">
        <f>IFERROR(__xludf.DUMMYFUNCTION("IF(A5808="""","""",INDEX(SPLIT(A5808,"" ""),COUNTA(SPLIT(A5808,"" ""))))"),"Chiauci")</f>
        <v>Chiauci</v>
      </c>
      <c r="C5808" s="6"/>
      <c r="D5808" s="6" t="s">
        <v>5877</v>
      </c>
      <c r="E5808" s="7" t="s">
        <v>5878</v>
      </c>
    </row>
    <row r="5809">
      <c r="A5809" s="4" t="s">
        <v>5893</v>
      </c>
      <c r="B5809" s="5" t="str">
        <f>IFERROR(__xludf.DUMMYFUNCTION("IF(A5809="""","""",INDEX(SPLIT(A5809,"" ""),COUNTA(SPLIT(A5809,"" ""))))"),"Sannio")</f>
        <v>Sannio</v>
      </c>
      <c r="C5809" s="6"/>
      <c r="D5809" s="6" t="s">
        <v>5877</v>
      </c>
      <c r="E5809" s="7" t="s">
        <v>5878</v>
      </c>
    </row>
    <row r="5810">
      <c r="A5810" s="4" t="s">
        <v>5894</v>
      </c>
      <c r="B5810" s="5" t="str">
        <f>IFERROR(__xludf.DUMMYFUNCTION("IF(A5810="""","""",INDEX(SPLIT(A5810,"" ""),COUNTA(SPLIT(A5810,"" ""))))"),"Volturno")</f>
        <v>Volturno</v>
      </c>
      <c r="C5810" s="6"/>
      <c r="D5810" s="6" t="s">
        <v>5877</v>
      </c>
      <c r="E5810" s="7" t="s">
        <v>5878</v>
      </c>
    </row>
    <row r="5811">
      <c r="A5811" s="4" t="s">
        <v>5895</v>
      </c>
      <c r="B5811" s="5" t="str">
        <f>IFERROR(__xludf.DUMMYFUNCTION("IF(A5811="""","""",INDEX(SPLIT(A5811,"" ""),COUNTA(SPLIT(A5811,"" ""))))"),"Casale")</f>
        <v>Casale</v>
      </c>
      <c r="C5811" s="6"/>
      <c r="D5811" s="6" t="s">
        <v>5877</v>
      </c>
      <c r="E5811" s="7" t="s">
        <v>5878</v>
      </c>
    </row>
    <row r="5812">
      <c r="A5812" s="4" t="s">
        <v>5896</v>
      </c>
      <c r="B5812" s="5" t="str">
        <f>IFERROR(__xludf.DUMMYFUNCTION("IF(A5812="""","""",INDEX(SPLIT(A5812,"" ""),COUNTA(SPLIT(A5812,"" ""))))"),"Filignano")</f>
        <v>Filignano</v>
      </c>
      <c r="C5812" s="6"/>
      <c r="D5812" s="6" t="s">
        <v>5877</v>
      </c>
      <c r="E5812" s="7" t="s">
        <v>5878</v>
      </c>
    </row>
    <row r="5813">
      <c r="A5813" s="4" t="s">
        <v>5897</v>
      </c>
      <c r="B5813" s="5" t="str">
        <f>IFERROR(__xludf.DUMMYFUNCTION("IF(A5813="""","""",INDEX(SPLIT(A5813,"" ""),COUNTA(SPLIT(A5813,"" ""))))"),"Sannio")</f>
        <v>Sannio</v>
      </c>
      <c r="C5813" s="6"/>
      <c r="D5813" s="6" t="s">
        <v>5877</v>
      </c>
      <c r="E5813" s="7" t="s">
        <v>5878</v>
      </c>
    </row>
    <row r="5814">
      <c r="A5814" s="4" t="s">
        <v>5898</v>
      </c>
      <c r="B5814" s="5" t="str">
        <f>IFERROR(__xludf.DUMMYFUNCTION("IF(A5814="""","""",INDEX(SPLIT(A5814,"" ""),COUNTA(SPLIT(A5814,"" ""))))"),"Fornelli")</f>
        <v>Fornelli</v>
      </c>
      <c r="C5814" s="6"/>
      <c r="D5814" s="6" t="s">
        <v>5877</v>
      </c>
      <c r="E5814" s="7" t="s">
        <v>5878</v>
      </c>
    </row>
    <row r="5815">
      <c r="A5815" s="4" t="s">
        <v>5899</v>
      </c>
      <c r="B5815" s="5" t="str">
        <f>IFERROR(__xludf.DUMMYFUNCTION("IF(A5815="""","""",INDEX(SPLIT(A5815,"" ""),COUNTA(SPLIT(A5815,"" ""))))"),"Frosolone")</f>
        <v>Frosolone</v>
      </c>
      <c r="C5815" s="6"/>
      <c r="D5815" s="6" t="s">
        <v>5877</v>
      </c>
      <c r="E5815" s="7" t="s">
        <v>5878</v>
      </c>
    </row>
    <row r="5816">
      <c r="A5816" s="4" t="s">
        <v>5877</v>
      </c>
      <c r="B5816" s="5" t="str">
        <f>IFERROR(__xludf.DUMMYFUNCTION("IF(A5816="""","""",INDEX(SPLIT(A5816,"" ""),COUNTA(SPLIT(A5816,"" ""))))"),"Isernia")</f>
        <v>Isernia</v>
      </c>
      <c r="C5816" s="6"/>
      <c r="D5816" s="6" t="s">
        <v>5877</v>
      </c>
      <c r="E5816" s="7" t="s">
        <v>5878</v>
      </c>
    </row>
    <row r="5817">
      <c r="A5817" s="4" t="s">
        <v>5900</v>
      </c>
      <c r="B5817" s="5" t="str">
        <f>IFERROR(__xludf.DUMMYFUNCTION("IF(A5817="""","""",INDEX(SPLIT(A5817,"" ""),COUNTA(SPLIT(A5817,"" ""))))"),"Longano")</f>
        <v>Longano</v>
      </c>
      <c r="C5817" s="6"/>
      <c r="D5817" s="6" t="s">
        <v>5877</v>
      </c>
      <c r="E5817" s="7" t="s">
        <v>5878</v>
      </c>
    </row>
    <row r="5818">
      <c r="A5818" s="4" t="s">
        <v>5901</v>
      </c>
      <c r="B5818" s="5" t="str">
        <f>IFERROR(__xludf.DUMMYFUNCTION("IF(A5818="""","""",INDEX(SPLIT(A5818,"" ""),COUNTA(SPLIT(A5818,"" ""))))"),"d'Isernia")</f>
        <v>d'Isernia</v>
      </c>
      <c r="C5818" s="6"/>
      <c r="D5818" s="6" t="s">
        <v>5877</v>
      </c>
      <c r="E5818" s="7" t="s">
        <v>5878</v>
      </c>
    </row>
    <row r="5819">
      <c r="A5819" s="4" t="s">
        <v>5902</v>
      </c>
      <c r="B5819" s="5" t="str">
        <f>IFERROR(__xludf.DUMMYFUNCTION("IF(A5819="""","""",INDEX(SPLIT(A5819,"" ""),COUNTA(SPLIT(A5819,"" ""))))"),"Macchiagodena")</f>
        <v>Macchiagodena</v>
      </c>
      <c r="C5819" s="6"/>
      <c r="D5819" s="6" t="s">
        <v>5877</v>
      </c>
      <c r="E5819" s="7" t="s">
        <v>5878</v>
      </c>
    </row>
    <row r="5820">
      <c r="A5820" s="4" t="s">
        <v>5903</v>
      </c>
      <c r="B5820" s="5" t="str">
        <f>IFERROR(__xludf.DUMMYFUNCTION("IF(A5820="""","""",INDEX(SPLIT(A5820,"" ""),COUNTA(SPLIT(A5820,"" ""))))"),"Miranda")</f>
        <v>Miranda</v>
      </c>
      <c r="C5820" s="6"/>
      <c r="D5820" s="6" t="s">
        <v>5877</v>
      </c>
      <c r="E5820" s="7" t="s">
        <v>5878</v>
      </c>
    </row>
    <row r="5821">
      <c r="A5821" s="4" t="s">
        <v>5904</v>
      </c>
      <c r="B5821" s="5" t="str">
        <f>IFERROR(__xludf.DUMMYFUNCTION("IF(A5821="""","""",INDEX(SPLIT(A5821,"" ""),COUNTA(SPLIT(A5821,"" ""))))"),"Montaquila")</f>
        <v>Montaquila</v>
      </c>
      <c r="C5821" s="6"/>
      <c r="D5821" s="6" t="s">
        <v>5877</v>
      </c>
      <c r="E5821" s="7" t="s">
        <v>5878</v>
      </c>
    </row>
    <row r="5822">
      <c r="A5822" s="4" t="s">
        <v>5905</v>
      </c>
      <c r="B5822" s="5" t="str">
        <f>IFERROR(__xludf.DUMMYFUNCTION("IF(A5822="""","""",INDEX(SPLIT(A5822,"" ""),COUNTA(SPLIT(A5822,"" ""))))"),"Cocchiara")</f>
        <v>Cocchiara</v>
      </c>
      <c r="C5822" s="6"/>
      <c r="D5822" s="6" t="s">
        <v>5877</v>
      </c>
      <c r="E5822" s="7" t="s">
        <v>5878</v>
      </c>
    </row>
    <row r="5823">
      <c r="A5823" s="4" t="s">
        <v>5906</v>
      </c>
      <c r="B5823" s="5" t="str">
        <f>IFERROR(__xludf.DUMMYFUNCTION("IF(A5823="""","""",INDEX(SPLIT(A5823,"" ""),COUNTA(SPLIT(A5823,"" ""))))"),"Monteroduni")</f>
        <v>Monteroduni</v>
      </c>
      <c r="C5823" s="6"/>
      <c r="D5823" s="6" t="s">
        <v>5877</v>
      </c>
      <c r="E5823" s="7" t="s">
        <v>5878</v>
      </c>
    </row>
    <row r="5824">
      <c r="A5824" s="4" t="s">
        <v>5907</v>
      </c>
      <c r="B5824" s="5" t="str">
        <f>IFERROR(__xludf.DUMMYFUNCTION("IF(A5824="""","""",INDEX(SPLIT(A5824,"" ""),COUNTA(SPLIT(A5824,"" ""))))"),"Pesche")</f>
        <v>Pesche</v>
      </c>
      <c r="C5824" s="6"/>
      <c r="D5824" s="6" t="s">
        <v>5877</v>
      </c>
      <c r="E5824" s="7" t="s">
        <v>5878</v>
      </c>
    </row>
    <row r="5825">
      <c r="A5825" s="4" t="s">
        <v>5908</v>
      </c>
      <c r="B5825" s="5" t="str">
        <f>IFERROR(__xludf.DUMMYFUNCTION("IF(A5825="""","""",INDEX(SPLIT(A5825,"" ""),COUNTA(SPLIT(A5825,"" ""))))"),"Pescolanciano")</f>
        <v>Pescolanciano</v>
      </c>
      <c r="C5825" s="6"/>
      <c r="D5825" s="6" t="s">
        <v>5877</v>
      </c>
      <c r="E5825" s="7" t="s">
        <v>5878</v>
      </c>
    </row>
    <row r="5826">
      <c r="A5826" s="4" t="s">
        <v>5909</v>
      </c>
      <c r="B5826" s="5" t="str">
        <f>IFERROR(__xludf.DUMMYFUNCTION("IF(A5826="""","""",INDEX(SPLIT(A5826,"" ""),COUNTA(SPLIT(A5826,"" ""))))"),"Pescopennataro")</f>
        <v>Pescopennataro</v>
      </c>
      <c r="C5826" s="6"/>
      <c r="D5826" s="6" t="s">
        <v>5877</v>
      </c>
      <c r="E5826" s="7" t="s">
        <v>5878</v>
      </c>
    </row>
    <row r="5827">
      <c r="A5827" s="4" t="s">
        <v>5910</v>
      </c>
      <c r="B5827" s="5" t="str">
        <f>IFERROR(__xludf.DUMMYFUNCTION("IF(A5827="""","""",INDEX(SPLIT(A5827,"" ""),COUNTA(SPLIT(A5827,"" ""))))"),"Molise")</f>
        <v>Molise</v>
      </c>
      <c r="C5827" s="6"/>
      <c r="D5827" s="6" t="s">
        <v>5877</v>
      </c>
      <c r="E5827" s="7" t="s">
        <v>5878</v>
      </c>
    </row>
    <row r="5828">
      <c r="A5828" s="4" t="s">
        <v>5911</v>
      </c>
      <c r="B5828" s="5" t="str">
        <f>IFERROR(__xludf.DUMMYFUNCTION("IF(A5828="""","""",INDEX(SPLIT(A5828,"" ""),COUNTA(SPLIT(A5828,"" ""))))"),"Pietrabbondante")</f>
        <v>Pietrabbondante</v>
      </c>
      <c r="C5828" s="6"/>
      <c r="D5828" s="6" t="s">
        <v>5877</v>
      </c>
      <c r="E5828" s="7" t="s">
        <v>5878</v>
      </c>
    </row>
    <row r="5829">
      <c r="A5829" s="4" t="s">
        <v>5912</v>
      </c>
      <c r="B5829" s="5" t="str">
        <f>IFERROR(__xludf.DUMMYFUNCTION("IF(A5829="""","""",INDEX(SPLIT(A5829,"" ""),COUNTA(SPLIT(A5829,"" ""))))"),"Pizzone")</f>
        <v>Pizzone</v>
      </c>
      <c r="C5829" s="6"/>
      <c r="D5829" s="6" t="s">
        <v>5877</v>
      </c>
      <c r="E5829" s="7" t="s">
        <v>5878</v>
      </c>
    </row>
    <row r="5830">
      <c r="A5830" s="4" t="s">
        <v>5913</v>
      </c>
      <c r="B5830" s="5" t="str">
        <f>IFERROR(__xludf.DUMMYFUNCTION("IF(A5830="""","""",INDEX(SPLIT(A5830,"" ""),COUNTA(SPLIT(A5830,"" ""))))"),"Sannita")</f>
        <v>Sannita</v>
      </c>
      <c r="C5830" s="6"/>
      <c r="D5830" s="6" t="s">
        <v>5877</v>
      </c>
      <c r="E5830" s="7" t="s">
        <v>5878</v>
      </c>
    </row>
    <row r="5831">
      <c r="A5831" s="4" t="s">
        <v>5914</v>
      </c>
      <c r="B5831" s="5" t="str">
        <f>IFERROR(__xludf.DUMMYFUNCTION("IF(A5831="""","""",INDEX(SPLIT(A5831,"" ""),COUNTA(SPLIT(A5831,"" ""))))"),"Pozzilli")</f>
        <v>Pozzilli</v>
      </c>
      <c r="C5831" s="6"/>
      <c r="D5831" s="6" t="s">
        <v>5877</v>
      </c>
      <c r="E5831" s="7" t="s">
        <v>5878</v>
      </c>
    </row>
    <row r="5832">
      <c r="A5832" s="4" t="s">
        <v>5915</v>
      </c>
      <c r="B5832" s="5" t="str">
        <f>IFERROR(__xludf.DUMMYFUNCTION("IF(A5832="""","""",INDEX(SPLIT(A5832,"" ""),COUNTA(SPLIT(A5832,"" ""))))"),"Sannitico")</f>
        <v>Sannitico</v>
      </c>
      <c r="C5832" s="6"/>
      <c r="D5832" s="6" t="s">
        <v>5877</v>
      </c>
      <c r="E5832" s="7" t="s">
        <v>5878</v>
      </c>
    </row>
    <row r="5833">
      <c r="A5833" s="4" t="s">
        <v>5916</v>
      </c>
      <c r="B5833" s="5" t="str">
        <f>IFERROR(__xludf.DUMMYFUNCTION("IF(A5833="""","""",INDEX(SPLIT(A5833,"" ""),COUNTA(SPLIT(A5833,"" ""))))"),"Roccamandolfi")</f>
        <v>Roccamandolfi</v>
      </c>
      <c r="C5833" s="6"/>
      <c r="D5833" s="6" t="s">
        <v>5877</v>
      </c>
      <c r="E5833" s="7" t="s">
        <v>5878</v>
      </c>
    </row>
    <row r="5834">
      <c r="A5834" s="4" t="s">
        <v>5917</v>
      </c>
      <c r="B5834" s="5" t="str">
        <f>IFERROR(__xludf.DUMMYFUNCTION("IF(A5834="""","""",INDEX(SPLIT(A5834,"" ""),COUNTA(SPLIT(A5834,"" ""))))"),"Roccasicura")</f>
        <v>Roccasicura</v>
      </c>
      <c r="C5834" s="6"/>
      <c r="D5834" s="6" t="s">
        <v>5877</v>
      </c>
      <c r="E5834" s="7" t="s">
        <v>5878</v>
      </c>
    </row>
    <row r="5835">
      <c r="A5835" s="4" t="s">
        <v>5918</v>
      </c>
      <c r="B5835" s="5" t="str">
        <f>IFERROR(__xludf.DUMMYFUNCTION("IF(A5835="""","""",INDEX(SPLIT(A5835,"" ""),COUNTA(SPLIT(A5835,"" ""))))"),"Volturno")</f>
        <v>Volturno</v>
      </c>
      <c r="C5835" s="6"/>
      <c r="D5835" s="6" t="s">
        <v>5877</v>
      </c>
      <c r="E5835" s="7" t="s">
        <v>5878</v>
      </c>
    </row>
    <row r="5836">
      <c r="A5836" s="4" t="s">
        <v>5919</v>
      </c>
      <c r="B5836" s="5" t="str">
        <f>IFERROR(__xludf.DUMMYFUNCTION("IF(A5836="""","""",INDEX(SPLIT(A5836,"" ""),COUNTA(SPLIT(A5836,"" ""))))"),"Avellana")</f>
        <v>Avellana</v>
      </c>
      <c r="C5836" s="6"/>
      <c r="D5836" s="6" t="s">
        <v>5877</v>
      </c>
      <c r="E5836" s="7" t="s">
        <v>5878</v>
      </c>
    </row>
    <row r="5837">
      <c r="A5837" s="4" t="s">
        <v>5920</v>
      </c>
      <c r="B5837" s="5" t="str">
        <f>IFERROR(__xludf.DUMMYFUNCTION("IF(A5837="""","""",INDEX(SPLIT(A5837,"" ""),COUNTA(SPLIT(A5837,"" ""))))"),"Sant'Agapito")</f>
        <v>Sant'Agapito</v>
      </c>
      <c r="C5837" s="6"/>
      <c r="D5837" s="6" t="s">
        <v>5877</v>
      </c>
      <c r="E5837" s="7" t="s">
        <v>5878</v>
      </c>
    </row>
    <row r="5838">
      <c r="A5838" s="4" t="s">
        <v>5921</v>
      </c>
      <c r="B5838" s="5" t="str">
        <f>IFERROR(__xludf.DUMMYFUNCTION("IF(A5838="""","""",INDEX(SPLIT(A5838,"" ""),COUNTA(SPLIT(A5838,"" ""))))"),"Molise")</f>
        <v>Molise</v>
      </c>
      <c r="C5838" s="6"/>
      <c r="D5838" s="6" t="s">
        <v>5877</v>
      </c>
      <c r="E5838" s="7" t="s">
        <v>5878</v>
      </c>
    </row>
    <row r="5839">
      <c r="A5839" s="4" t="s">
        <v>5922</v>
      </c>
      <c r="B5839" s="5" t="str">
        <f>IFERROR(__xludf.DUMMYFUNCTION("IF(A5839="""","""",INDEX(SPLIT(A5839,"" ""),COUNTA(SPLIT(A5839,"" ""))))"),"Pesco")</f>
        <v>Pesco</v>
      </c>
      <c r="C5839" s="6"/>
      <c r="D5839" s="6" t="s">
        <v>5877</v>
      </c>
      <c r="E5839" s="7" t="s">
        <v>5878</v>
      </c>
    </row>
    <row r="5840">
      <c r="A5840" s="4" t="s">
        <v>5923</v>
      </c>
      <c r="B5840" s="5" t="str">
        <f>IFERROR(__xludf.DUMMYFUNCTION("IF(A5840="""","""",INDEX(SPLIT(A5840,"" ""),COUNTA(SPLIT(A5840,"" ""))))"),"Sannita")</f>
        <v>Sannita</v>
      </c>
      <c r="C5840" s="6"/>
      <c r="D5840" s="6" t="s">
        <v>5877</v>
      </c>
      <c r="E5840" s="7" t="s">
        <v>5878</v>
      </c>
    </row>
    <row r="5841">
      <c r="A5841" s="4" t="s">
        <v>5924</v>
      </c>
      <c r="B5841" s="5" t="str">
        <f>IFERROR(__xludf.DUMMYFUNCTION("IF(A5841="""","""",INDEX(SPLIT(A5841,"" ""),COUNTA(SPLIT(A5841,"" ""))))"),"Scapoli")</f>
        <v>Scapoli</v>
      </c>
      <c r="C5841" s="6"/>
      <c r="D5841" s="6" t="s">
        <v>5877</v>
      </c>
      <c r="E5841" s="7" t="s">
        <v>5878</v>
      </c>
    </row>
    <row r="5842">
      <c r="A5842" s="4" t="s">
        <v>5925</v>
      </c>
      <c r="B5842" s="5" t="str">
        <f>IFERROR(__xludf.DUMMYFUNCTION("IF(A5842="""","""",INDEX(SPLIT(A5842,"" ""),COUNTA(SPLIT(A5842,"" ""))))"),"Molise")</f>
        <v>Molise</v>
      </c>
      <c r="C5842" s="6"/>
      <c r="D5842" s="6" t="s">
        <v>5877</v>
      </c>
      <c r="E5842" s="7" t="s">
        <v>5878</v>
      </c>
    </row>
    <row r="5843">
      <c r="A5843" s="4" t="s">
        <v>5926</v>
      </c>
      <c r="B5843" s="5" t="str">
        <f>IFERROR(__xludf.DUMMYFUNCTION("IF(A5843="""","""",INDEX(SPLIT(A5843,"" ""),COUNTA(SPLIT(A5843,"" ""))))"),"Campano")</f>
        <v>Campano</v>
      </c>
      <c r="C5843" s="6"/>
      <c r="D5843" s="6" t="s">
        <v>5877</v>
      </c>
      <c r="E5843" s="7" t="s">
        <v>5878</v>
      </c>
    </row>
    <row r="5844">
      <c r="A5844" s="4" t="s">
        <v>5927</v>
      </c>
      <c r="B5844" s="5" t="str">
        <f>IFERROR(__xludf.DUMMYFUNCTION("IF(A5844="""","""",INDEX(SPLIT(A5844,"" ""),COUNTA(SPLIT(A5844,"" ""))))"),"Vastogirardi")</f>
        <v>Vastogirardi</v>
      </c>
      <c r="C5844" s="6"/>
      <c r="D5844" s="6" t="s">
        <v>5877</v>
      </c>
      <c r="E5844" s="7" t="s">
        <v>5878</v>
      </c>
    </row>
    <row r="5845">
      <c r="A5845" s="4" t="s">
        <v>5928</v>
      </c>
      <c r="B5845" s="5" t="str">
        <f>IFERROR(__xludf.DUMMYFUNCTION("IF(A5845="""","""",INDEX(SPLIT(A5845,"" ""),COUNTA(SPLIT(A5845,"" ""))))"),"Venafro")</f>
        <v>Venafro</v>
      </c>
      <c r="C5845" s="6"/>
      <c r="D5845" s="6" t="s">
        <v>5877</v>
      </c>
      <c r="E5845" s="7" t="s">
        <v>5878</v>
      </c>
    </row>
    <row r="5846">
      <c r="A5846" s="4" t="s">
        <v>5929</v>
      </c>
      <c r="B5846" s="5" t="str">
        <f>IFERROR(__xludf.DUMMYFUNCTION("IF(A5846="""","""",INDEX(SPLIT(A5846,"" ""),COUNTA(SPLIT(A5846,"" ""))))"),"Ailano")</f>
        <v>Ailano</v>
      </c>
      <c r="C5846" s="6"/>
      <c r="D5846" s="6" t="s">
        <v>5930</v>
      </c>
      <c r="E5846" s="7" t="s">
        <v>5931</v>
      </c>
    </row>
    <row r="5847">
      <c r="A5847" s="4" t="s">
        <v>5932</v>
      </c>
      <c r="B5847" s="5" t="str">
        <f>IFERROR(__xludf.DUMMYFUNCTION("IF(A5847="""","""",INDEX(SPLIT(A5847,"" ""),COUNTA(SPLIT(A5847,"" ""))))"),"Alife")</f>
        <v>Alife</v>
      </c>
      <c r="C5847" s="6"/>
      <c r="D5847" s="6" t="s">
        <v>5930</v>
      </c>
      <c r="E5847" s="7" t="s">
        <v>5931</v>
      </c>
    </row>
    <row r="5848">
      <c r="A5848" s="4" t="s">
        <v>5933</v>
      </c>
      <c r="B5848" s="5" t="str">
        <f>IFERROR(__xludf.DUMMYFUNCTION("IF(A5848="""","""",INDEX(SPLIT(A5848,"" ""),COUNTA(SPLIT(A5848,"" ""))))"),"Alvignano")</f>
        <v>Alvignano</v>
      </c>
      <c r="C5848" s="6"/>
      <c r="D5848" s="6" t="s">
        <v>5930</v>
      </c>
      <c r="E5848" s="7" t="s">
        <v>5931</v>
      </c>
    </row>
    <row r="5849">
      <c r="A5849" s="4" t="s">
        <v>5934</v>
      </c>
      <c r="B5849" s="5" t="str">
        <f>IFERROR(__xludf.DUMMYFUNCTION("IF(A5849="""","""",INDEX(SPLIT(A5849,"" ""),COUNTA(SPLIT(A5849,"" ""))))"),"Arienzo")</f>
        <v>Arienzo</v>
      </c>
      <c r="C5849" s="6"/>
      <c r="D5849" s="6" t="s">
        <v>5930</v>
      </c>
      <c r="E5849" s="7" t="s">
        <v>5931</v>
      </c>
    </row>
    <row r="5850">
      <c r="A5850" s="4" t="s">
        <v>5935</v>
      </c>
      <c r="B5850" s="5" t="str">
        <f>IFERROR(__xludf.DUMMYFUNCTION("IF(A5850="""","""",INDEX(SPLIT(A5850,"" ""),COUNTA(SPLIT(A5850,"" ""))))"),"Aversa")</f>
        <v>Aversa</v>
      </c>
      <c r="C5850" s="6"/>
      <c r="D5850" s="6" t="s">
        <v>5930</v>
      </c>
      <c r="E5850" s="7" t="s">
        <v>5931</v>
      </c>
    </row>
    <row r="5851">
      <c r="A5851" s="4" t="s">
        <v>5936</v>
      </c>
      <c r="B5851" s="5" t="str">
        <f>IFERROR(__xludf.DUMMYFUNCTION("IF(A5851="""","""",INDEX(SPLIT(A5851,"" ""),COUNTA(SPLIT(A5851,"" ""))))"),"Latina")</f>
        <v>Latina</v>
      </c>
      <c r="C5851" s="6"/>
      <c r="D5851" s="6" t="s">
        <v>5930</v>
      </c>
      <c r="E5851" s="7" t="s">
        <v>5931</v>
      </c>
    </row>
    <row r="5852">
      <c r="A5852" s="4" t="s">
        <v>5937</v>
      </c>
      <c r="B5852" s="5" t="str">
        <f>IFERROR(__xludf.DUMMYFUNCTION("IF(A5852="""","""",INDEX(SPLIT(A5852,"" ""),COUNTA(SPLIT(A5852,"" ""))))"),"Bellona")</f>
        <v>Bellona</v>
      </c>
      <c r="C5852" s="6"/>
      <c r="D5852" s="6" t="s">
        <v>5930</v>
      </c>
      <c r="E5852" s="7" t="s">
        <v>5931</v>
      </c>
    </row>
    <row r="5853">
      <c r="A5853" s="4" t="s">
        <v>5938</v>
      </c>
      <c r="B5853" s="5" t="str">
        <f>IFERROR(__xludf.DUMMYFUNCTION("IF(A5853="""","""",INDEX(SPLIT(A5853,"" ""),COUNTA(SPLIT(A5853,"" ""))))"),"Caianello")</f>
        <v>Caianello</v>
      </c>
      <c r="C5853" s="6"/>
      <c r="D5853" s="6" t="s">
        <v>5930</v>
      </c>
      <c r="E5853" s="7" t="s">
        <v>5931</v>
      </c>
    </row>
    <row r="5854">
      <c r="A5854" s="4" t="s">
        <v>5939</v>
      </c>
      <c r="B5854" s="5" t="str">
        <f>IFERROR(__xludf.DUMMYFUNCTION("IF(A5854="""","""",INDEX(SPLIT(A5854,"" ""),COUNTA(SPLIT(A5854,"" ""))))"),"Caiazzo")</f>
        <v>Caiazzo</v>
      </c>
      <c r="C5854" s="6"/>
      <c r="D5854" s="6" t="s">
        <v>5930</v>
      </c>
      <c r="E5854" s="7" t="s">
        <v>5931</v>
      </c>
    </row>
    <row r="5855">
      <c r="A5855" s="4" t="s">
        <v>5940</v>
      </c>
      <c r="B5855" s="5" t="str">
        <f>IFERROR(__xludf.DUMMYFUNCTION("IF(A5855="""","""",INDEX(SPLIT(A5855,"" ""),COUNTA(SPLIT(A5855,"" ""))))"),"Risorta")</f>
        <v>Risorta</v>
      </c>
      <c r="C5855" s="6"/>
      <c r="D5855" s="6" t="s">
        <v>5930</v>
      </c>
      <c r="E5855" s="7" t="s">
        <v>5931</v>
      </c>
    </row>
    <row r="5856">
      <c r="A5856" s="4" t="s">
        <v>5941</v>
      </c>
      <c r="B5856" s="5" t="str">
        <f>IFERROR(__xludf.DUMMYFUNCTION("IF(A5856="""","""",INDEX(SPLIT(A5856,"" ""),COUNTA(SPLIT(A5856,"" ""))))"),"Camigliano")</f>
        <v>Camigliano</v>
      </c>
      <c r="C5856" s="6"/>
      <c r="D5856" s="6" t="s">
        <v>5930</v>
      </c>
      <c r="E5856" s="7" t="s">
        <v>5931</v>
      </c>
    </row>
    <row r="5857">
      <c r="A5857" s="4" t="s">
        <v>5942</v>
      </c>
      <c r="B5857" s="5" t="str">
        <f>IFERROR(__xludf.DUMMYFUNCTION("IF(A5857="""","""",INDEX(SPLIT(A5857,"" ""),COUNTA(SPLIT(A5857,"" ""))))"),"Arnone")</f>
        <v>Arnone</v>
      </c>
      <c r="C5857" s="6"/>
      <c r="D5857" s="6" t="s">
        <v>5930</v>
      </c>
      <c r="E5857" s="7" t="s">
        <v>5931</v>
      </c>
    </row>
    <row r="5858">
      <c r="A5858" s="4" t="s">
        <v>5943</v>
      </c>
      <c r="B5858" s="5" t="str">
        <f>IFERROR(__xludf.DUMMYFUNCTION("IF(A5858="""","""",INDEX(SPLIT(A5858,"" ""),COUNTA(SPLIT(A5858,"" ""))))"),"Capodrise")</f>
        <v>Capodrise</v>
      </c>
      <c r="C5858" s="6"/>
      <c r="D5858" s="6" t="s">
        <v>5930</v>
      </c>
      <c r="E5858" s="7" t="s">
        <v>5931</v>
      </c>
    </row>
    <row r="5859">
      <c r="A5859" s="4" t="s">
        <v>5944</v>
      </c>
      <c r="B5859" s="5" t="str">
        <f>IFERROR(__xludf.DUMMYFUNCTION("IF(A5859="""","""",INDEX(SPLIT(A5859,"" ""),COUNTA(SPLIT(A5859,"" ""))))"),"Volturno")</f>
        <v>Volturno</v>
      </c>
      <c r="C5859" s="6"/>
      <c r="D5859" s="6" t="s">
        <v>5930</v>
      </c>
      <c r="E5859" s="7" t="s">
        <v>5931</v>
      </c>
    </row>
    <row r="5860">
      <c r="A5860" s="4" t="s">
        <v>5945</v>
      </c>
      <c r="B5860" s="5" t="str">
        <f>IFERROR(__xludf.DUMMYFUNCTION("IF(A5860="""","""",INDEX(SPLIT(A5860,"" ""),COUNTA(SPLIT(A5860,"" ""))))"),"Capua")</f>
        <v>Capua</v>
      </c>
      <c r="C5860" s="6"/>
      <c r="D5860" s="6" t="s">
        <v>5930</v>
      </c>
      <c r="E5860" s="7" t="s">
        <v>5931</v>
      </c>
    </row>
    <row r="5861">
      <c r="A5861" s="4" t="s">
        <v>5946</v>
      </c>
      <c r="B5861" s="5" t="str">
        <f>IFERROR(__xludf.DUMMYFUNCTION("IF(A5861="""","""",INDEX(SPLIT(A5861,"" ""),COUNTA(SPLIT(A5861,"" ""))))"),"Carinaro")</f>
        <v>Carinaro</v>
      </c>
      <c r="C5861" s="6"/>
      <c r="D5861" s="6" t="s">
        <v>5930</v>
      </c>
      <c r="E5861" s="7" t="s">
        <v>5931</v>
      </c>
    </row>
    <row r="5862">
      <c r="A5862" s="4" t="s">
        <v>5947</v>
      </c>
      <c r="B5862" s="5" t="str">
        <f>IFERROR(__xludf.DUMMYFUNCTION("IF(A5862="""","""",INDEX(SPLIT(A5862,"" ""),COUNTA(SPLIT(A5862,"" ""))))"),"Carinola")</f>
        <v>Carinola</v>
      </c>
      <c r="C5862" s="6"/>
      <c r="D5862" s="6" t="s">
        <v>5930</v>
      </c>
      <c r="E5862" s="7" t="s">
        <v>5931</v>
      </c>
    </row>
    <row r="5863">
      <c r="A5863" s="4" t="s">
        <v>5948</v>
      </c>
      <c r="B5863" s="5" t="str">
        <f>IFERROR(__xludf.DUMMYFUNCTION("IF(A5863="""","""",INDEX(SPLIT(A5863,"" ""),COUNTA(SPLIT(A5863,"" ""))))"),"Casagiove")</f>
        <v>Casagiove</v>
      </c>
      <c r="C5863" s="6"/>
      <c r="D5863" s="6" t="s">
        <v>5930</v>
      </c>
      <c r="E5863" s="7" t="s">
        <v>5931</v>
      </c>
    </row>
    <row r="5864">
      <c r="A5864" s="4" t="s">
        <v>5949</v>
      </c>
      <c r="B5864" s="5" t="str">
        <f>IFERROR(__xludf.DUMMYFUNCTION("IF(A5864="""","""",INDEX(SPLIT(A5864,"" ""),COUNTA(SPLIT(A5864,"" ""))))"),"Principe")</f>
        <v>Principe</v>
      </c>
      <c r="C5864" s="6"/>
      <c r="D5864" s="6" t="s">
        <v>5930</v>
      </c>
      <c r="E5864" s="7" t="s">
        <v>5931</v>
      </c>
    </row>
    <row r="5865">
      <c r="A5865" s="4" t="s">
        <v>5950</v>
      </c>
      <c r="B5865" s="5" t="str">
        <f>IFERROR(__xludf.DUMMYFUNCTION("IF(A5865="""","""",INDEX(SPLIT(A5865,"" ""),COUNTA(SPLIT(A5865,"" ""))))"),"Casaluce")</f>
        <v>Casaluce</v>
      </c>
      <c r="C5865" s="6"/>
      <c r="D5865" s="6" t="s">
        <v>5930</v>
      </c>
      <c r="E5865" s="7" t="s">
        <v>5931</v>
      </c>
    </row>
    <row r="5866">
      <c r="A5866" s="4" t="s">
        <v>5951</v>
      </c>
      <c r="B5866" s="5" t="str">
        <f>IFERROR(__xludf.DUMMYFUNCTION("IF(A5866="""","""",INDEX(SPLIT(A5866,"" ""),COUNTA(SPLIT(A5866,"" ""))))"),"Casapulla")</f>
        <v>Casapulla</v>
      </c>
      <c r="C5866" s="6"/>
      <c r="D5866" s="6" t="s">
        <v>5930</v>
      </c>
      <c r="E5866" s="7" t="s">
        <v>5931</v>
      </c>
    </row>
    <row r="5867">
      <c r="A5867" s="4" t="s">
        <v>5930</v>
      </c>
      <c r="B5867" s="5" t="str">
        <f>IFERROR(__xludf.DUMMYFUNCTION("IF(A5867="""","""",INDEX(SPLIT(A5867,"" ""),COUNTA(SPLIT(A5867,"" ""))))"),"Caserta")</f>
        <v>Caserta</v>
      </c>
      <c r="C5867" s="6"/>
      <c r="D5867" s="6" t="s">
        <v>5930</v>
      </c>
      <c r="E5867" s="7" t="s">
        <v>5931</v>
      </c>
    </row>
    <row r="5868">
      <c r="A5868" s="4" t="s">
        <v>5952</v>
      </c>
      <c r="B5868" s="5" t="str">
        <f>IFERROR(__xludf.DUMMYFUNCTION("IF(A5868="""","""",INDEX(SPLIT(A5868,"" ""),COUNTA(SPLIT(A5868,"" ""))))"),"Campagnano")</f>
        <v>Campagnano</v>
      </c>
      <c r="C5868" s="6"/>
      <c r="D5868" s="6" t="s">
        <v>5930</v>
      </c>
      <c r="E5868" s="7" t="s">
        <v>5931</v>
      </c>
    </row>
    <row r="5869">
      <c r="A5869" s="4" t="s">
        <v>5953</v>
      </c>
      <c r="B5869" s="5" t="str">
        <f>IFERROR(__xludf.DUMMYFUNCTION("IF(A5869="""","""",INDEX(SPLIT(A5869,"" ""),COUNTA(SPLIT(A5869,"" ""))))"),"Sasso")</f>
        <v>Sasso</v>
      </c>
      <c r="C5869" s="6"/>
      <c r="D5869" s="6" t="s">
        <v>5930</v>
      </c>
      <c r="E5869" s="7" t="s">
        <v>5931</v>
      </c>
    </row>
    <row r="5870">
      <c r="A5870" s="4" t="s">
        <v>5954</v>
      </c>
      <c r="B5870" s="5" t="str">
        <f>IFERROR(__xludf.DUMMYFUNCTION("IF(A5870="""","""",INDEX(SPLIT(A5870,"" ""),COUNTA(SPLIT(A5870,"" ""))))"),"Matese")</f>
        <v>Matese</v>
      </c>
      <c r="C5870" s="6"/>
      <c r="D5870" s="6" t="s">
        <v>5930</v>
      </c>
      <c r="E5870" s="7" t="s">
        <v>5931</v>
      </c>
    </row>
    <row r="5871">
      <c r="A5871" s="4" t="s">
        <v>5955</v>
      </c>
      <c r="B5871" s="5" t="str">
        <f>IFERROR(__xludf.DUMMYFUNCTION("IF(A5871="""","""",INDEX(SPLIT(A5871,"" ""),COUNTA(SPLIT(A5871,"" ""))))"),"Morrone")</f>
        <v>Morrone</v>
      </c>
      <c r="C5871" s="6"/>
      <c r="D5871" s="6" t="s">
        <v>5930</v>
      </c>
      <c r="E5871" s="7" t="s">
        <v>5931</v>
      </c>
    </row>
    <row r="5872">
      <c r="A5872" s="4" t="s">
        <v>5956</v>
      </c>
      <c r="B5872" s="5" t="str">
        <f>IFERROR(__xludf.DUMMYFUNCTION("IF(A5872="""","""",INDEX(SPLIT(A5872,"" ""),COUNTA(SPLIT(A5872,"" ""))))"),"Volturno")</f>
        <v>Volturno</v>
      </c>
      <c r="C5872" s="6"/>
      <c r="D5872" s="6" t="s">
        <v>5930</v>
      </c>
      <c r="E5872" s="7" t="s">
        <v>5931</v>
      </c>
    </row>
    <row r="5873">
      <c r="A5873" s="4" t="s">
        <v>5957</v>
      </c>
      <c r="B5873" s="5" t="str">
        <f>IFERROR(__xludf.DUMMYFUNCTION("IF(A5873="""","""",INDEX(SPLIT(A5873,"" ""),COUNTA(SPLIT(A5873,"" ""))))"),"Cervino")</f>
        <v>Cervino</v>
      </c>
      <c r="C5873" s="6"/>
      <c r="D5873" s="6" t="s">
        <v>5930</v>
      </c>
      <c r="E5873" s="7" t="s">
        <v>5931</v>
      </c>
    </row>
    <row r="5874">
      <c r="A5874" s="4" t="s">
        <v>5958</v>
      </c>
      <c r="B5874" s="5" t="str">
        <f>IFERROR(__xludf.DUMMYFUNCTION("IF(A5874="""","""",INDEX(SPLIT(A5874,"" ""),COUNTA(SPLIT(A5874,"" ""))))"),"Cesa")</f>
        <v>Cesa</v>
      </c>
      <c r="C5874" s="6"/>
      <c r="D5874" s="6" t="s">
        <v>5930</v>
      </c>
      <c r="E5874" s="7" t="s">
        <v>5931</v>
      </c>
    </row>
    <row r="5875">
      <c r="A5875" s="4" t="s">
        <v>5959</v>
      </c>
      <c r="B5875" s="5" t="str">
        <f>IFERROR(__xludf.DUMMYFUNCTION("IF(A5875="""","""",INDEX(SPLIT(A5875,"" ""),COUNTA(SPLIT(A5875,"" ""))))"),"Ciorlano")</f>
        <v>Ciorlano</v>
      </c>
      <c r="C5875" s="6"/>
      <c r="D5875" s="6" t="s">
        <v>5930</v>
      </c>
      <c r="E5875" s="7" t="s">
        <v>5931</v>
      </c>
    </row>
    <row r="5876">
      <c r="A5876" s="4" t="s">
        <v>5960</v>
      </c>
      <c r="B5876" s="5" t="str">
        <f>IFERROR(__xludf.DUMMYFUNCTION("IF(A5876="""","""",INDEX(SPLIT(A5876,"" ""),COUNTA(SPLIT(A5876,"" ""))))"),"Campania")</f>
        <v>Campania</v>
      </c>
      <c r="C5876" s="6"/>
      <c r="D5876" s="6" t="s">
        <v>5930</v>
      </c>
      <c r="E5876" s="7" t="s">
        <v>5931</v>
      </c>
    </row>
    <row r="5877">
      <c r="A5877" s="4" t="s">
        <v>5961</v>
      </c>
      <c r="B5877" s="5" t="str">
        <f>IFERROR(__xludf.DUMMYFUNCTION("IF(A5877="""","""",INDEX(SPLIT(A5877,"" ""),COUNTA(SPLIT(A5877,"" ""))))"),"Curti")</f>
        <v>Curti</v>
      </c>
      <c r="C5877" s="6"/>
      <c r="D5877" s="6" t="s">
        <v>5930</v>
      </c>
      <c r="E5877" s="7" t="s">
        <v>5931</v>
      </c>
    </row>
    <row r="5878">
      <c r="A5878" s="4" t="s">
        <v>5962</v>
      </c>
      <c r="B5878" s="5" t="str">
        <f>IFERROR(__xludf.DUMMYFUNCTION("IF(A5878="""","""",INDEX(SPLIT(A5878,"" ""),COUNTA(SPLIT(A5878,"" ""))))"),"Dragoni")</f>
        <v>Dragoni</v>
      </c>
      <c r="C5878" s="6"/>
      <c r="D5878" s="6" t="s">
        <v>5930</v>
      </c>
      <c r="E5878" s="7" t="s">
        <v>5931</v>
      </c>
    </row>
    <row r="5879">
      <c r="A5879" s="4" t="s">
        <v>5963</v>
      </c>
      <c r="B5879" s="5" t="str">
        <f>IFERROR(__xludf.DUMMYFUNCTION("IF(A5879="""","""",INDEX(SPLIT(A5879,"" ""),COUNTA(SPLIT(A5879,"" ""))))"),"Fontegreca")</f>
        <v>Fontegreca</v>
      </c>
      <c r="C5879" s="6"/>
      <c r="D5879" s="6" t="s">
        <v>5930</v>
      </c>
      <c r="E5879" s="7" t="s">
        <v>5931</v>
      </c>
    </row>
    <row r="5880">
      <c r="A5880" s="4" t="s">
        <v>5964</v>
      </c>
      <c r="B5880" s="5" t="str">
        <f>IFERROR(__xludf.DUMMYFUNCTION("IF(A5880="""","""",INDEX(SPLIT(A5880,"" ""),COUNTA(SPLIT(A5880,"" ""))))"),"Formicola")</f>
        <v>Formicola</v>
      </c>
      <c r="C5880" s="6"/>
      <c r="D5880" s="6" t="s">
        <v>5930</v>
      </c>
      <c r="E5880" s="7" t="s">
        <v>5931</v>
      </c>
    </row>
    <row r="5881">
      <c r="A5881" s="4" t="s">
        <v>5965</v>
      </c>
      <c r="B5881" s="5" t="str">
        <f>IFERROR(__xludf.DUMMYFUNCTION("IF(A5881="""","""",INDEX(SPLIT(A5881,"" ""),COUNTA(SPLIT(A5881,"" ""))))"),"Francolise")</f>
        <v>Francolise</v>
      </c>
      <c r="C5881" s="6"/>
      <c r="D5881" s="6" t="s">
        <v>5930</v>
      </c>
      <c r="E5881" s="7" t="s">
        <v>5931</v>
      </c>
    </row>
    <row r="5882">
      <c r="A5882" s="4" t="s">
        <v>5966</v>
      </c>
      <c r="B5882" s="5" t="str">
        <f>IFERROR(__xludf.DUMMYFUNCTION("IF(A5882="""","""",INDEX(SPLIT(A5882,"" ""),COUNTA(SPLIT(A5882,"" ""))))"),"Frignano")</f>
        <v>Frignano</v>
      </c>
      <c r="C5882" s="6"/>
      <c r="D5882" s="6" t="s">
        <v>5930</v>
      </c>
      <c r="E5882" s="7" t="s">
        <v>5931</v>
      </c>
    </row>
    <row r="5883">
      <c r="A5883" s="4" t="s">
        <v>5967</v>
      </c>
      <c r="B5883" s="5" t="str">
        <f>IFERROR(__xludf.DUMMYFUNCTION("IF(A5883="""","""",INDEX(SPLIT(A5883,"" ""),COUNTA(SPLIT(A5883,"" ""))))"),"Matese")</f>
        <v>Matese</v>
      </c>
      <c r="C5883" s="6"/>
      <c r="D5883" s="6" t="s">
        <v>5930</v>
      </c>
      <c r="E5883" s="7" t="s">
        <v>5931</v>
      </c>
    </row>
    <row r="5884">
      <c r="A5884" s="4" t="s">
        <v>5968</v>
      </c>
      <c r="B5884" s="5" t="str">
        <f>IFERROR(__xludf.DUMMYFUNCTION("IF(A5884="""","""",INDEX(SPLIT(A5884,"" ""),COUNTA(SPLIT(A5884,"" ""))))"),"Galluccio")</f>
        <v>Galluccio</v>
      </c>
      <c r="C5884" s="6"/>
      <c r="D5884" s="6" t="s">
        <v>5930</v>
      </c>
      <c r="E5884" s="7" t="s">
        <v>5931</v>
      </c>
    </row>
    <row r="5885">
      <c r="A5885" s="4" t="s">
        <v>5969</v>
      </c>
      <c r="B5885" s="5" t="str">
        <f>IFERROR(__xludf.DUMMYFUNCTION("IF(A5885="""","""",INDEX(SPLIT(A5885,"" ""),COUNTA(SPLIT(A5885,"" ""))))"),"Vetusto")</f>
        <v>Vetusto</v>
      </c>
      <c r="C5885" s="6"/>
      <c r="D5885" s="6" t="s">
        <v>5930</v>
      </c>
      <c r="E5885" s="7" t="s">
        <v>5931</v>
      </c>
    </row>
    <row r="5886">
      <c r="A5886" s="4" t="s">
        <v>5970</v>
      </c>
      <c r="B5886" s="5" t="str">
        <f>IFERROR(__xludf.DUMMYFUNCTION("IF(A5886="""","""",INDEX(SPLIT(A5886,"" ""),COUNTA(SPLIT(A5886,"" ""))))"),"Sannitica")</f>
        <v>Sannitica</v>
      </c>
      <c r="C5886" s="6"/>
      <c r="D5886" s="6" t="s">
        <v>5930</v>
      </c>
      <c r="E5886" s="7" t="s">
        <v>5931</v>
      </c>
    </row>
    <row r="5887">
      <c r="A5887" s="4" t="s">
        <v>5971</v>
      </c>
      <c r="B5887" s="5" t="str">
        <f>IFERROR(__xludf.DUMMYFUNCTION("IF(A5887="""","""",INDEX(SPLIT(A5887,"" ""),COUNTA(SPLIT(A5887,"" ""))))"),"Grazzanise")</f>
        <v>Grazzanise</v>
      </c>
      <c r="C5887" s="6"/>
      <c r="D5887" s="6" t="s">
        <v>5930</v>
      </c>
      <c r="E5887" s="7" t="s">
        <v>5931</v>
      </c>
    </row>
    <row r="5888">
      <c r="A5888" s="4" t="s">
        <v>5972</v>
      </c>
      <c r="B5888" s="5" t="str">
        <f>IFERROR(__xludf.DUMMYFUNCTION("IF(A5888="""","""",INDEX(SPLIT(A5888,"" ""),COUNTA(SPLIT(A5888,"" ""))))"),"Aversa")</f>
        <v>Aversa</v>
      </c>
      <c r="C5888" s="6"/>
      <c r="D5888" s="6" t="s">
        <v>5930</v>
      </c>
      <c r="E5888" s="7" t="s">
        <v>5931</v>
      </c>
    </row>
    <row r="5889">
      <c r="A5889" s="4" t="s">
        <v>5973</v>
      </c>
      <c r="B5889" s="5" t="str">
        <f>IFERROR(__xludf.DUMMYFUNCTION("IF(A5889="""","""",INDEX(SPLIT(A5889,"" ""),COUNTA(SPLIT(A5889,"" ""))))"),"Letino")</f>
        <v>Letino</v>
      </c>
      <c r="C5889" s="6"/>
      <c r="D5889" s="6" t="s">
        <v>5930</v>
      </c>
      <c r="E5889" s="7" t="s">
        <v>5931</v>
      </c>
    </row>
    <row r="5890">
      <c r="A5890" s="4" t="s">
        <v>5974</v>
      </c>
      <c r="B5890" s="5" t="str">
        <f>IFERROR(__xludf.DUMMYFUNCTION("IF(A5890="""","""",INDEX(SPLIT(A5890,"" ""),COUNTA(SPLIT(A5890,"" ""))))"),"Liberi")</f>
        <v>Liberi</v>
      </c>
      <c r="C5890" s="6"/>
      <c r="D5890" s="6" t="s">
        <v>5930</v>
      </c>
      <c r="E5890" s="7" t="s">
        <v>5931</v>
      </c>
    </row>
    <row r="5891">
      <c r="A5891" s="4" t="s">
        <v>5975</v>
      </c>
      <c r="B5891" s="5" t="str">
        <f>IFERROR(__xludf.DUMMYFUNCTION("IF(A5891="""","""",INDEX(SPLIT(A5891,"" ""),COUNTA(SPLIT(A5891,"" ""))))"),"Lusciano")</f>
        <v>Lusciano</v>
      </c>
      <c r="C5891" s="6"/>
      <c r="D5891" s="6" t="s">
        <v>5930</v>
      </c>
      <c r="E5891" s="7" t="s">
        <v>5931</v>
      </c>
    </row>
    <row r="5892">
      <c r="A5892" s="4" t="s">
        <v>5976</v>
      </c>
      <c r="B5892" s="5" t="str">
        <f>IFERROR(__xludf.DUMMYFUNCTION("IF(A5892="""","""",INDEX(SPLIT(A5892,"" ""),COUNTA(SPLIT(A5892,"" ""))))"),"Campania")</f>
        <v>Campania</v>
      </c>
      <c r="C5892" s="6"/>
      <c r="D5892" s="6" t="s">
        <v>5930</v>
      </c>
      <c r="E5892" s="7" t="s">
        <v>5931</v>
      </c>
    </row>
    <row r="5893">
      <c r="A5893" s="4" t="s">
        <v>5977</v>
      </c>
      <c r="B5893" s="5" t="str">
        <f>IFERROR(__xludf.DUMMYFUNCTION("IF(A5893="""","""",INDEX(SPLIT(A5893,"" ""),COUNTA(SPLIT(A5893,"" ""))))"),"Maddaloni")</f>
        <v>Maddaloni</v>
      </c>
      <c r="C5893" s="6"/>
      <c r="D5893" s="6" t="s">
        <v>5930</v>
      </c>
      <c r="E5893" s="7" t="s">
        <v>5931</v>
      </c>
    </row>
    <row r="5894">
      <c r="A5894" s="4" t="s">
        <v>5978</v>
      </c>
      <c r="B5894" s="5" t="str">
        <f>IFERROR(__xludf.DUMMYFUNCTION("IF(A5894="""","""",INDEX(SPLIT(A5894,"" ""),COUNTA(SPLIT(A5894,"" ""))))"),"Marcianise")</f>
        <v>Marcianise</v>
      </c>
      <c r="C5894" s="6"/>
      <c r="D5894" s="6" t="s">
        <v>5930</v>
      </c>
      <c r="E5894" s="7" t="s">
        <v>5931</v>
      </c>
    </row>
    <row r="5895">
      <c r="A5895" s="4" t="s">
        <v>5979</v>
      </c>
      <c r="B5895" s="5" t="str">
        <f>IFERROR(__xludf.DUMMYFUNCTION("IF(A5895="""","""",INDEX(SPLIT(A5895,"" ""),COUNTA(SPLIT(A5895,"" ""))))"),"Appio")</f>
        <v>Appio</v>
      </c>
      <c r="C5895" s="6"/>
      <c r="D5895" s="6" t="s">
        <v>5930</v>
      </c>
      <c r="E5895" s="7" t="s">
        <v>5931</v>
      </c>
    </row>
    <row r="5896">
      <c r="A5896" s="4" t="s">
        <v>5980</v>
      </c>
      <c r="B5896" s="5" t="str">
        <f>IFERROR(__xludf.DUMMYFUNCTION("IF(A5896="""","""",INDEX(SPLIT(A5896,"" ""),COUNTA(SPLIT(A5896,"" ""))))"),"Lungo")</f>
        <v>Lungo</v>
      </c>
      <c r="C5896" s="6"/>
      <c r="D5896" s="6" t="s">
        <v>5930</v>
      </c>
      <c r="E5896" s="7" t="s">
        <v>5931</v>
      </c>
    </row>
    <row r="5897">
      <c r="A5897" s="4" t="s">
        <v>5981</v>
      </c>
      <c r="B5897" s="5" t="str">
        <f>IFERROR(__xludf.DUMMYFUNCTION("IF(A5897="""","""",INDEX(SPLIT(A5897,"" ""),COUNTA(SPLIT(A5897,"" ""))))"),"Mondragone")</f>
        <v>Mondragone</v>
      </c>
      <c r="C5897" s="6"/>
      <c r="D5897" s="6" t="s">
        <v>5930</v>
      </c>
      <c r="E5897" s="7" t="s">
        <v>5931</v>
      </c>
    </row>
    <row r="5898">
      <c r="A5898" s="4" t="s">
        <v>5982</v>
      </c>
      <c r="B5898" s="5" t="str">
        <f>IFERROR(__xludf.DUMMYFUNCTION("IF(A5898="""","""",INDEX(SPLIT(A5898,"" ""),COUNTA(SPLIT(A5898,"" ""))))"),"Atella")</f>
        <v>Atella</v>
      </c>
      <c r="C5898" s="6"/>
      <c r="D5898" s="6" t="s">
        <v>5930</v>
      </c>
      <c r="E5898" s="7" t="s">
        <v>5931</v>
      </c>
    </row>
    <row r="5899">
      <c r="A5899" s="4" t="s">
        <v>5983</v>
      </c>
      <c r="B5899" s="5" t="str">
        <f>IFERROR(__xludf.DUMMYFUNCTION("IF(A5899="""","""",INDEX(SPLIT(A5899,"" ""),COUNTA(SPLIT(A5899,"" ""))))"),"Parete")</f>
        <v>Parete</v>
      </c>
      <c r="C5899" s="6"/>
      <c r="D5899" s="6" t="s">
        <v>5930</v>
      </c>
      <c r="E5899" s="7" t="s">
        <v>5931</v>
      </c>
    </row>
    <row r="5900">
      <c r="A5900" s="4" t="s">
        <v>5984</v>
      </c>
      <c r="B5900" s="5" t="str">
        <f>IFERROR(__xludf.DUMMYFUNCTION("IF(A5900="""","""",INDEX(SPLIT(A5900,"" ""),COUNTA(SPLIT(A5900,"" ""))))"),"Pastorano")</f>
        <v>Pastorano</v>
      </c>
      <c r="C5900" s="6"/>
      <c r="D5900" s="6" t="s">
        <v>5930</v>
      </c>
      <c r="E5900" s="7" t="s">
        <v>5931</v>
      </c>
    </row>
    <row r="5901">
      <c r="A5901" s="4" t="s">
        <v>5985</v>
      </c>
      <c r="B5901" s="5" t="str">
        <f>IFERROR(__xludf.DUMMYFUNCTION("IF(A5901="""","""",INDEX(SPLIT(A5901,"" ""),COUNTA(SPLIT(A5901,"" ""))))"),"Verna")</f>
        <v>Verna</v>
      </c>
      <c r="C5901" s="6"/>
      <c r="D5901" s="6" t="s">
        <v>5930</v>
      </c>
      <c r="E5901" s="7" t="s">
        <v>5931</v>
      </c>
    </row>
    <row r="5902">
      <c r="A5902" s="4" t="s">
        <v>5986</v>
      </c>
      <c r="B5902" s="5" t="str">
        <f>IFERROR(__xludf.DUMMYFUNCTION("IF(A5902="""","""",INDEX(SPLIT(A5902,"" ""),COUNTA(SPLIT(A5902,"" ""))))"),"Matese")</f>
        <v>Matese</v>
      </c>
      <c r="C5902" s="6"/>
      <c r="D5902" s="6" t="s">
        <v>5930</v>
      </c>
      <c r="E5902" s="7" t="s">
        <v>5931</v>
      </c>
    </row>
    <row r="5903">
      <c r="A5903" s="4" t="s">
        <v>5987</v>
      </c>
      <c r="B5903" s="5" t="str">
        <f>IFERROR(__xludf.DUMMYFUNCTION("IF(A5903="""","""",INDEX(SPLIT(A5903,"" ""),COUNTA(SPLIT(A5903,"" ""))))"),"Pietramelara")</f>
        <v>Pietramelara</v>
      </c>
      <c r="C5903" s="6"/>
      <c r="D5903" s="6" t="s">
        <v>5930</v>
      </c>
      <c r="E5903" s="7" t="s">
        <v>5931</v>
      </c>
    </row>
    <row r="5904">
      <c r="A5904" s="4" t="s">
        <v>5988</v>
      </c>
      <c r="B5904" s="5" t="str">
        <f>IFERROR(__xludf.DUMMYFUNCTION("IF(A5904="""","""",INDEX(SPLIT(A5904,"" ""),COUNTA(SPLIT(A5904,"" ""))))"),"Pietravairano")</f>
        <v>Pietravairano</v>
      </c>
      <c r="C5904" s="6"/>
      <c r="D5904" s="6" t="s">
        <v>5930</v>
      </c>
      <c r="E5904" s="7" t="s">
        <v>5931</v>
      </c>
    </row>
    <row r="5905">
      <c r="A5905" s="4" t="s">
        <v>5989</v>
      </c>
      <c r="B5905" s="5" t="str">
        <f>IFERROR(__xludf.DUMMYFUNCTION("IF(A5905="""","""",INDEX(SPLIT(A5905,"" ""),COUNTA(SPLIT(A5905,"" ""))))"),"Maggiore")</f>
        <v>Maggiore</v>
      </c>
      <c r="C5905" s="6"/>
      <c r="D5905" s="6" t="s">
        <v>5930</v>
      </c>
      <c r="E5905" s="7" t="s">
        <v>5931</v>
      </c>
    </row>
    <row r="5906">
      <c r="A5906" s="4" t="s">
        <v>5990</v>
      </c>
      <c r="B5906" s="5" t="str">
        <f>IFERROR(__xludf.DUMMYFUNCTION("IF(A5906="""","""",INDEX(SPLIT(A5906,"" ""),COUNTA(SPLIT(A5906,"" ""))))"),"Pontelatone")</f>
        <v>Pontelatone</v>
      </c>
      <c r="C5906" s="6"/>
      <c r="D5906" s="6" t="s">
        <v>5930</v>
      </c>
      <c r="E5906" s="7" t="s">
        <v>5931</v>
      </c>
    </row>
    <row r="5907">
      <c r="A5907" s="4" t="s">
        <v>5991</v>
      </c>
      <c r="B5907" s="5" t="str">
        <f>IFERROR(__xludf.DUMMYFUNCTION("IF(A5907="""","""",INDEX(SPLIT(A5907,"" ""),COUNTA(SPLIT(A5907,"" ""))))"),"Caserta")</f>
        <v>Caserta</v>
      </c>
      <c r="C5907" s="6"/>
      <c r="D5907" s="6" t="s">
        <v>5930</v>
      </c>
      <c r="E5907" s="7" t="s">
        <v>5931</v>
      </c>
    </row>
    <row r="5908">
      <c r="A5908" s="4" t="s">
        <v>5992</v>
      </c>
      <c r="B5908" s="5" t="str">
        <f>IFERROR(__xludf.DUMMYFUNCTION("IF(A5908="""","""",INDEX(SPLIT(A5908,"" ""),COUNTA(SPLIT(A5908,"" ""))))"),"Sannita")</f>
        <v>Sannita</v>
      </c>
      <c r="C5908" s="6"/>
      <c r="D5908" s="6" t="s">
        <v>5930</v>
      </c>
      <c r="E5908" s="7" t="s">
        <v>5931</v>
      </c>
    </row>
    <row r="5909">
      <c r="A5909" s="4" t="s">
        <v>5993</v>
      </c>
      <c r="B5909" s="5" t="str">
        <f>IFERROR(__xludf.DUMMYFUNCTION("IF(A5909="""","""",INDEX(SPLIT(A5909,"" ""),COUNTA(SPLIT(A5909,"" ""))))"),"Pratella")</f>
        <v>Pratella</v>
      </c>
      <c r="C5909" s="6"/>
      <c r="D5909" s="6" t="s">
        <v>5930</v>
      </c>
      <c r="E5909" s="7" t="s">
        <v>5931</v>
      </c>
    </row>
    <row r="5910">
      <c r="A5910" s="4" t="s">
        <v>5994</v>
      </c>
      <c r="B5910" s="5" t="str">
        <f>IFERROR(__xludf.DUMMYFUNCTION("IF(A5910="""","""",INDEX(SPLIT(A5910,"" ""),COUNTA(SPLIT(A5910,"" ""))))"),"Presenzano")</f>
        <v>Presenzano</v>
      </c>
      <c r="C5910" s="6"/>
      <c r="D5910" s="6" t="s">
        <v>5930</v>
      </c>
      <c r="E5910" s="7" t="s">
        <v>5931</v>
      </c>
    </row>
    <row r="5911">
      <c r="A5911" s="4" t="s">
        <v>5995</v>
      </c>
      <c r="B5911" s="5" t="str">
        <f>IFERROR(__xludf.DUMMYFUNCTION("IF(A5911="""","""",INDEX(SPLIT(A5911,"" ""),COUNTA(SPLIT(A5911,"" ""))))"),"Raviscanina")</f>
        <v>Raviscanina</v>
      </c>
      <c r="C5911" s="6"/>
      <c r="D5911" s="6" t="s">
        <v>5930</v>
      </c>
      <c r="E5911" s="7" t="s">
        <v>5931</v>
      </c>
    </row>
    <row r="5912">
      <c r="A5912" s="4" t="s">
        <v>5996</v>
      </c>
      <c r="B5912" s="5" t="str">
        <f>IFERROR(__xludf.DUMMYFUNCTION("IF(A5912="""","""",INDEX(SPLIT(A5912,"" ""),COUNTA(SPLIT(A5912,"" ""))))"),"Recale")</f>
        <v>Recale</v>
      </c>
      <c r="C5912" s="6"/>
      <c r="D5912" s="6" t="s">
        <v>5930</v>
      </c>
      <c r="E5912" s="7" t="s">
        <v>5931</v>
      </c>
    </row>
    <row r="5913">
      <c r="A5913" s="4" t="s">
        <v>5997</v>
      </c>
      <c r="B5913" s="5" t="str">
        <f>IFERROR(__xludf.DUMMYFUNCTION("IF(A5913="""","""",INDEX(SPLIT(A5913,"" ""),COUNTA(SPLIT(A5913,"" ""))))"),"Riardo")</f>
        <v>Riardo</v>
      </c>
      <c r="C5913" s="6"/>
      <c r="D5913" s="6" t="s">
        <v>5930</v>
      </c>
      <c r="E5913" s="7" t="s">
        <v>5931</v>
      </c>
    </row>
    <row r="5914">
      <c r="A5914" s="4" t="s">
        <v>5998</v>
      </c>
      <c r="B5914" s="5" t="str">
        <f>IFERROR(__xludf.DUMMYFUNCTION("IF(A5914="""","""",INDEX(SPLIT(A5914,"" ""),COUNTA(SPLIT(A5914,"" ""))))"),"d'Evandro")</f>
        <v>d'Evandro</v>
      </c>
      <c r="C5914" s="6"/>
      <c r="D5914" s="6" t="s">
        <v>5930</v>
      </c>
      <c r="E5914" s="7" t="s">
        <v>5931</v>
      </c>
    </row>
    <row r="5915">
      <c r="A5915" s="4" t="s">
        <v>5999</v>
      </c>
      <c r="B5915" s="5" t="str">
        <f>IFERROR(__xludf.DUMMYFUNCTION("IF(A5915="""","""",INDEX(SPLIT(A5915,"" ""),COUNTA(SPLIT(A5915,"" ""))))"),"Roccamonfina")</f>
        <v>Roccamonfina</v>
      </c>
      <c r="C5915" s="6"/>
      <c r="D5915" s="6" t="s">
        <v>5930</v>
      </c>
      <c r="E5915" s="7" t="s">
        <v>5931</v>
      </c>
    </row>
    <row r="5916">
      <c r="A5916" s="4" t="s">
        <v>6000</v>
      </c>
      <c r="B5916" s="5" t="str">
        <f>IFERROR(__xludf.DUMMYFUNCTION("IF(A5916="""","""",INDEX(SPLIT(A5916,"" ""),COUNTA(SPLIT(A5916,"" ""))))"),"Roccaromana")</f>
        <v>Roccaromana</v>
      </c>
      <c r="C5916" s="6"/>
      <c r="D5916" s="6" t="s">
        <v>5930</v>
      </c>
      <c r="E5916" s="7" t="s">
        <v>5931</v>
      </c>
    </row>
    <row r="5917">
      <c r="A5917" s="4" t="s">
        <v>6001</v>
      </c>
      <c r="B5917" s="5" t="str">
        <f>IFERROR(__xludf.DUMMYFUNCTION("IF(A5917="""","""",INDEX(SPLIT(A5917,"" ""),COUNTA(SPLIT(A5917,"" ""))))"),"Croce")</f>
        <v>Croce</v>
      </c>
      <c r="C5917" s="6"/>
      <c r="D5917" s="6" t="s">
        <v>5930</v>
      </c>
      <c r="E5917" s="7" t="s">
        <v>5931</v>
      </c>
    </row>
    <row r="5918">
      <c r="A5918" s="4" t="s">
        <v>6002</v>
      </c>
      <c r="B5918" s="5" t="str">
        <f>IFERROR(__xludf.DUMMYFUNCTION("IF(A5918="""","""",INDEX(SPLIT(A5918,"" ""),COUNTA(SPLIT(A5918,"" ""))))"),"Ruviano")</f>
        <v>Ruviano</v>
      </c>
      <c r="C5918" s="6"/>
      <c r="D5918" s="6" t="s">
        <v>5930</v>
      </c>
      <c r="E5918" s="7" t="s">
        <v>5931</v>
      </c>
    </row>
    <row r="5919">
      <c r="A5919" s="4" t="s">
        <v>6003</v>
      </c>
      <c r="B5919" s="5" t="str">
        <f>IFERROR(__xludf.DUMMYFUNCTION("IF(A5919="""","""",INDEX(SPLIT(A5919,"" ""),COUNTA(SPLIT(A5919,"" ""))))"),"d'Aversa")</f>
        <v>d'Aversa</v>
      </c>
      <c r="C5919" s="6"/>
      <c r="D5919" s="6" t="s">
        <v>5930</v>
      </c>
      <c r="E5919" s="7" t="s">
        <v>5931</v>
      </c>
    </row>
    <row r="5920">
      <c r="A5920" s="4" t="s">
        <v>6004</v>
      </c>
      <c r="B5920" s="5" t="str">
        <f>IFERROR(__xludf.DUMMYFUNCTION("IF(A5920="""","""",INDEX(SPLIT(A5920,"" ""),COUNTA(SPLIT(A5920,"" ""))))"),"Cancello")</f>
        <v>Cancello</v>
      </c>
      <c r="C5920" s="6"/>
      <c r="D5920" s="6" t="s">
        <v>5930</v>
      </c>
      <c r="E5920" s="7" t="s">
        <v>5931</v>
      </c>
    </row>
    <row r="5921">
      <c r="A5921" s="4" t="s">
        <v>6005</v>
      </c>
      <c r="B5921" s="5" t="str">
        <f>IFERROR(__xludf.DUMMYFUNCTION("IF(A5921="""","""",INDEX(SPLIT(A5921,"" ""),COUNTA(SPLIT(A5921,"" ""))))"),"Matese")</f>
        <v>Matese</v>
      </c>
      <c r="C5921" s="6"/>
      <c r="D5921" s="6" t="s">
        <v>5930</v>
      </c>
      <c r="E5921" s="7" t="s">
        <v>5931</v>
      </c>
    </row>
    <row r="5922">
      <c r="A5922" s="4" t="s">
        <v>6006</v>
      </c>
      <c r="B5922" s="5" t="str">
        <f>IFERROR(__xludf.DUMMYFUNCTION("IF(A5922="""","""",INDEX(SPLIT(A5922,"" ""),COUNTA(SPLIT(A5922,"" ""))))"),"Marcellino")</f>
        <v>Marcellino</v>
      </c>
      <c r="C5922" s="6"/>
      <c r="D5922" s="6" t="s">
        <v>5930</v>
      </c>
      <c r="E5922" s="7" t="s">
        <v>5931</v>
      </c>
    </row>
    <row r="5923">
      <c r="A5923" s="4" t="s">
        <v>6007</v>
      </c>
      <c r="B5923" s="5" t="str">
        <f>IFERROR(__xludf.DUMMYFUNCTION("IF(A5923="""","""",INDEX(SPLIT(A5923,"" ""),COUNTA(SPLIT(A5923,"" ""))))"),"Strada")</f>
        <v>Strada</v>
      </c>
      <c r="C5923" s="6"/>
      <c r="D5923" s="6" t="s">
        <v>5930</v>
      </c>
      <c r="E5923" s="7" t="s">
        <v>5931</v>
      </c>
    </row>
    <row r="5924">
      <c r="A5924" s="4" t="s">
        <v>6008</v>
      </c>
      <c r="B5924" s="5" t="str">
        <f>IFERROR(__xludf.DUMMYFUNCTION("IF(A5924="""","""",INDEX(SPLIT(A5924,"" ""),COUNTA(SPLIT(A5924,"" ""))))"),"Infine")</f>
        <v>Infine</v>
      </c>
      <c r="C5924" s="6"/>
      <c r="D5924" s="6" t="s">
        <v>5930</v>
      </c>
      <c r="E5924" s="7" t="s">
        <v>5931</v>
      </c>
    </row>
    <row r="5925">
      <c r="A5925" s="4" t="s">
        <v>6009</v>
      </c>
      <c r="B5925" s="5" t="str">
        <f>IFERROR(__xludf.DUMMYFUNCTION("IF(A5925="""","""",INDEX(SPLIT(A5925,"" ""),COUNTA(SPLIT(A5925,"" ""))))"),"Sannitico")</f>
        <v>Sannitico</v>
      </c>
      <c r="C5925" s="6"/>
      <c r="D5925" s="6" t="s">
        <v>5930</v>
      </c>
      <c r="E5925" s="7" t="s">
        <v>5931</v>
      </c>
    </row>
    <row r="5926">
      <c r="A5926" s="4" t="s">
        <v>6010</v>
      </c>
      <c r="B5926" s="5" t="str">
        <f>IFERROR(__xludf.DUMMYFUNCTION("IF(A5926="""","""",INDEX(SPLIT(A5926,"" ""),COUNTA(SPLIT(A5926,"" ""))))"),"Prisco")</f>
        <v>Prisco</v>
      </c>
      <c r="C5926" s="6"/>
      <c r="D5926" s="6" t="s">
        <v>5930</v>
      </c>
      <c r="E5926" s="7" t="s">
        <v>5931</v>
      </c>
    </row>
    <row r="5927">
      <c r="A5927" s="4" t="s">
        <v>6011</v>
      </c>
      <c r="B5927" s="5" t="str">
        <f>IFERROR(__xludf.DUMMYFUNCTION("IF(A5927="""","""",INDEX(SPLIT(A5927,"" ""),COUNTA(SPLIT(A5927,"" ""))))"),"Vico")</f>
        <v>Vico</v>
      </c>
      <c r="C5927" s="6"/>
      <c r="D5927" s="6" t="s">
        <v>5930</v>
      </c>
      <c r="E5927" s="7" t="s">
        <v>5931</v>
      </c>
    </row>
    <row r="5928">
      <c r="A5928" s="4" t="s">
        <v>6012</v>
      </c>
      <c r="B5928" s="5" t="str">
        <f>IFERROR(__xludf.DUMMYFUNCTION("IF(A5928="""","""",INDEX(SPLIT(A5928,"" ""),COUNTA(SPLIT(A5928,"" ""))))"),"Vetere")</f>
        <v>Vetere</v>
      </c>
      <c r="C5928" s="6"/>
      <c r="D5928" s="6" t="s">
        <v>5930</v>
      </c>
      <c r="E5928" s="7" t="s">
        <v>5931</v>
      </c>
    </row>
    <row r="5929">
      <c r="A5929" s="4" t="s">
        <v>6013</v>
      </c>
      <c r="B5929" s="5" t="str">
        <f>IFERROR(__xludf.DUMMYFUNCTION("IF(A5929="""","""",INDEX(SPLIT(A5929,"" ""),COUNTA(SPLIT(A5929,"" ""))))"),"Fossa")</f>
        <v>Fossa</v>
      </c>
      <c r="C5929" s="6"/>
      <c r="D5929" s="6" t="s">
        <v>5930</v>
      </c>
      <c r="E5929" s="7" t="s">
        <v>5931</v>
      </c>
    </row>
    <row r="5930">
      <c r="A5930" s="4" t="s">
        <v>6014</v>
      </c>
      <c r="B5930" s="5" t="str">
        <f>IFERROR(__xludf.DUMMYFUNCTION("IF(A5930="""","""",INDEX(SPLIT(A5930,"" ""),COUNTA(SPLIT(A5930,"" ""))))"),"Tammaro")</f>
        <v>Tammaro</v>
      </c>
      <c r="C5930" s="6"/>
      <c r="D5930" s="6" t="s">
        <v>5930</v>
      </c>
      <c r="E5930" s="7" t="s">
        <v>5931</v>
      </c>
    </row>
    <row r="5931">
      <c r="A5931" s="4" t="s">
        <v>6015</v>
      </c>
      <c r="B5931" s="5" t="str">
        <f>IFERROR(__xludf.DUMMYFUNCTION("IF(A5931="""","""",INDEX(SPLIT(A5931,"" ""),COUNTA(SPLIT(A5931,"" ""))))"),"d'Alife")</f>
        <v>d'Alife</v>
      </c>
      <c r="C5931" s="6"/>
      <c r="D5931" s="6" t="s">
        <v>5930</v>
      </c>
      <c r="E5931" s="7" t="s">
        <v>5931</v>
      </c>
    </row>
    <row r="5932">
      <c r="A5932" s="4" t="s">
        <v>6016</v>
      </c>
      <c r="B5932" s="5" t="str">
        <f>IFERROR(__xludf.DUMMYFUNCTION("IF(A5932="""","""",INDEX(SPLIT(A5932,"" ""),COUNTA(SPLIT(A5932,"" ""))))"),"Sant'Arpino")</f>
        <v>Sant'Arpino</v>
      </c>
      <c r="C5932" s="6"/>
      <c r="D5932" s="6" t="s">
        <v>5930</v>
      </c>
      <c r="E5932" s="7" t="s">
        <v>5931</v>
      </c>
    </row>
    <row r="5933">
      <c r="A5933" s="4" t="s">
        <v>6017</v>
      </c>
      <c r="B5933" s="5" t="str">
        <f>IFERROR(__xludf.DUMMYFUNCTION("IF(A5933="""","""",INDEX(SPLIT(A5933,"" ""),COUNTA(SPLIT(A5933,"" ""))))"),"Aurunca")</f>
        <v>Aurunca</v>
      </c>
      <c r="C5933" s="6"/>
      <c r="D5933" s="6" t="s">
        <v>5930</v>
      </c>
      <c r="E5933" s="7" t="s">
        <v>5931</v>
      </c>
    </row>
    <row r="5934">
      <c r="A5934" s="4" t="s">
        <v>6018</v>
      </c>
      <c r="B5934" s="5" t="str">
        <f>IFERROR(__xludf.DUMMYFUNCTION("IF(A5934="""","""",INDEX(SPLIT(A5934,"" ""),COUNTA(SPLIT(A5934,"" ""))))"),"Sparanise")</f>
        <v>Sparanise</v>
      </c>
      <c r="C5934" s="6"/>
      <c r="D5934" s="6" t="s">
        <v>5930</v>
      </c>
      <c r="E5934" s="7" t="s">
        <v>5931</v>
      </c>
    </row>
    <row r="5935">
      <c r="A5935" s="4" t="s">
        <v>6019</v>
      </c>
      <c r="B5935" s="5" t="str">
        <f>IFERROR(__xludf.DUMMYFUNCTION("IF(A5935="""","""",INDEX(SPLIT(A5935,"" ""),COUNTA(SPLIT(A5935,"" ""))))"),"Succivo")</f>
        <v>Succivo</v>
      </c>
      <c r="C5935" s="6"/>
      <c r="D5935" s="6" t="s">
        <v>5930</v>
      </c>
      <c r="E5935" s="7" t="s">
        <v>5931</v>
      </c>
    </row>
    <row r="5936">
      <c r="A5936" s="4" t="s">
        <v>6020</v>
      </c>
      <c r="B5936" s="5" t="str">
        <f>IFERROR(__xludf.DUMMYFUNCTION("IF(A5936="""","""",INDEX(SPLIT(A5936,"" ""),COUNTA(SPLIT(A5936,"" ""))))"),"Teano")</f>
        <v>Teano</v>
      </c>
      <c r="C5936" s="6"/>
      <c r="D5936" s="6" t="s">
        <v>5930</v>
      </c>
      <c r="E5936" s="7" t="s">
        <v>5931</v>
      </c>
    </row>
    <row r="5937">
      <c r="A5937" s="4" t="s">
        <v>6021</v>
      </c>
      <c r="B5937" s="5" t="str">
        <f>IFERROR(__xludf.DUMMYFUNCTION("IF(A5937="""","""",INDEX(SPLIT(A5937,"" ""),COUNTA(SPLIT(A5937,"" ""))))"),"Teverola")</f>
        <v>Teverola</v>
      </c>
      <c r="C5937" s="6"/>
      <c r="D5937" s="6" t="s">
        <v>5930</v>
      </c>
      <c r="E5937" s="7" t="s">
        <v>5931</v>
      </c>
    </row>
    <row r="5938">
      <c r="A5938" s="4" t="s">
        <v>6022</v>
      </c>
      <c r="B5938" s="5" t="str">
        <f>IFERROR(__xludf.DUMMYFUNCTION("IF(A5938="""","""",INDEX(SPLIT(A5938,"" ""),COUNTA(SPLIT(A5938,"" ""))))"),"Piccilli")</f>
        <v>Piccilli</v>
      </c>
      <c r="C5938" s="6"/>
      <c r="D5938" s="6" t="s">
        <v>5930</v>
      </c>
      <c r="E5938" s="7" t="s">
        <v>5931</v>
      </c>
    </row>
    <row r="5939">
      <c r="A5939" s="4" t="s">
        <v>6023</v>
      </c>
      <c r="B5939" s="5" t="str">
        <f>IFERROR(__xludf.DUMMYFUNCTION("IF(A5939="""","""",INDEX(SPLIT(A5939,"" ""),COUNTA(SPLIT(A5939,"" ""))))"),"Ducenta")</f>
        <v>Ducenta</v>
      </c>
      <c r="C5939" s="6"/>
      <c r="D5939" s="6" t="s">
        <v>5930</v>
      </c>
      <c r="E5939" s="7" t="s">
        <v>5931</v>
      </c>
    </row>
    <row r="5940">
      <c r="A5940" s="4" t="s">
        <v>6024</v>
      </c>
      <c r="B5940" s="5" t="str">
        <f>IFERROR(__xludf.DUMMYFUNCTION("IF(A5940="""","""",INDEX(SPLIT(A5940,"" ""),COUNTA(SPLIT(A5940,"" ""))))"),"Patenora")</f>
        <v>Patenora</v>
      </c>
      <c r="C5940" s="6"/>
      <c r="D5940" s="6" t="s">
        <v>5930</v>
      </c>
      <c r="E5940" s="7" t="s">
        <v>5931</v>
      </c>
    </row>
    <row r="5941">
      <c r="A5941" s="4" t="s">
        <v>6025</v>
      </c>
      <c r="B5941" s="5" t="str">
        <f>IFERROR(__xludf.DUMMYFUNCTION("IF(A5941="""","""",INDEX(SPLIT(A5941,"" ""),COUNTA(SPLIT(A5941,"" ""))))"),"Agricola")</f>
        <v>Agricola</v>
      </c>
      <c r="C5941" s="6"/>
      <c r="D5941" s="6" t="s">
        <v>5930</v>
      </c>
      <c r="E5941" s="7" t="s">
        <v>5931</v>
      </c>
    </row>
    <row r="5942">
      <c r="A5942" s="4" t="s">
        <v>6026</v>
      </c>
      <c r="B5942" s="5" t="str">
        <f>IFERROR(__xludf.DUMMYFUNCTION("IF(A5942="""","""",INDEX(SPLIT(A5942,"" ""),COUNTA(SPLIT(A5942,"" ""))))"),"Maddaloni")</f>
        <v>Maddaloni</v>
      </c>
      <c r="C5942" s="6"/>
      <c r="D5942" s="6" t="s">
        <v>5930</v>
      </c>
      <c r="E5942" s="7" t="s">
        <v>5931</v>
      </c>
    </row>
    <row r="5943">
      <c r="A5943" s="4" t="s">
        <v>6027</v>
      </c>
      <c r="B5943" s="5" t="str">
        <f>IFERROR(__xludf.DUMMYFUNCTION("IF(A5943="""","""",INDEX(SPLIT(A5943,"" ""),COUNTA(SPLIT(A5943,"" ""))))"),"Briano")</f>
        <v>Briano</v>
      </c>
      <c r="C5943" s="6"/>
      <c r="D5943" s="6" t="s">
        <v>5930</v>
      </c>
      <c r="E5943" s="7" t="s">
        <v>5931</v>
      </c>
    </row>
    <row r="5944">
      <c r="A5944" s="4" t="s">
        <v>6028</v>
      </c>
      <c r="B5944" s="5" t="str">
        <f>IFERROR(__xludf.DUMMYFUNCTION("IF(A5944="""","""",INDEX(SPLIT(A5944,"" ""),COUNTA(SPLIT(A5944,"" ""))))"),"Literno")</f>
        <v>Literno</v>
      </c>
      <c r="C5944" s="6"/>
      <c r="D5944" s="6" t="s">
        <v>5930</v>
      </c>
      <c r="E5944" s="7" t="s">
        <v>5931</v>
      </c>
    </row>
    <row r="5945">
      <c r="A5945" s="4" t="s">
        <v>6029</v>
      </c>
      <c r="B5945" s="5" t="str">
        <f>IFERROR(__xludf.DUMMYFUNCTION("IF(A5945="""","""",INDEX(SPLIT(A5945,"" ""),COUNTA(SPLIT(A5945,"" ""))))"),"Vitulazio")</f>
        <v>Vitulazio</v>
      </c>
      <c r="C5945" s="6"/>
      <c r="D5945" s="6" t="s">
        <v>5930</v>
      </c>
      <c r="E5945" s="7" t="s">
        <v>5931</v>
      </c>
    </row>
    <row r="5946">
      <c r="A5946" s="4" t="s">
        <v>6030</v>
      </c>
      <c r="B5946" s="5" t="str">
        <f>IFERROR(__xludf.DUMMYFUNCTION("IF(A5946="""","""",INDEX(SPLIT(A5946,"" ""),COUNTA(SPLIT(A5946,"" ""))))"),"Massico")</f>
        <v>Massico</v>
      </c>
      <c r="C5946" s="6"/>
      <c r="D5946" s="6" t="s">
        <v>5930</v>
      </c>
      <c r="E5946" s="7" t="s">
        <v>5931</v>
      </c>
    </row>
    <row r="5947">
      <c r="A5947" s="4" t="s">
        <v>6031</v>
      </c>
      <c r="B5947" s="5" t="str">
        <f>IFERROR(__xludf.DUMMYFUNCTION("IF(A5947="""","""",INDEX(SPLIT(A5947,"" ""),COUNTA(SPLIT(A5947,"" ""))))"),"Cellole")</f>
        <v>Cellole</v>
      </c>
      <c r="C5947" s="6"/>
      <c r="D5947" s="6" t="s">
        <v>5930</v>
      </c>
      <c r="E5947" s="7" t="s">
        <v>5931</v>
      </c>
    </row>
    <row r="5948">
      <c r="A5948" s="4" t="s">
        <v>6032</v>
      </c>
      <c r="B5948" s="5" t="str">
        <f>IFERROR(__xludf.DUMMYFUNCTION("IF(A5948="""","""",INDEX(SPLIT(A5948,"" ""),COUNTA(SPLIT(A5948,"" ""))))"),"Casapesenna")</f>
        <v>Casapesenna</v>
      </c>
      <c r="C5948" s="6"/>
      <c r="D5948" s="6" t="s">
        <v>5930</v>
      </c>
      <c r="E5948" s="7" t="s">
        <v>5931</v>
      </c>
    </row>
    <row r="5949">
      <c r="A5949" s="4" t="s">
        <v>6033</v>
      </c>
      <c r="B5949" s="5" t="str">
        <f>IFERROR(__xludf.DUMMYFUNCTION("IF(A5949="""","""",INDEX(SPLIT(A5949,"" ""),COUNTA(SPLIT(A5949,"" ""))))"),"Evangelista")</f>
        <v>Evangelista</v>
      </c>
      <c r="C5949" s="6"/>
      <c r="D5949" s="6" t="s">
        <v>5930</v>
      </c>
      <c r="E5949" s="7" t="s">
        <v>5931</v>
      </c>
    </row>
    <row r="5950">
      <c r="A5950" s="4" t="s">
        <v>6034</v>
      </c>
      <c r="B5950" s="5" t="str">
        <f>IFERROR(__xludf.DUMMYFUNCTION("IF(A5950="""","""",INDEX(SPLIT(A5950,"" ""),COUNTA(SPLIT(A5950,"" ""))))"),"Airola")</f>
        <v>Airola</v>
      </c>
      <c r="C5950" s="6"/>
      <c r="D5950" s="6" t="s">
        <v>6035</v>
      </c>
      <c r="E5950" s="7" t="s">
        <v>6036</v>
      </c>
    </row>
    <row r="5951">
      <c r="A5951" s="4" t="s">
        <v>6037</v>
      </c>
      <c r="B5951" s="5" t="str">
        <f>IFERROR(__xludf.DUMMYFUNCTION("IF(A5951="""","""",INDEX(SPLIT(A5951,"" ""),COUNTA(SPLIT(A5951,"" ""))))"),"Amorosi")</f>
        <v>Amorosi</v>
      </c>
      <c r="C5951" s="6"/>
      <c r="D5951" s="6" t="s">
        <v>6035</v>
      </c>
      <c r="E5951" s="7" t="s">
        <v>6036</v>
      </c>
    </row>
    <row r="5952">
      <c r="A5952" s="4" t="s">
        <v>6038</v>
      </c>
      <c r="B5952" s="5" t="str">
        <f>IFERROR(__xludf.DUMMYFUNCTION("IF(A5952="""","""",INDEX(SPLIT(A5952,"" ""),COUNTA(SPLIT(A5952,"" ""))))"),"Apice")</f>
        <v>Apice</v>
      </c>
      <c r="C5952" s="6"/>
      <c r="D5952" s="6" t="s">
        <v>6035</v>
      </c>
      <c r="E5952" s="7" t="s">
        <v>6036</v>
      </c>
    </row>
    <row r="5953">
      <c r="A5953" s="4" t="s">
        <v>6039</v>
      </c>
      <c r="B5953" s="5" t="str">
        <f>IFERROR(__xludf.DUMMYFUNCTION("IF(A5953="""","""",INDEX(SPLIT(A5953,"" ""),COUNTA(SPLIT(A5953,"" ""))))"),"Apollosa")</f>
        <v>Apollosa</v>
      </c>
      <c r="C5953" s="6"/>
      <c r="D5953" s="6" t="s">
        <v>6035</v>
      </c>
      <c r="E5953" s="7" t="s">
        <v>6036</v>
      </c>
    </row>
    <row r="5954">
      <c r="A5954" s="4" t="s">
        <v>6040</v>
      </c>
      <c r="B5954" s="5" t="str">
        <f>IFERROR(__xludf.DUMMYFUNCTION("IF(A5954="""","""",INDEX(SPLIT(A5954,"" ""),COUNTA(SPLIT(A5954,"" ""))))"),"Arpaia")</f>
        <v>Arpaia</v>
      </c>
      <c r="C5954" s="6"/>
      <c r="D5954" s="6" t="s">
        <v>6035</v>
      </c>
      <c r="E5954" s="7" t="s">
        <v>6036</v>
      </c>
    </row>
    <row r="5955">
      <c r="A5955" s="4" t="s">
        <v>6041</v>
      </c>
      <c r="B5955" s="5" t="str">
        <f>IFERROR(__xludf.DUMMYFUNCTION("IF(A5955="""","""",INDEX(SPLIT(A5955,"" ""),COUNTA(SPLIT(A5955,"" ""))))"),"Arpaise")</f>
        <v>Arpaise</v>
      </c>
      <c r="C5955" s="6"/>
      <c r="D5955" s="6" t="s">
        <v>6035</v>
      </c>
      <c r="E5955" s="7" t="s">
        <v>6036</v>
      </c>
    </row>
    <row r="5956">
      <c r="A5956" s="4" t="s">
        <v>6042</v>
      </c>
      <c r="B5956" s="5" t="str">
        <f>IFERROR(__xludf.DUMMYFUNCTION("IF(A5956="""","""",INDEX(SPLIT(A5956,"" ""),COUNTA(SPLIT(A5956,"" ""))))"),"Baselice")</f>
        <v>Baselice</v>
      </c>
      <c r="C5956" s="6"/>
      <c r="D5956" s="6" t="s">
        <v>6035</v>
      </c>
      <c r="E5956" s="7" t="s">
        <v>6036</v>
      </c>
    </row>
    <row r="5957">
      <c r="A5957" s="4" t="s">
        <v>6035</v>
      </c>
      <c r="B5957" s="5" t="str">
        <f>IFERROR(__xludf.DUMMYFUNCTION("IF(A5957="""","""",INDEX(SPLIT(A5957,"" ""),COUNTA(SPLIT(A5957,"" ""))))"),"Benevento")</f>
        <v>Benevento</v>
      </c>
      <c r="C5957" s="6"/>
      <c r="D5957" s="6" t="s">
        <v>6035</v>
      </c>
      <c r="E5957" s="7" t="s">
        <v>6036</v>
      </c>
    </row>
    <row r="5958">
      <c r="A5958" s="4" t="s">
        <v>6043</v>
      </c>
      <c r="B5958" s="5" t="str">
        <f>IFERROR(__xludf.DUMMYFUNCTION("IF(A5958="""","""",INDEX(SPLIT(A5958,"" ""),COUNTA(SPLIT(A5958,"" ""))))"),"Bonea")</f>
        <v>Bonea</v>
      </c>
      <c r="C5958" s="6"/>
      <c r="D5958" s="6" t="s">
        <v>6035</v>
      </c>
      <c r="E5958" s="7" t="s">
        <v>6036</v>
      </c>
    </row>
    <row r="5959">
      <c r="A5959" s="4" t="s">
        <v>6044</v>
      </c>
      <c r="B5959" s="5" t="str">
        <f>IFERROR(__xludf.DUMMYFUNCTION("IF(A5959="""","""",INDEX(SPLIT(A5959,"" ""),COUNTA(SPLIT(A5959,"" ""))))"),"Bucciano")</f>
        <v>Bucciano</v>
      </c>
      <c r="C5959" s="6"/>
      <c r="D5959" s="6" t="s">
        <v>6035</v>
      </c>
      <c r="E5959" s="7" t="s">
        <v>6036</v>
      </c>
    </row>
    <row r="5960">
      <c r="A5960" s="4" t="s">
        <v>6045</v>
      </c>
      <c r="B5960" s="5" t="str">
        <f>IFERROR(__xludf.DUMMYFUNCTION("IF(A5960="""","""",INDEX(SPLIT(A5960,"" ""),COUNTA(SPLIT(A5960,"" ""))))"),"Buonalbergo")</f>
        <v>Buonalbergo</v>
      </c>
      <c r="C5960" s="6"/>
      <c r="D5960" s="6" t="s">
        <v>6035</v>
      </c>
      <c r="E5960" s="7" t="s">
        <v>6036</v>
      </c>
    </row>
    <row r="5961">
      <c r="A5961" s="4" t="s">
        <v>6046</v>
      </c>
      <c r="B5961" s="5" t="str">
        <f>IFERROR(__xludf.DUMMYFUNCTION("IF(A5961="""","""",INDEX(SPLIT(A5961,"" ""),COUNTA(SPLIT(A5961,"" ""))))"),"Calvi")</f>
        <v>Calvi</v>
      </c>
      <c r="C5961" s="6"/>
      <c r="D5961" s="6" t="s">
        <v>6035</v>
      </c>
      <c r="E5961" s="7" t="s">
        <v>6036</v>
      </c>
    </row>
    <row r="5962">
      <c r="A5962" s="4" t="s">
        <v>6047</v>
      </c>
      <c r="B5962" s="5" t="str">
        <f>IFERROR(__xludf.DUMMYFUNCTION("IF(A5962="""","""",INDEX(SPLIT(A5962,"" ""),COUNTA(SPLIT(A5962,"" ""))))"),"Campolattaro")</f>
        <v>Campolattaro</v>
      </c>
      <c r="C5962" s="6"/>
      <c r="D5962" s="6" t="s">
        <v>6035</v>
      </c>
      <c r="E5962" s="7" t="s">
        <v>6036</v>
      </c>
    </row>
    <row r="5963">
      <c r="A5963" s="4" t="s">
        <v>6048</v>
      </c>
      <c r="B5963" s="5" t="str">
        <f>IFERROR(__xludf.DUMMYFUNCTION("IF(A5963="""","""",INDEX(SPLIT(A5963,"" ""),COUNTA(SPLIT(A5963,"" ""))))"),"Taburno")</f>
        <v>Taburno</v>
      </c>
      <c r="C5963" s="6"/>
      <c r="D5963" s="6" t="s">
        <v>6035</v>
      </c>
      <c r="E5963" s="7" t="s">
        <v>6036</v>
      </c>
    </row>
    <row r="5964">
      <c r="A5964" s="4" t="s">
        <v>6049</v>
      </c>
      <c r="B5964" s="5" t="str">
        <f>IFERROR(__xludf.DUMMYFUNCTION("IF(A5964="""","""",INDEX(SPLIT(A5964,"" ""),COUNTA(SPLIT(A5964,"" ""))))"),"Casalduni")</f>
        <v>Casalduni</v>
      </c>
      <c r="C5964" s="6"/>
      <c r="D5964" s="6" t="s">
        <v>6035</v>
      </c>
      <c r="E5964" s="7" t="s">
        <v>6036</v>
      </c>
    </row>
    <row r="5965">
      <c r="A5965" s="4" t="s">
        <v>6050</v>
      </c>
      <c r="B5965" s="5" t="str">
        <f>IFERROR(__xludf.DUMMYFUNCTION("IF(A5965="""","""",INDEX(SPLIT(A5965,"" ""),COUNTA(SPLIT(A5965,"" ""))))"),"Miscano")</f>
        <v>Miscano</v>
      </c>
      <c r="C5965" s="6"/>
      <c r="D5965" s="6" t="s">
        <v>6035</v>
      </c>
      <c r="E5965" s="7" t="s">
        <v>6036</v>
      </c>
    </row>
    <row r="5966">
      <c r="A5966" s="4" t="s">
        <v>6051</v>
      </c>
      <c r="B5966" s="5" t="str">
        <f>IFERROR(__xludf.DUMMYFUNCTION("IF(A5966="""","""",INDEX(SPLIT(A5966,"" ""),COUNTA(SPLIT(A5966,"" ""))))"),"Castelpagano")</f>
        <v>Castelpagano</v>
      </c>
      <c r="C5966" s="6"/>
      <c r="D5966" s="6" t="s">
        <v>6035</v>
      </c>
      <c r="E5966" s="7" t="s">
        <v>6036</v>
      </c>
    </row>
    <row r="5967">
      <c r="A5967" s="4" t="s">
        <v>6052</v>
      </c>
      <c r="B5967" s="5" t="str">
        <f>IFERROR(__xludf.DUMMYFUNCTION("IF(A5967="""","""",INDEX(SPLIT(A5967,"" ""),COUNTA(SPLIT(A5967,"" ""))))"),"Castelpoto")</f>
        <v>Castelpoto</v>
      </c>
      <c r="C5967" s="6"/>
      <c r="D5967" s="6" t="s">
        <v>6035</v>
      </c>
      <c r="E5967" s="7" t="s">
        <v>6036</v>
      </c>
    </row>
    <row r="5968">
      <c r="A5968" s="4" t="s">
        <v>6053</v>
      </c>
      <c r="B5968" s="5" t="str">
        <f>IFERROR(__xludf.DUMMYFUNCTION("IF(A5968="""","""",INDEX(SPLIT(A5968,"" ""),COUNTA(SPLIT(A5968,"" ""))))"),"Castelvenere")</f>
        <v>Castelvenere</v>
      </c>
      <c r="C5968" s="6"/>
      <c r="D5968" s="6" t="s">
        <v>6035</v>
      </c>
      <c r="E5968" s="7" t="s">
        <v>6036</v>
      </c>
    </row>
    <row r="5969">
      <c r="A5969" s="4" t="s">
        <v>6054</v>
      </c>
      <c r="B5969" s="5" t="str">
        <f>IFERROR(__xludf.DUMMYFUNCTION("IF(A5969="""","""",INDEX(SPLIT(A5969,"" ""),COUNTA(SPLIT(A5969,"" ""))))"),"Fortore")</f>
        <v>Fortore</v>
      </c>
      <c r="C5969" s="6"/>
      <c r="D5969" s="6" t="s">
        <v>6035</v>
      </c>
      <c r="E5969" s="7" t="s">
        <v>6036</v>
      </c>
    </row>
    <row r="5970">
      <c r="A5970" s="4" t="s">
        <v>6055</v>
      </c>
      <c r="B5970" s="5" t="str">
        <f>IFERROR(__xludf.DUMMYFUNCTION("IF(A5970="""","""",INDEX(SPLIT(A5970,"" ""),COUNTA(SPLIT(A5970,"" ""))))"),"Cautano")</f>
        <v>Cautano</v>
      </c>
      <c r="C5970" s="6"/>
      <c r="D5970" s="6" t="s">
        <v>6035</v>
      </c>
      <c r="E5970" s="7" t="s">
        <v>6036</v>
      </c>
    </row>
    <row r="5971">
      <c r="A5971" s="4" t="s">
        <v>6056</v>
      </c>
      <c r="B5971" s="5" t="str">
        <f>IFERROR(__xludf.DUMMYFUNCTION("IF(A5971="""","""",INDEX(SPLIT(A5971,"" ""),COUNTA(SPLIT(A5971,"" ""))))"),"Ceppaloni")</f>
        <v>Ceppaloni</v>
      </c>
      <c r="C5971" s="6"/>
      <c r="D5971" s="6" t="s">
        <v>6035</v>
      </c>
      <c r="E5971" s="7" t="s">
        <v>6036</v>
      </c>
    </row>
    <row r="5972">
      <c r="A5972" s="4" t="s">
        <v>6057</v>
      </c>
      <c r="B5972" s="5" t="str">
        <f>IFERROR(__xludf.DUMMYFUNCTION("IF(A5972="""","""",INDEX(SPLIT(A5972,"" ""),COUNTA(SPLIT(A5972,"" ""))))"),"Sannita")</f>
        <v>Sannita</v>
      </c>
      <c r="C5972" s="6"/>
      <c r="D5972" s="6" t="s">
        <v>6035</v>
      </c>
      <c r="E5972" s="7" t="s">
        <v>6036</v>
      </c>
    </row>
    <row r="5973">
      <c r="A5973" s="4" t="s">
        <v>6058</v>
      </c>
      <c r="B5973" s="5" t="str">
        <f>IFERROR(__xludf.DUMMYFUNCTION("IF(A5973="""","""",INDEX(SPLIT(A5973,"" ""),COUNTA(SPLIT(A5973,"" ""))))"),"Circello")</f>
        <v>Circello</v>
      </c>
      <c r="C5973" s="6"/>
      <c r="D5973" s="6" t="s">
        <v>6035</v>
      </c>
      <c r="E5973" s="7" t="s">
        <v>6036</v>
      </c>
    </row>
    <row r="5974">
      <c r="A5974" s="4" t="s">
        <v>6059</v>
      </c>
      <c r="B5974" s="5" t="str">
        <f>IFERROR(__xludf.DUMMYFUNCTION("IF(A5974="""","""",INDEX(SPLIT(A5974,"" ""),COUNTA(SPLIT(A5974,"" ""))))"),"Sannita")</f>
        <v>Sannita</v>
      </c>
      <c r="C5974" s="6"/>
      <c r="D5974" s="6" t="s">
        <v>6035</v>
      </c>
      <c r="E5974" s="7" t="s">
        <v>6036</v>
      </c>
    </row>
    <row r="5975">
      <c r="A5975" s="4" t="s">
        <v>6060</v>
      </c>
      <c r="B5975" s="5" t="str">
        <f>IFERROR(__xludf.DUMMYFUNCTION("IF(A5975="""","""",INDEX(SPLIT(A5975,"" ""),COUNTA(SPLIT(A5975,"" ""))))"),"Mutri")</f>
        <v>Mutri</v>
      </c>
      <c r="C5975" s="6"/>
      <c r="D5975" s="6" t="s">
        <v>6035</v>
      </c>
      <c r="E5975" s="7" t="s">
        <v>6036</v>
      </c>
    </row>
    <row r="5976">
      <c r="A5976" s="4" t="s">
        <v>6061</v>
      </c>
      <c r="B5976" s="5" t="str">
        <f>IFERROR(__xludf.DUMMYFUNCTION("IF(A5976="""","""",INDEX(SPLIT(A5976,"" ""),COUNTA(SPLIT(A5976,"" ""))))"),"Dugenta")</f>
        <v>Dugenta</v>
      </c>
      <c r="C5976" s="6"/>
      <c r="D5976" s="6" t="s">
        <v>6035</v>
      </c>
      <c r="E5976" s="7" t="s">
        <v>6036</v>
      </c>
    </row>
    <row r="5977">
      <c r="A5977" s="4" t="s">
        <v>6062</v>
      </c>
      <c r="B5977" s="5" t="str">
        <f>IFERROR(__xludf.DUMMYFUNCTION("IF(A5977="""","""",INDEX(SPLIT(A5977,"" ""),COUNTA(SPLIT(A5977,"" ""))))"),"Durazzano")</f>
        <v>Durazzano</v>
      </c>
      <c r="C5977" s="6"/>
      <c r="D5977" s="6" t="s">
        <v>6035</v>
      </c>
      <c r="E5977" s="7" t="s">
        <v>6036</v>
      </c>
    </row>
    <row r="5978">
      <c r="A5978" s="4" t="s">
        <v>6063</v>
      </c>
      <c r="B5978" s="5" t="str">
        <f>IFERROR(__xludf.DUMMYFUNCTION("IF(A5978="""","""",INDEX(SPLIT(A5978,"" ""),COUNTA(SPLIT(A5978,"" ""))))"),"Faicchio")</f>
        <v>Faicchio</v>
      </c>
      <c r="C5978" s="6"/>
      <c r="D5978" s="6" t="s">
        <v>6035</v>
      </c>
      <c r="E5978" s="7" t="s">
        <v>6036</v>
      </c>
    </row>
    <row r="5979">
      <c r="A5979" s="4" t="s">
        <v>6064</v>
      </c>
      <c r="B5979" s="5" t="str">
        <f>IFERROR(__xludf.DUMMYFUNCTION("IF(A5979="""","""",INDEX(SPLIT(A5979,"" ""),COUNTA(SPLIT(A5979,"" ""))))"),"Foglianise")</f>
        <v>Foglianise</v>
      </c>
      <c r="C5979" s="6"/>
      <c r="D5979" s="6" t="s">
        <v>6035</v>
      </c>
      <c r="E5979" s="7" t="s">
        <v>6036</v>
      </c>
    </row>
    <row r="5980">
      <c r="A5980" s="4" t="s">
        <v>6065</v>
      </c>
      <c r="B5980" s="5" t="str">
        <f>IFERROR(__xludf.DUMMYFUNCTION("IF(A5980="""","""",INDEX(SPLIT(A5980,"" ""),COUNTA(SPLIT(A5980,"" ""))))"),"Fortore")</f>
        <v>Fortore</v>
      </c>
      <c r="C5980" s="6"/>
      <c r="D5980" s="6" t="s">
        <v>6035</v>
      </c>
      <c r="E5980" s="7" t="s">
        <v>6036</v>
      </c>
    </row>
    <row r="5981">
      <c r="A5981" s="4" t="s">
        <v>6066</v>
      </c>
      <c r="B5981" s="5" t="str">
        <f>IFERROR(__xludf.DUMMYFUNCTION("IF(A5981="""","""",INDEX(SPLIT(A5981,"" ""),COUNTA(SPLIT(A5981,"" ""))))"),"Forchia")</f>
        <v>Forchia</v>
      </c>
      <c r="C5981" s="6"/>
      <c r="D5981" s="6" t="s">
        <v>6035</v>
      </c>
      <c r="E5981" s="7" t="s">
        <v>6036</v>
      </c>
    </row>
    <row r="5982">
      <c r="A5982" s="4" t="s">
        <v>6067</v>
      </c>
      <c r="B5982" s="5" t="str">
        <f>IFERROR(__xludf.DUMMYFUNCTION("IF(A5982="""","""",INDEX(SPLIT(A5982,"" ""),COUNTA(SPLIT(A5982,"" ""))))"),"l'Abate")</f>
        <v>l'Abate</v>
      </c>
      <c r="C5982" s="6"/>
      <c r="D5982" s="6" t="s">
        <v>6035</v>
      </c>
      <c r="E5982" s="7" t="s">
        <v>6036</v>
      </c>
    </row>
    <row r="5983">
      <c r="A5983" s="4" t="s">
        <v>6068</v>
      </c>
      <c r="B5983" s="5" t="str">
        <f>IFERROR(__xludf.DUMMYFUNCTION("IF(A5983="""","""",INDEX(SPLIT(A5983,"" ""),COUNTA(SPLIT(A5983,"" ""))))"),"Monforte")</f>
        <v>Monforte</v>
      </c>
      <c r="C5983" s="6"/>
      <c r="D5983" s="6" t="s">
        <v>6035</v>
      </c>
      <c r="E5983" s="7" t="s">
        <v>6036</v>
      </c>
    </row>
    <row r="5984">
      <c r="A5984" s="4" t="s">
        <v>6069</v>
      </c>
      <c r="B5984" s="5" t="str">
        <f>IFERROR(__xludf.DUMMYFUNCTION("IF(A5984="""","""",INDEX(SPLIT(A5984,"" ""),COUNTA(SPLIT(A5984,"" ""))))"),"Telesino")</f>
        <v>Telesino</v>
      </c>
      <c r="C5984" s="6"/>
      <c r="D5984" s="6" t="s">
        <v>6035</v>
      </c>
      <c r="E5984" s="7" t="s">
        <v>6036</v>
      </c>
    </row>
    <row r="5985">
      <c r="A5985" s="4" t="s">
        <v>6070</v>
      </c>
      <c r="B5985" s="5" t="str">
        <f>IFERROR(__xludf.DUMMYFUNCTION("IF(A5985="""","""",INDEX(SPLIT(A5985,"" ""),COUNTA(SPLIT(A5985,"" ""))))"),"Schiavoni")</f>
        <v>Schiavoni</v>
      </c>
      <c r="C5985" s="6"/>
      <c r="D5985" s="6" t="s">
        <v>6035</v>
      </c>
      <c r="E5985" s="7" t="s">
        <v>6036</v>
      </c>
    </row>
    <row r="5986">
      <c r="A5986" s="4" t="s">
        <v>6071</v>
      </c>
      <c r="B5986" s="5" t="str">
        <f>IFERROR(__xludf.DUMMYFUNCTION("IF(A5986="""","""",INDEX(SPLIT(A5986,"" ""),COUNTA(SPLIT(A5986,"" ""))))"),"Sanframondi")</f>
        <v>Sanframondi</v>
      </c>
      <c r="C5986" s="6"/>
      <c r="D5986" s="6" t="s">
        <v>6035</v>
      </c>
      <c r="E5986" s="7" t="s">
        <v>6036</v>
      </c>
    </row>
    <row r="5987">
      <c r="A5987" s="4" t="s">
        <v>6072</v>
      </c>
      <c r="B5987" s="5" t="str">
        <f>IFERROR(__xludf.DUMMYFUNCTION("IF(A5987="""","""",INDEX(SPLIT(A5987,"" ""),COUNTA(SPLIT(A5987,"" ""))))"),"Limatola")</f>
        <v>Limatola</v>
      </c>
      <c r="C5987" s="6"/>
      <c r="D5987" s="6" t="s">
        <v>6035</v>
      </c>
      <c r="E5987" s="7" t="s">
        <v>6036</v>
      </c>
    </row>
    <row r="5988">
      <c r="A5988" s="4" t="s">
        <v>6073</v>
      </c>
      <c r="B5988" s="5" t="str">
        <f>IFERROR(__xludf.DUMMYFUNCTION("IF(A5988="""","""",INDEX(SPLIT(A5988,"" ""),COUNTA(SPLIT(A5988,"" ""))))"),"Melizzano")</f>
        <v>Melizzano</v>
      </c>
      <c r="C5988" s="6"/>
      <c r="D5988" s="6" t="s">
        <v>6035</v>
      </c>
      <c r="E5988" s="7" t="s">
        <v>6036</v>
      </c>
    </row>
    <row r="5989">
      <c r="A5989" s="4" t="s">
        <v>6074</v>
      </c>
      <c r="B5989" s="5" t="str">
        <f>IFERROR(__xludf.DUMMYFUNCTION("IF(A5989="""","""",INDEX(SPLIT(A5989,"" ""),COUNTA(SPLIT(A5989,"" ""))))"),"Moiano")</f>
        <v>Moiano</v>
      </c>
      <c r="C5989" s="6"/>
      <c r="D5989" s="6" t="s">
        <v>6035</v>
      </c>
      <c r="E5989" s="7" t="s">
        <v>6036</v>
      </c>
    </row>
    <row r="5990">
      <c r="A5990" s="4" t="s">
        <v>6075</v>
      </c>
      <c r="B5990" s="5" t="str">
        <f>IFERROR(__xludf.DUMMYFUNCTION("IF(A5990="""","""",INDEX(SPLIT(A5990,"" ""),COUNTA(SPLIT(A5990,"" ""))))"),"Molinara")</f>
        <v>Molinara</v>
      </c>
      <c r="C5990" s="6"/>
      <c r="D5990" s="6" t="s">
        <v>6035</v>
      </c>
      <c r="E5990" s="7" t="s">
        <v>6036</v>
      </c>
    </row>
    <row r="5991">
      <c r="A5991" s="4" t="s">
        <v>6076</v>
      </c>
      <c r="B5991" s="5" t="str">
        <f>IFERROR(__xludf.DUMMYFUNCTION("IF(A5991="""","""",INDEX(SPLIT(A5991,"" ""),COUNTA(SPLIT(A5991,"" ""))))"),"Fortore")</f>
        <v>Fortore</v>
      </c>
      <c r="C5991" s="6"/>
      <c r="D5991" s="6" t="s">
        <v>6035</v>
      </c>
      <c r="E5991" s="7" t="s">
        <v>6036</v>
      </c>
    </row>
    <row r="5992">
      <c r="A5992" s="4" t="s">
        <v>6077</v>
      </c>
      <c r="B5992" s="5" t="str">
        <f>IFERROR(__xludf.DUMMYFUNCTION("IF(A5992="""","""",INDEX(SPLIT(A5992,"" ""),COUNTA(SPLIT(A5992,"" ""))))"),"Montesarchio")</f>
        <v>Montesarchio</v>
      </c>
      <c r="C5992" s="6"/>
      <c r="D5992" s="6" t="s">
        <v>6035</v>
      </c>
      <c r="E5992" s="7" t="s">
        <v>6036</v>
      </c>
    </row>
    <row r="5993">
      <c r="A5993" s="4" t="s">
        <v>6078</v>
      </c>
      <c r="B5993" s="5" t="str">
        <f>IFERROR(__xludf.DUMMYFUNCTION("IF(A5993="""","""",INDEX(SPLIT(A5993,"" ""),COUNTA(SPLIT(A5993,"" ""))))"),"Morcone")</f>
        <v>Morcone</v>
      </c>
      <c r="C5993" s="6"/>
      <c r="D5993" s="6" t="s">
        <v>6035</v>
      </c>
      <c r="E5993" s="7" t="s">
        <v>6036</v>
      </c>
    </row>
    <row r="5994">
      <c r="A5994" s="4" t="s">
        <v>6079</v>
      </c>
      <c r="B5994" s="5" t="str">
        <f>IFERROR(__xludf.DUMMYFUNCTION("IF(A5994="""","""",INDEX(SPLIT(A5994,"" ""),COUNTA(SPLIT(A5994,"" ""))))"),"Paduli")</f>
        <v>Paduli</v>
      </c>
      <c r="C5994" s="6"/>
      <c r="D5994" s="6" t="s">
        <v>6035</v>
      </c>
      <c r="E5994" s="7" t="s">
        <v>6036</v>
      </c>
    </row>
    <row r="5995">
      <c r="A5995" s="4" t="s">
        <v>6080</v>
      </c>
      <c r="B5995" s="5" t="str">
        <f>IFERROR(__xludf.DUMMYFUNCTION("IF(A5995="""","""",INDEX(SPLIT(A5995,"" ""),COUNTA(SPLIT(A5995,"" ""))))"),"Veiano")</f>
        <v>Veiano</v>
      </c>
      <c r="C5995" s="6"/>
      <c r="D5995" s="6" t="s">
        <v>6035</v>
      </c>
      <c r="E5995" s="7" t="s">
        <v>6036</v>
      </c>
    </row>
    <row r="5996">
      <c r="A5996" s="4" t="s">
        <v>6081</v>
      </c>
      <c r="B5996" s="5" t="str">
        <f>IFERROR(__xludf.DUMMYFUNCTION("IF(A5996="""","""",INDEX(SPLIT(A5996,"" ""),COUNTA(SPLIT(A5996,"" ""))))"),"Pannarano")</f>
        <v>Pannarano</v>
      </c>
      <c r="C5996" s="6"/>
      <c r="D5996" s="6" t="s">
        <v>6035</v>
      </c>
      <c r="E5996" s="7" t="s">
        <v>6036</v>
      </c>
    </row>
    <row r="5997">
      <c r="A5997" s="4" t="s">
        <v>6082</v>
      </c>
      <c r="B5997" s="5" t="str">
        <f>IFERROR(__xludf.DUMMYFUNCTION("IF(A5997="""","""",INDEX(SPLIT(A5997,"" ""),COUNTA(SPLIT(A5997,"" ""))))"),"Paolisi")</f>
        <v>Paolisi</v>
      </c>
      <c r="C5997" s="6"/>
      <c r="D5997" s="6" t="s">
        <v>6035</v>
      </c>
      <c r="E5997" s="7" t="s">
        <v>6036</v>
      </c>
    </row>
    <row r="5998">
      <c r="A5998" s="4" t="s">
        <v>6083</v>
      </c>
      <c r="B5998" s="5" t="str">
        <f>IFERROR(__xludf.DUMMYFUNCTION("IF(A5998="""","""",INDEX(SPLIT(A5998,"" ""),COUNTA(SPLIT(A5998,"" ""))))"),"Paupisi")</f>
        <v>Paupisi</v>
      </c>
      <c r="C5998" s="6"/>
      <c r="D5998" s="6" t="s">
        <v>6035</v>
      </c>
      <c r="E5998" s="7" t="s">
        <v>6036</v>
      </c>
    </row>
    <row r="5999">
      <c r="A5999" s="4" t="s">
        <v>6084</v>
      </c>
      <c r="B5999" s="5" t="str">
        <f>IFERROR(__xludf.DUMMYFUNCTION("IF(A5999="""","""",INDEX(SPLIT(A5999,"" ""),COUNTA(SPLIT(A5999,"" ""))))"),"Sannita")</f>
        <v>Sannita</v>
      </c>
      <c r="C5999" s="6"/>
      <c r="D5999" s="6" t="s">
        <v>6035</v>
      </c>
      <c r="E5999" s="7" t="s">
        <v>6036</v>
      </c>
    </row>
    <row r="6000">
      <c r="A6000" s="4" t="s">
        <v>6085</v>
      </c>
      <c r="B6000" s="5" t="str">
        <f>IFERROR(__xludf.DUMMYFUNCTION("IF(A6000="""","""",INDEX(SPLIT(A6000,"" ""),COUNTA(SPLIT(A6000,"" ""))))"),"Pietraroja")</f>
        <v>Pietraroja</v>
      </c>
      <c r="C6000" s="6"/>
      <c r="D6000" s="6" t="s">
        <v>6035</v>
      </c>
      <c r="E6000" s="7" t="s">
        <v>6036</v>
      </c>
    </row>
    <row r="6001">
      <c r="A6001" s="4" t="s">
        <v>6086</v>
      </c>
      <c r="B6001" s="5" t="str">
        <f>IFERROR(__xludf.DUMMYFUNCTION("IF(A6001="""","""",INDEX(SPLIT(A6001,"" ""),COUNTA(SPLIT(A6001,"" ""))))"),"Pietrelcina")</f>
        <v>Pietrelcina</v>
      </c>
      <c r="C6001" s="6"/>
      <c r="D6001" s="6" t="s">
        <v>6035</v>
      </c>
      <c r="E6001" s="7" t="s">
        <v>6036</v>
      </c>
    </row>
    <row r="6002">
      <c r="A6002" s="4" t="s">
        <v>6087</v>
      </c>
      <c r="B6002" s="5" t="str">
        <f>IFERROR(__xludf.DUMMYFUNCTION("IF(A6002="""","""",INDEX(SPLIT(A6002,"" ""),COUNTA(SPLIT(A6002,"" ""))))"),"Ponte")</f>
        <v>Ponte</v>
      </c>
      <c r="C6002" s="6"/>
      <c r="D6002" s="6" t="s">
        <v>6035</v>
      </c>
      <c r="E6002" s="7" t="s">
        <v>6036</v>
      </c>
    </row>
    <row r="6003">
      <c r="A6003" s="4" t="s">
        <v>6088</v>
      </c>
      <c r="B6003" s="5" t="str">
        <f>IFERROR(__xludf.DUMMYFUNCTION("IF(A6003="""","""",INDEX(SPLIT(A6003,"" ""),COUNTA(SPLIT(A6003,"" ""))))"),"Pontelandolfo")</f>
        <v>Pontelandolfo</v>
      </c>
      <c r="C6003" s="6"/>
      <c r="D6003" s="6" t="s">
        <v>6035</v>
      </c>
      <c r="E6003" s="7" t="s">
        <v>6036</v>
      </c>
    </row>
    <row r="6004">
      <c r="A6004" s="4" t="s">
        <v>6089</v>
      </c>
      <c r="B6004" s="5" t="str">
        <f>IFERROR(__xludf.DUMMYFUNCTION("IF(A6004="""","""",INDEX(SPLIT(A6004,"" ""),COUNTA(SPLIT(A6004,"" ""))))"),"Puglianello")</f>
        <v>Puglianello</v>
      </c>
      <c r="C6004" s="6"/>
      <c r="D6004" s="6" t="s">
        <v>6035</v>
      </c>
      <c r="E6004" s="7" t="s">
        <v>6036</v>
      </c>
    </row>
    <row r="6005">
      <c r="A6005" s="4" t="s">
        <v>6090</v>
      </c>
      <c r="B6005" s="5" t="str">
        <f>IFERROR(__xludf.DUMMYFUNCTION("IF(A6005="""","""",INDEX(SPLIT(A6005,"" ""),COUNTA(SPLIT(A6005,"" ""))))"),"Reino")</f>
        <v>Reino</v>
      </c>
      <c r="C6005" s="6"/>
      <c r="D6005" s="6" t="s">
        <v>6035</v>
      </c>
      <c r="E6005" s="7" t="s">
        <v>6036</v>
      </c>
    </row>
    <row r="6006">
      <c r="A6006" s="4" t="s">
        <v>6091</v>
      </c>
      <c r="B6006" s="5" t="str">
        <f>IFERROR(__xludf.DUMMYFUNCTION("IF(A6006="""","""",INDEX(SPLIT(A6006,"" ""),COUNTA(SPLIT(A6006,"" ""))))"),"Galdo")</f>
        <v>Galdo</v>
      </c>
      <c r="C6006" s="6"/>
      <c r="D6006" s="6" t="s">
        <v>6035</v>
      </c>
      <c r="E6006" s="7" t="s">
        <v>6036</v>
      </c>
    </row>
    <row r="6007">
      <c r="A6007" s="4" t="s">
        <v>6092</v>
      </c>
      <c r="B6007" s="5" t="str">
        <f>IFERROR(__xludf.DUMMYFUNCTION("IF(A6007="""","""",INDEX(SPLIT(A6007,"" ""),COUNTA(SPLIT(A6007,"" ""))))"),"Sannio")</f>
        <v>Sannio</v>
      </c>
      <c r="C6007" s="6"/>
      <c r="D6007" s="6" t="s">
        <v>6035</v>
      </c>
      <c r="E6007" s="7" t="s">
        <v>6036</v>
      </c>
    </row>
    <row r="6008">
      <c r="A6008" s="4" t="s">
        <v>6093</v>
      </c>
      <c r="B6008" s="5" t="str">
        <f>IFERROR(__xludf.DUMMYFUNCTION("IF(A6008="""","""",INDEX(SPLIT(A6008,"" ""),COUNTA(SPLIT(A6008,"" ""))))"),"Molara")</f>
        <v>Molara</v>
      </c>
      <c r="C6008" s="6"/>
      <c r="D6008" s="6" t="s">
        <v>6035</v>
      </c>
      <c r="E6008" s="7" t="s">
        <v>6036</v>
      </c>
    </row>
    <row r="6009">
      <c r="A6009" s="4" t="s">
        <v>6094</v>
      </c>
      <c r="B6009" s="5" t="str">
        <f>IFERROR(__xludf.DUMMYFUNCTION("IF(A6009="""","""",INDEX(SPLIT(A6009,"" ""),COUNTA(SPLIT(A6009,"" ""))))"),"Sannio")</f>
        <v>Sannio</v>
      </c>
      <c r="C6009" s="6"/>
      <c r="D6009" s="6" t="s">
        <v>6035</v>
      </c>
      <c r="E6009" s="7" t="s">
        <v>6036</v>
      </c>
    </row>
    <row r="6010">
      <c r="A6010" s="4" t="s">
        <v>6095</v>
      </c>
      <c r="B6010" s="5" t="str">
        <f>IFERROR(__xludf.DUMMYFUNCTION("IF(A6010="""","""",INDEX(SPLIT(A6010,"" ""),COUNTA(SPLIT(A6010,"" ""))))"),"Lorenzello")</f>
        <v>Lorenzello</v>
      </c>
      <c r="C6010" s="6"/>
      <c r="D6010" s="6" t="s">
        <v>6035</v>
      </c>
      <c r="E6010" s="7" t="s">
        <v>6036</v>
      </c>
    </row>
    <row r="6011">
      <c r="A6011" s="4" t="s">
        <v>6096</v>
      </c>
      <c r="B6011" s="5" t="str">
        <f>IFERROR(__xludf.DUMMYFUNCTION("IF(A6011="""","""",INDEX(SPLIT(A6011,"" ""),COUNTA(SPLIT(A6011,"" ""))))"),"Maggiore")</f>
        <v>Maggiore</v>
      </c>
      <c r="C6011" s="6"/>
      <c r="D6011" s="6" t="s">
        <v>6035</v>
      </c>
      <c r="E6011" s="7" t="s">
        <v>6036</v>
      </c>
    </row>
    <row r="6012">
      <c r="A6012" s="4" t="s">
        <v>6097</v>
      </c>
      <c r="B6012" s="5" t="str">
        <f>IFERROR(__xludf.DUMMYFUNCTION("IF(A6012="""","""",INDEX(SPLIT(A6012,"" ""),COUNTA(SPLIT(A6012,"" ""))))"),"Lupo")</f>
        <v>Lupo</v>
      </c>
      <c r="C6012" s="6"/>
      <c r="D6012" s="6" t="s">
        <v>6035</v>
      </c>
      <c r="E6012" s="7" t="s">
        <v>6036</v>
      </c>
    </row>
    <row r="6013">
      <c r="A6013" s="4" t="s">
        <v>6098</v>
      </c>
      <c r="B6013" s="5" t="str">
        <f>IFERROR(__xludf.DUMMYFUNCTION("IF(A6013="""","""",INDEX(SPLIT(A6013,"" ""),COUNTA(SPLIT(A6013,"" ""))))"),"Cavoti")</f>
        <v>Cavoti</v>
      </c>
      <c r="C6013" s="6"/>
      <c r="D6013" s="6" t="s">
        <v>6035</v>
      </c>
      <c r="E6013" s="7" t="s">
        <v>6036</v>
      </c>
    </row>
    <row r="6014">
      <c r="A6014" s="4" t="s">
        <v>6099</v>
      </c>
      <c r="B6014" s="5" t="str">
        <f>IFERROR(__xludf.DUMMYFUNCTION("IF(A6014="""","""",INDEX(SPLIT(A6014,"" ""),COUNTA(SPLIT(A6014,"" ""))))"),"Sannita")</f>
        <v>Sannita</v>
      </c>
      <c r="C6014" s="6"/>
      <c r="D6014" s="6" t="s">
        <v>6035</v>
      </c>
      <c r="E6014" s="7" t="s">
        <v>6036</v>
      </c>
    </row>
    <row r="6015">
      <c r="A6015" s="4" t="s">
        <v>6100</v>
      </c>
      <c r="B6015" s="5" t="str">
        <f>IFERROR(__xludf.DUMMYFUNCTION("IF(A6015="""","""",INDEX(SPLIT(A6015,"" ""),COUNTA(SPLIT(A6015,"" ""))))"),"Nazzaro")</f>
        <v>Nazzaro</v>
      </c>
      <c r="C6015" s="6"/>
      <c r="D6015" s="6" t="s">
        <v>6035</v>
      </c>
      <c r="E6015" s="7" t="s">
        <v>6036</v>
      </c>
    </row>
    <row r="6016">
      <c r="A6016" s="4" t="s">
        <v>6101</v>
      </c>
      <c r="B6016" s="5" t="str">
        <f>IFERROR(__xludf.DUMMYFUNCTION("IF(A6016="""","""",INDEX(SPLIT(A6016,"" ""),COUNTA(SPLIT(A6016,"" ""))))"),"Manfredi")</f>
        <v>Manfredi</v>
      </c>
      <c r="C6016" s="6"/>
      <c r="D6016" s="6" t="s">
        <v>6035</v>
      </c>
      <c r="E6016" s="7" t="s">
        <v>6036</v>
      </c>
    </row>
    <row r="6017">
      <c r="A6017" s="4" t="s">
        <v>6102</v>
      </c>
      <c r="B6017" s="5" t="str">
        <f>IFERROR(__xludf.DUMMYFUNCTION("IF(A6017="""","""",INDEX(SPLIT(A6017,"" ""),COUNTA(SPLIT(A6017,"" ""))))"),"Telesino")</f>
        <v>Telesino</v>
      </c>
      <c r="C6017" s="6"/>
      <c r="D6017" s="6" t="s">
        <v>6035</v>
      </c>
      <c r="E6017" s="7" t="s">
        <v>6036</v>
      </c>
    </row>
    <row r="6018">
      <c r="A6018" s="4" t="s">
        <v>6103</v>
      </c>
      <c r="B6018" s="5" t="str">
        <f>IFERROR(__xludf.DUMMYFUNCTION("IF(A6018="""","""",INDEX(SPLIT(A6018,"" ""),COUNTA(SPLIT(A6018,"" ""))))"),"Sannio")</f>
        <v>Sannio</v>
      </c>
      <c r="C6018" s="6"/>
      <c r="D6018" s="6" t="s">
        <v>6035</v>
      </c>
      <c r="E6018" s="7" t="s">
        <v>6036</v>
      </c>
    </row>
    <row r="6019">
      <c r="A6019" s="4" t="s">
        <v>6104</v>
      </c>
      <c r="B6019" s="5" t="str">
        <f>IFERROR(__xludf.DUMMYFUNCTION("IF(A6019="""","""",INDEX(SPLIT(A6019,"" ""),COUNTA(SPLIT(A6019,"" ""))))"),"Goti")</f>
        <v>Goti</v>
      </c>
      <c r="C6019" s="6"/>
      <c r="D6019" s="6" t="s">
        <v>6035</v>
      </c>
      <c r="E6019" s="7" t="s">
        <v>6036</v>
      </c>
    </row>
    <row r="6020">
      <c r="A6020" s="4" t="s">
        <v>6105</v>
      </c>
      <c r="B6020" s="5" t="str">
        <f>IFERROR(__xludf.DUMMYFUNCTION("IF(A6020="""","""",INDEX(SPLIT(A6020,"" ""),COUNTA(SPLIT(A6020,"" ""))))"),"Cupolo")</f>
        <v>Cupolo</v>
      </c>
      <c r="C6020" s="6"/>
      <c r="D6020" s="6" t="s">
        <v>6035</v>
      </c>
      <c r="E6020" s="7" t="s">
        <v>6036</v>
      </c>
    </row>
    <row r="6021">
      <c r="A6021" s="4" t="s">
        <v>6106</v>
      </c>
      <c r="B6021" s="5" t="str">
        <f>IFERROR(__xludf.DUMMYFUNCTION("IF(A6021="""","""",INDEX(SPLIT(A6021,"" ""),COUNTA(SPLIT(A6021,"" ""))))"),"Sassinoro")</f>
        <v>Sassinoro</v>
      </c>
      <c r="C6021" s="6"/>
      <c r="D6021" s="6" t="s">
        <v>6035</v>
      </c>
      <c r="E6021" s="7" t="s">
        <v>6036</v>
      </c>
    </row>
    <row r="6022">
      <c r="A6022" s="4" t="s">
        <v>6107</v>
      </c>
      <c r="B6022" s="5" t="str">
        <f>IFERROR(__xludf.DUMMYFUNCTION("IF(A6022="""","""",INDEX(SPLIT(A6022,"" ""),COUNTA(SPLIT(A6022,"" ""))))"),"Solopaca")</f>
        <v>Solopaca</v>
      </c>
      <c r="C6022" s="6"/>
      <c r="D6022" s="6" t="s">
        <v>6035</v>
      </c>
      <c r="E6022" s="7" t="s">
        <v>6036</v>
      </c>
    </row>
    <row r="6023">
      <c r="A6023" s="4" t="s">
        <v>6108</v>
      </c>
      <c r="B6023" s="5" t="str">
        <f>IFERROR(__xludf.DUMMYFUNCTION("IF(A6023="""","""",INDEX(SPLIT(A6023,"" ""),COUNTA(SPLIT(A6023,"" ""))))"),"Terme")</f>
        <v>Terme</v>
      </c>
      <c r="C6023" s="6"/>
      <c r="D6023" s="6" t="s">
        <v>6035</v>
      </c>
      <c r="E6023" s="7" t="s">
        <v>6036</v>
      </c>
    </row>
    <row r="6024">
      <c r="A6024" s="4" t="s">
        <v>6109</v>
      </c>
      <c r="B6024" s="5" t="str">
        <f>IFERROR(__xludf.DUMMYFUNCTION("IF(A6024="""","""",INDEX(SPLIT(A6024,"" ""),COUNTA(SPLIT(A6024,"" ""))))"),"Caudio")</f>
        <v>Caudio</v>
      </c>
      <c r="C6024" s="6"/>
      <c r="D6024" s="6" t="s">
        <v>6035</v>
      </c>
      <c r="E6024" s="7" t="s">
        <v>6036</v>
      </c>
    </row>
    <row r="6025">
      <c r="A6025" s="4" t="s">
        <v>6110</v>
      </c>
      <c r="B6025" s="5" t="str">
        <f>IFERROR(__xludf.DUMMYFUNCTION("IF(A6025="""","""",INDEX(SPLIT(A6025,"" ""),COUNTA(SPLIT(A6025,"" ""))))"),"Torrecuso")</f>
        <v>Torrecuso</v>
      </c>
      <c r="C6025" s="6"/>
      <c r="D6025" s="6" t="s">
        <v>6035</v>
      </c>
      <c r="E6025" s="7" t="s">
        <v>6036</v>
      </c>
    </row>
    <row r="6026">
      <c r="A6026" s="4" t="s">
        <v>6111</v>
      </c>
      <c r="B6026" s="5" t="str">
        <f>IFERROR(__xludf.DUMMYFUNCTION("IF(A6026="""","""",INDEX(SPLIT(A6026,"" ""),COUNTA(SPLIT(A6026,"" ""))))"),"Vitulano")</f>
        <v>Vitulano</v>
      </c>
      <c r="C6026" s="6"/>
      <c r="D6026" s="6" t="s">
        <v>6035</v>
      </c>
      <c r="E6026" s="7" t="s">
        <v>6036</v>
      </c>
    </row>
    <row r="6027">
      <c r="A6027" s="4" t="s">
        <v>6112</v>
      </c>
      <c r="B6027" s="5" t="str">
        <f>IFERROR(__xludf.DUMMYFUNCTION("IF(A6027="""","""",INDEX(SPLIT(A6027,"" ""),COUNTA(SPLIT(A6027,"" ""))))"),"Trimonte")</f>
        <v>Trimonte</v>
      </c>
      <c r="C6027" s="6"/>
      <c r="D6027" s="6" t="s">
        <v>6035</v>
      </c>
      <c r="E6027" s="7" t="s">
        <v>6036</v>
      </c>
    </row>
    <row r="6028">
      <c r="A6028" s="4" t="s">
        <v>6113</v>
      </c>
      <c r="B6028" s="5" t="str">
        <f>IFERROR(__xludf.DUMMYFUNCTION("IF(A6028="""","""",INDEX(SPLIT(A6028,"" ""),COUNTA(SPLIT(A6028,"" ""))))"),"Acerra")</f>
        <v>Acerra</v>
      </c>
      <c r="C6028" s="6" t="s">
        <v>6114</v>
      </c>
      <c r="D6028" s="6"/>
      <c r="E6028" s="7" t="s">
        <v>6115</v>
      </c>
    </row>
    <row r="6029">
      <c r="A6029" s="4" t="s">
        <v>6116</v>
      </c>
      <c r="B6029" s="5" t="str">
        <f>IFERROR(__xludf.DUMMYFUNCTION("IF(A6029="""","""",INDEX(SPLIT(A6029,"" ""),COUNTA(SPLIT(A6029,"" ""))))"),"Afragola")</f>
        <v>Afragola</v>
      </c>
      <c r="C6029" s="6" t="s">
        <v>6114</v>
      </c>
      <c r="D6029" s="6"/>
      <c r="E6029" s="7" t="s">
        <v>6115</v>
      </c>
    </row>
    <row r="6030">
      <c r="A6030" s="4" t="s">
        <v>6117</v>
      </c>
      <c r="B6030" s="5" t="str">
        <f>IFERROR(__xludf.DUMMYFUNCTION("IF(A6030="""","""",INDEX(SPLIT(A6030,"" ""),COUNTA(SPLIT(A6030,"" ""))))"),"Agerola")</f>
        <v>Agerola</v>
      </c>
      <c r="C6030" s="6" t="s">
        <v>6114</v>
      </c>
      <c r="D6030" s="6"/>
      <c r="E6030" s="7" t="s">
        <v>6115</v>
      </c>
    </row>
    <row r="6031">
      <c r="A6031" s="4" t="s">
        <v>6118</v>
      </c>
      <c r="B6031" s="5" t="str">
        <f>IFERROR(__xludf.DUMMYFUNCTION("IF(A6031="""","""",INDEX(SPLIT(A6031,"" ""),COUNTA(SPLIT(A6031,"" ""))))"),"Anacapri")</f>
        <v>Anacapri</v>
      </c>
      <c r="C6031" s="6" t="s">
        <v>6114</v>
      </c>
      <c r="D6031" s="6"/>
      <c r="E6031" s="7" t="s">
        <v>6115</v>
      </c>
    </row>
    <row r="6032">
      <c r="A6032" s="4" t="s">
        <v>6119</v>
      </c>
      <c r="B6032" s="5" t="str">
        <f>IFERROR(__xludf.DUMMYFUNCTION("IF(A6032="""","""",INDEX(SPLIT(A6032,"" ""),COUNTA(SPLIT(A6032,"" ""))))"),"Arzano")</f>
        <v>Arzano</v>
      </c>
      <c r="C6032" s="6" t="s">
        <v>6114</v>
      </c>
      <c r="D6032" s="6"/>
      <c r="E6032" s="7" t="s">
        <v>6115</v>
      </c>
    </row>
    <row r="6033">
      <c r="A6033" s="4" t="s">
        <v>6120</v>
      </c>
      <c r="B6033" s="5" t="str">
        <f>IFERROR(__xludf.DUMMYFUNCTION("IF(A6033="""","""",INDEX(SPLIT(A6033,"" ""),COUNTA(SPLIT(A6033,"" ""))))"),"Bacoli")</f>
        <v>Bacoli</v>
      </c>
      <c r="C6033" s="6" t="s">
        <v>6114</v>
      </c>
      <c r="D6033" s="6"/>
      <c r="E6033" s="7" t="s">
        <v>6115</v>
      </c>
    </row>
    <row r="6034">
      <c r="A6034" s="4" t="s">
        <v>6121</v>
      </c>
      <c r="B6034" s="5" t="str">
        <f>IFERROR(__xludf.DUMMYFUNCTION("IF(A6034="""","""",INDEX(SPLIT(A6034,"" ""),COUNTA(SPLIT(A6034,"" ""))))"),"d'Ischia")</f>
        <v>d'Ischia</v>
      </c>
      <c r="C6034" s="6" t="s">
        <v>6114</v>
      </c>
      <c r="D6034" s="6"/>
      <c r="E6034" s="7" t="s">
        <v>6115</v>
      </c>
    </row>
    <row r="6035">
      <c r="A6035" s="4" t="s">
        <v>6122</v>
      </c>
      <c r="B6035" s="5" t="str">
        <f>IFERROR(__xludf.DUMMYFUNCTION("IF(A6035="""","""",INDEX(SPLIT(A6035,"" ""),COUNTA(SPLIT(A6035,"" ""))))"),"Boscoreale")</f>
        <v>Boscoreale</v>
      </c>
      <c r="C6035" s="6" t="s">
        <v>6114</v>
      </c>
      <c r="D6035" s="6"/>
      <c r="E6035" s="7" t="s">
        <v>6115</v>
      </c>
    </row>
    <row r="6036">
      <c r="A6036" s="4" t="s">
        <v>6123</v>
      </c>
      <c r="B6036" s="5" t="str">
        <f>IFERROR(__xludf.DUMMYFUNCTION("IF(A6036="""","""",INDEX(SPLIT(A6036,"" ""),COUNTA(SPLIT(A6036,"" ""))))"),"Boscotrecase")</f>
        <v>Boscotrecase</v>
      </c>
      <c r="C6036" s="6" t="s">
        <v>6114</v>
      </c>
      <c r="D6036" s="6"/>
      <c r="E6036" s="7" t="s">
        <v>6115</v>
      </c>
    </row>
    <row r="6037">
      <c r="A6037" s="4" t="s">
        <v>6124</v>
      </c>
      <c r="B6037" s="5" t="str">
        <f>IFERROR(__xludf.DUMMYFUNCTION("IF(A6037="""","""",INDEX(SPLIT(A6037,"" ""),COUNTA(SPLIT(A6037,"" ""))))"),"Brusciano")</f>
        <v>Brusciano</v>
      </c>
      <c r="C6037" s="6" t="s">
        <v>6114</v>
      </c>
      <c r="D6037" s="6"/>
      <c r="E6037" s="7" t="s">
        <v>6115</v>
      </c>
    </row>
    <row r="6038">
      <c r="A6038" s="4" t="s">
        <v>6125</v>
      </c>
      <c r="B6038" s="5" t="str">
        <f>IFERROR(__xludf.DUMMYFUNCTION("IF(A6038="""","""",INDEX(SPLIT(A6038,"" ""),COUNTA(SPLIT(A6038,"" ""))))"),"Caivano")</f>
        <v>Caivano</v>
      </c>
      <c r="C6038" s="6" t="s">
        <v>6114</v>
      </c>
      <c r="D6038" s="6"/>
      <c r="E6038" s="7" t="s">
        <v>6115</v>
      </c>
    </row>
    <row r="6039">
      <c r="A6039" s="4" t="s">
        <v>6126</v>
      </c>
      <c r="B6039" s="5" t="str">
        <f>IFERROR(__xludf.DUMMYFUNCTION("IF(A6039="""","""",INDEX(SPLIT(A6039,"" ""),COUNTA(SPLIT(A6039,"" ""))))"),"Calvizzano")</f>
        <v>Calvizzano</v>
      </c>
      <c r="C6039" s="6" t="s">
        <v>6114</v>
      </c>
      <c r="D6039" s="6"/>
      <c r="E6039" s="7" t="s">
        <v>6115</v>
      </c>
    </row>
    <row r="6040">
      <c r="A6040" s="4" t="s">
        <v>6127</v>
      </c>
      <c r="B6040" s="5" t="str">
        <f>IFERROR(__xludf.DUMMYFUNCTION("IF(A6040="""","""",INDEX(SPLIT(A6040,"" ""),COUNTA(SPLIT(A6040,"" ""))))"),"Camposano")</f>
        <v>Camposano</v>
      </c>
      <c r="C6040" s="6" t="s">
        <v>6114</v>
      </c>
      <c r="D6040" s="6"/>
      <c r="E6040" s="7" t="s">
        <v>6115</v>
      </c>
    </row>
    <row r="6041">
      <c r="A6041" s="4" t="s">
        <v>6128</v>
      </c>
      <c r="B6041" s="5" t="str">
        <f>IFERROR(__xludf.DUMMYFUNCTION("IF(A6041="""","""",INDEX(SPLIT(A6041,"" ""),COUNTA(SPLIT(A6041,"" ""))))"),"Capri")</f>
        <v>Capri</v>
      </c>
      <c r="C6041" s="6" t="s">
        <v>6114</v>
      </c>
      <c r="D6041" s="6"/>
      <c r="E6041" s="7" t="s">
        <v>6115</v>
      </c>
    </row>
    <row r="6042">
      <c r="A6042" s="4" t="s">
        <v>6129</v>
      </c>
      <c r="B6042" s="5" t="str">
        <f>IFERROR(__xludf.DUMMYFUNCTION("IF(A6042="""","""",INDEX(SPLIT(A6042,"" ""),COUNTA(SPLIT(A6042,"" ""))))"),"Nola")</f>
        <v>Nola</v>
      </c>
      <c r="C6042" s="6" t="s">
        <v>6114</v>
      </c>
      <c r="D6042" s="6"/>
      <c r="E6042" s="7" t="s">
        <v>6115</v>
      </c>
    </row>
    <row r="6043">
      <c r="A6043" s="4" t="s">
        <v>6130</v>
      </c>
      <c r="B6043" s="5" t="str">
        <f>IFERROR(__xludf.DUMMYFUNCTION("IF(A6043="""","""",INDEX(SPLIT(A6043,"" ""),COUNTA(SPLIT(A6043,"" ""))))"),"Cardito")</f>
        <v>Cardito</v>
      </c>
      <c r="C6043" s="6" t="s">
        <v>6114</v>
      </c>
      <c r="D6043" s="6"/>
      <c r="E6043" s="7" t="s">
        <v>6115</v>
      </c>
    </row>
    <row r="6044">
      <c r="A6044" s="4" t="s">
        <v>6131</v>
      </c>
      <c r="B6044" s="5" t="str">
        <f>IFERROR(__xludf.DUMMYFUNCTION("IF(A6044="""","""",INDEX(SPLIT(A6044,"" ""),COUNTA(SPLIT(A6044,"" ""))))"),"Napoli")</f>
        <v>Napoli</v>
      </c>
      <c r="C6044" s="6" t="s">
        <v>6114</v>
      </c>
      <c r="D6044" s="6"/>
      <c r="E6044" s="7" t="s">
        <v>6115</v>
      </c>
    </row>
    <row r="6045">
      <c r="A6045" s="4" t="s">
        <v>6132</v>
      </c>
      <c r="B6045" s="5" t="str">
        <f>IFERROR(__xludf.DUMMYFUNCTION("IF(A6045="""","""",INDEX(SPLIT(A6045,"" ""),COUNTA(SPLIT(A6045,"" ""))))"),"Casamarciano")</f>
        <v>Casamarciano</v>
      </c>
      <c r="C6045" s="6" t="s">
        <v>6114</v>
      </c>
      <c r="D6045" s="6"/>
      <c r="E6045" s="7" t="s">
        <v>6115</v>
      </c>
    </row>
    <row r="6046">
      <c r="A6046" s="4" t="s">
        <v>6133</v>
      </c>
      <c r="B6046" s="5" t="str">
        <f>IFERROR(__xludf.DUMMYFUNCTION("IF(A6046="""","""",INDEX(SPLIT(A6046,"" ""),COUNTA(SPLIT(A6046,"" ""))))"),"Terme")</f>
        <v>Terme</v>
      </c>
      <c r="C6046" s="6" t="s">
        <v>6114</v>
      </c>
      <c r="D6046" s="6"/>
      <c r="E6046" s="7" t="s">
        <v>6115</v>
      </c>
    </row>
    <row r="6047">
      <c r="A6047" s="4" t="s">
        <v>6134</v>
      </c>
      <c r="B6047" s="5" t="str">
        <f>IFERROR(__xludf.DUMMYFUNCTION("IF(A6047="""","""",INDEX(SPLIT(A6047,"" ""),COUNTA(SPLIT(A6047,"" ""))))"),"Casandrino")</f>
        <v>Casandrino</v>
      </c>
      <c r="C6047" s="6" t="s">
        <v>6114</v>
      </c>
      <c r="D6047" s="6"/>
      <c r="E6047" s="7" t="s">
        <v>6115</v>
      </c>
    </row>
    <row r="6048">
      <c r="A6048" s="4" t="s">
        <v>6135</v>
      </c>
      <c r="B6048" s="5" t="str">
        <f>IFERROR(__xludf.DUMMYFUNCTION("IF(A6048="""","""",INDEX(SPLIT(A6048,"" ""),COUNTA(SPLIT(A6048,"" ""))))"),"Casavatore")</f>
        <v>Casavatore</v>
      </c>
      <c r="C6048" s="6" t="s">
        <v>6114</v>
      </c>
      <c r="D6048" s="6"/>
      <c r="E6048" s="7" t="s">
        <v>6115</v>
      </c>
    </row>
    <row r="6049">
      <c r="A6049" s="4" t="s">
        <v>6136</v>
      </c>
      <c r="B6049" s="5" t="str">
        <f>IFERROR(__xludf.DUMMYFUNCTION("IF(A6049="""","""",INDEX(SPLIT(A6049,"" ""),COUNTA(SPLIT(A6049,"" ""))))"),"Napoli")</f>
        <v>Napoli</v>
      </c>
      <c r="C6049" s="6" t="s">
        <v>6114</v>
      </c>
      <c r="D6049" s="6"/>
      <c r="E6049" s="7" t="s">
        <v>6115</v>
      </c>
    </row>
    <row r="6050">
      <c r="A6050" s="4" t="s">
        <v>6137</v>
      </c>
      <c r="B6050" s="5" t="str">
        <f>IFERROR(__xludf.DUMMYFUNCTION("IF(A6050="""","""",INDEX(SPLIT(A6050,"" ""),COUNTA(SPLIT(A6050,"" ""))))"),"Casoria")</f>
        <v>Casoria</v>
      </c>
      <c r="C6050" s="6" t="s">
        <v>6114</v>
      </c>
      <c r="D6050" s="6"/>
      <c r="E6050" s="7" t="s">
        <v>6115</v>
      </c>
    </row>
    <row r="6051">
      <c r="A6051" s="4" t="s">
        <v>6138</v>
      </c>
      <c r="B6051" s="5" t="str">
        <f>IFERROR(__xludf.DUMMYFUNCTION("IF(A6051="""","""",INDEX(SPLIT(A6051,"" ""),COUNTA(SPLIT(A6051,"" ""))))"),"Stabia")</f>
        <v>Stabia</v>
      </c>
      <c r="C6051" s="6" t="s">
        <v>6114</v>
      </c>
      <c r="D6051" s="6"/>
      <c r="E6051" s="7" t="s">
        <v>6115</v>
      </c>
    </row>
    <row r="6052">
      <c r="A6052" s="4" t="s">
        <v>6139</v>
      </c>
      <c r="B6052" s="5" t="str">
        <f>IFERROR(__xludf.DUMMYFUNCTION("IF(A6052="""","""",INDEX(SPLIT(A6052,"" ""),COUNTA(SPLIT(A6052,"" ""))))"),"Cisterna")</f>
        <v>Cisterna</v>
      </c>
      <c r="C6052" s="6" t="s">
        <v>6114</v>
      </c>
      <c r="D6052" s="6"/>
      <c r="E6052" s="7" t="s">
        <v>6115</v>
      </c>
    </row>
    <row r="6053">
      <c r="A6053" s="4" t="s">
        <v>6140</v>
      </c>
      <c r="B6053" s="5" t="str">
        <f>IFERROR(__xludf.DUMMYFUNCTION("IF(A6053="""","""",INDEX(SPLIT(A6053,"" ""),COUNTA(SPLIT(A6053,"" ""))))"),"Cercola")</f>
        <v>Cercola</v>
      </c>
      <c r="C6053" s="6" t="s">
        <v>6114</v>
      </c>
      <c r="D6053" s="6"/>
      <c r="E6053" s="7" t="s">
        <v>6115</v>
      </c>
    </row>
    <row r="6054">
      <c r="A6054" s="4" t="s">
        <v>6141</v>
      </c>
      <c r="B6054" s="5" t="str">
        <f>IFERROR(__xludf.DUMMYFUNCTION("IF(A6054="""","""",INDEX(SPLIT(A6054,"" ""),COUNTA(SPLIT(A6054,"" ""))))"),"Cicciano")</f>
        <v>Cicciano</v>
      </c>
      <c r="C6054" s="6" t="s">
        <v>6114</v>
      </c>
      <c r="D6054" s="6"/>
      <c r="E6054" s="7" t="s">
        <v>6115</v>
      </c>
    </row>
    <row r="6055">
      <c r="A6055" s="4" t="s">
        <v>6142</v>
      </c>
      <c r="B6055" s="5" t="str">
        <f>IFERROR(__xludf.DUMMYFUNCTION("IF(A6055="""","""",INDEX(SPLIT(A6055,"" ""),COUNTA(SPLIT(A6055,"" ""))))"),"Cimitile")</f>
        <v>Cimitile</v>
      </c>
      <c r="C6055" s="6" t="s">
        <v>6114</v>
      </c>
      <c r="D6055" s="6"/>
      <c r="E6055" s="7" t="s">
        <v>6115</v>
      </c>
    </row>
    <row r="6056">
      <c r="A6056" s="4" t="s">
        <v>6143</v>
      </c>
      <c r="B6056" s="5" t="str">
        <f>IFERROR(__xludf.DUMMYFUNCTION("IF(A6056="""","""",INDEX(SPLIT(A6056,"" ""),COUNTA(SPLIT(A6056,"" ""))))"),"Comiziano")</f>
        <v>Comiziano</v>
      </c>
      <c r="C6056" s="6" t="s">
        <v>6114</v>
      </c>
      <c r="D6056" s="6"/>
      <c r="E6056" s="7" t="s">
        <v>6115</v>
      </c>
    </row>
    <row r="6057">
      <c r="A6057" s="4" t="s">
        <v>6144</v>
      </c>
      <c r="B6057" s="5" t="str">
        <f>IFERROR(__xludf.DUMMYFUNCTION("IF(A6057="""","""",INDEX(SPLIT(A6057,"" ""),COUNTA(SPLIT(A6057,"" ""))))"),"Crispano")</f>
        <v>Crispano</v>
      </c>
      <c r="C6057" s="6" t="s">
        <v>6114</v>
      </c>
      <c r="D6057" s="6"/>
      <c r="E6057" s="7" t="s">
        <v>6115</v>
      </c>
    </row>
    <row r="6058">
      <c r="A6058" s="4" t="s">
        <v>6145</v>
      </c>
      <c r="B6058" s="5" t="str">
        <f>IFERROR(__xludf.DUMMYFUNCTION("IF(A6058="""","""",INDEX(SPLIT(A6058,"" ""),COUNTA(SPLIT(A6058,"" ""))))"),"Forio")</f>
        <v>Forio</v>
      </c>
      <c r="C6058" s="6" t="s">
        <v>6114</v>
      </c>
      <c r="D6058" s="6"/>
      <c r="E6058" s="7" t="s">
        <v>6115</v>
      </c>
    </row>
    <row r="6059">
      <c r="A6059" s="4" t="s">
        <v>6146</v>
      </c>
      <c r="B6059" s="5" t="str">
        <f>IFERROR(__xludf.DUMMYFUNCTION("IF(A6059="""","""",INDEX(SPLIT(A6059,"" ""),COUNTA(SPLIT(A6059,"" ""))))"),"Frattamaggiore")</f>
        <v>Frattamaggiore</v>
      </c>
      <c r="C6059" s="6" t="s">
        <v>6114</v>
      </c>
      <c r="D6059" s="6"/>
      <c r="E6059" s="7" t="s">
        <v>6115</v>
      </c>
    </row>
    <row r="6060">
      <c r="A6060" s="4" t="s">
        <v>6147</v>
      </c>
      <c r="B6060" s="5" t="str">
        <f>IFERROR(__xludf.DUMMYFUNCTION("IF(A6060="""","""",INDEX(SPLIT(A6060,"" ""),COUNTA(SPLIT(A6060,"" ""))))"),"Frattaminore")</f>
        <v>Frattaminore</v>
      </c>
      <c r="C6060" s="6" t="s">
        <v>6114</v>
      </c>
      <c r="D6060" s="6"/>
      <c r="E6060" s="7" t="s">
        <v>6115</v>
      </c>
    </row>
    <row r="6061">
      <c r="A6061" s="4" t="s">
        <v>6148</v>
      </c>
      <c r="B6061" s="5" t="str">
        <f>IFERROR(__xludf.DUMMYFUNCTION("IF(A6061="""","""",INDEX(SPLIT(A6061,"" ""),COUNTA(SPLIT(A6061,"" ""))))"),"Campania")</f>
        <v>Campania</v>
      </c>
      <c r="C6061" s="6" t="s">
        <v>6114</v>
      </c>
      <c r="D6061" s="6"/>
      <c r="E6061" s="7" t="s">
        <v>6115</v>
      </c>
    </row>
    <row r="6062">
      <c r="A6062" s="4" t="s">
        <v>6149</v>
      </c>
      <c r="B6062" s="5" t="str">
        <f>IFERROR(__xludf.DUMMYFUNCTION("IF(A6062="""","""",INDEX(SPLIT(A6062,"" ""),COUNTA(SPLIT(A6062,"" ""))))"),"Gragnano")</f>
        <v>Gragnano</v>
      </c>
      <c r="C6062" s="6" t="s">
        <v>6114</v>
      </c>
      <c r="D6062" s="6"/>
      <c r="E6062" s="7" t="s">
        <v>6115</v>
      </c>
    </row>
    <row r="6063">
      <c r="A6063" s="4" t="s">
        <v>6150</v>
      </c>
      <c r="B6063" s="5" t="str">
        <f>IFERROR(__xludf.DUMMYFUNCTION("IF(A6063="""","""",INDEX(SPLIT(A6063,"" ""),COUNTA(SPLIT(A6063,"" ""))))"),"Nevano")</f>
        <v>Nevano</v>
      </c>
      <c r="C6063" s="6" t="s">
        <v>6114</v>
      </c>
      <c r="D6063" s="6"/>
      <c r="E6063" s="7" t="s">
        <v>6115</v>
      </c>
    </row>
    <row r="6064">
      <c r="A6064" s="4" t="s">
        <v>6151</v>
      </c>
      <c r="B6064" s="5" t="str">
        <f>IFERROR(__xludf.DUMMYFUNCTION("IF(A6064="""","""",INDEX(SPLIT(A6064,"" ""),COUNTA(SPLIT(A6064,"" ""))))"),"Ischia")</f>
        <v>Ischia</v>
      </c>
      <c r="C6064" s="6" t="s">
        <v>6114</v>
      </c>
      <c r="D6064" s="6"/>
      <c r="E6064" s="7" t="s">
        <v>6115</v>
      </c>
    </row>
    <row r="6065">
      <c r="A6065" s="4" t="s">
        <v>6152</v>
      </c>
      <c r="B6065" s="5" t="str">
        <f>IFERROR(__xludf.DUMMYFUNCTION("IF(A6065="""","""",INDEX(SPLIT(A6065,"" ""),COUNTA(SPLIT(A6065,"" ""))))"),"Ameno")</f>
        <v>Ameno</v>
      </c>
      <c r="C6065" s="6" t="s">
        <v>6114</v>
      </c>
      <c r="D6065" s="6"/>
      <c r="E6065" s="7" t="s">
        <v>6115</v>
      </c>
    </row>
    <row r="6066">
      <c r="A6066" s="4" t="s">
        <v>6153</v>
      </c>
      <c r="B6066" s="5" t="str">
        <f>IFERROR(__xludf.DUMMYFUNCTION("IF(A6066="""","""",INDEX(SPLIT(A6066,"" ""),COUNTA(SPLIT(A6066,"" ""))))"),"Lettere")</f>
        <v>Lettere</v>
      </c>
      <c r="C6066" s="6" t="s">
        <v>6114</v>
      </c>
      <c r="D6066" s="6"/>
      <c r="E6066" s="7" t="s">
        <v>6115</v>
      </c>
    </row>
    <row r="6067">
      <c r="A6067" s="4" t="s">
        <v>6154</v>
      </c>
      <c r="B6067" s="5" t="str">
        <f>IFERROR(__xludf.DUMMYFUNCTION("IF(A6067="""","""",INDEX(SPLIT(A6067,"" ""),COUNTA(SPLIT(A6067,"" ""))))"),"Liveri")</f>
        <v>Liveri</v>
      </c>
      <c r="C6067" s="6" t="s">
        <v>6114</v>
      </c>
      <c r="D6067" s="6"/>
      <c r="E6067" s="7" t="s">
        <v>6115</v>
      </c>
    </row>
    <row r="6068">
      <c r="A6068" s="4" t="s">
        <v>6155</v>
      </c>
      <c r="B6068" s="5" t="str">
        <f>IFERROR(__xludf.DUMMYFUNCTION("IF(A6068="""","""",INDEX(SPLIT(A6068,"" ""),COUNTA(SPLIT(A6068,"" ""))))"),"Napoli")</f>
        <v>Napoli</v>
      </c>
      <c r="C6068" s="6" t="s">
        <v>6114</v>
      </c>
      <c r="D6068" s="6"/>
      <c r="E6068" s="7" t="s">
        <v>6115</v>
      </c>
    </row>
    <row r="6069">
      <c r="A6069" s="4" t="s">
        <v>6156</v>
      </c>
      <c r="B6069" s="5" t="str">
        <f>IFERROR(__xludf.DUMMYFUNCTION("IF(A6069="""","""",INDEX(SPLIT(A6069,"" ""),COUNTA(SPLIT(A6069,"" ""))))"),"Mariglianella")</f>
        <v>Mariglianella</v>
      </c>
      <c r="C6069" s="6" t="s">
        <v>6114</v>
      </c>
      <c r="D6069" s="6"/>
      <c r="E6069" s="7" t="s">
        <v>6115</v>
      </c>
    </row>
    <row r="6070">
      <c r="A6070" s="4" t="s">
        <v>6157</v>
      </c>
      <c r="B6070" s="5" t="str">
        <f>IFERROR(__xludf.DUMMYFUNCTION("IF(A6070="""","""",INDEX(SPLIT(A6070,"" ""),COUNTA(SPLIT(A6070,"" ""))))"),"Marigliano")</f>
        <v>Marigliano</v>
      </c>
      <c r="C6070" s="6" t="s">
        <v>6114</v>
      </c>
      <c r="D6070" s="6"/>
      <c r="E6070" s="7" t="s">
        <v>6115</v>
      </c>
    </row>
    <row r="6071">
      <c r="A6071" s="4" t="s">
        <v>6158</v>
      </c>
      <c r="B6071" s="5" t="str">
        <f>IFERROR(__xludf.DUMMYFUNCTION("IF(A6071="""","""",INDEX(SPLIT(A6071,"" ""),COUNTA(SPLIT(A6071,"" ""))))"),"Lubrense")</f>
        <v>Lubrense</v>
      </c>
      <c r="C6071" s="6" t="s">
        <v>6114</v>
      </c>
      <c r="D6071" s="6"/>
      <c r="E6071" s="7" t="s">
        <v>6115</v>
      </c>
    </row>
    <row r="6072">
      <c r="A6072" s="4" t="s">
        <v>6159</v>
      </c>
      <c r="B6072" s="5" t="str">
        <f>IFERROR(__xludf.DUMMYFUNCTION("IF(A6072="""","""",INDEX(SPLIT(A6072,"" ""),COUNTA(SPLIT(A6072,"" ""))))"),"Napoli")</f>
        <v>Napoli</v>
      </c>
      <c r="C6072" s="6" t="s">
        <v>6114</v>
      </c>
      <c r="D6072" s="6"/>
      <c r="E6072" s="7" t="s">
        <v>6115</v>
      </c>
    </row>
    <row r="6073">
      <c r="A6073" s="4" t="s">
        <v>6160</v>
      </c>
      <c r="B6073" s="5" t="str">
        <f>IFERROR(__xludf.DUMMYFUNCTION("IF(A6073="""","""",INDEX(SPLIT(A6073,"" ""),COUNTA(SPLIT(A6073,"" ""))))"),"Meta")</f>
        <v>Meta</v>
      </c>
      <c r="C6073" s="6" t="s">
        <v>6114</v>
      </c>
      <c r="D6073" s="6"/>
      <c r="E6073" s="7" t="s">
        <v>6115</v>
      </c>
    </row>
    <row r="6074">
      <c r="A6074" s="4" t="s">
        <v>6161</v>
      </c>
      <c r="B6074" s="5" t="str">
        <f>IFERROR(__xludf.DUMMYFUNCTION("IF(A6074="""","""",INDEX(SPLIT(A6074,"" ""),COUNTA(SPLIT(A6074,"" ""))))"),"Procida")</f>
        <v>Procida</v>
      </c>
      <c r="C6074" s="6" t="s">
        <v>6114</v>
      </c>
      <c r="D6074" s="6"/>
      <c r="E6074" s="7" t="s">
        <v>6115</v>
      </c>
    </row>
    <row r="6075">
      <c r="A6075" s="4" t="s">
        <v>6162</v>
      </c>
      <c r="B6075" s="5" t="str">
        <f>IFERROR(__xludf.DUMMYFUNCTION("IF(A6075="""","""",INDEX(SPLIT(A6075,"" ""),COUNTA(SPLIT(A6075,"" ""))))"),"Napoli")</f>
        <v>Napoli</v>
      </c>
      <c r="C6075" s="6" t="s">
        <v>6114</v>
      </c>
      <c r="D6075" s="6"/>
      <c r="E6075" s="7" t="s">
        <v>6115</v>
      </c>
    </row>
    <row r="6076">
      <c r="A6076" s="4" t="s">
        <v>6114</v>
      </c>
      <c r="B6076" s="5" t="str">
        <f>IFERROR(__xludf.DUMMYFUNCTION("IF(A6076="""","""",INDEX(SPLIT(A6076,"" ""),COUNTA(SPLIT(A6076,"" ""))))"),"Napoli")</f>
        <v>Napoli</v>
      </c>
      <c r="C6076" s="6" t="s">
        <v>6114</v>
      </c>
      <c r="D6076" s="6"/>
      <c r="E6076" s="7" t="s">
        <v>6115</v>
      </c>
    </row>
    <row r="6077">
      <c r="A6077" s="4" t="s">
        <v>6163</v>
      </c>
      <c r="B6077" s="5" t="str">
        <f>IFERROR(__xludf.DUMMYFUNCTION("IF(A6077="""","""",INDEX(SPLIT(A6077,"" ""),COUNTA(SPLIT(A6077,"" ""))))"),"Nola")</f>
        <v>Nola</v>
      </c>
      <c r="C6077" s="6" t="s">
        <v>6114</v>
      </c>
      <c r="D6077" s="6"/>
      <c r="E6077" s="7" t="s">
        <v>6115</v>
      </c>
    </row>
    <row r="6078">
      <c r="A6078" s="4" t="s">
        <v>6164</v>
      </c>
      <c r="B6078" s="5" t="str">
        <f>IFERROR(__xludf.DUMMYFUNCTION("IF(A6078="""","""",INDEX(SPLIT(A6078,"" ""),COUNTA(SPLIT(A6078,"" ""))))"),"Ottaviano")</f>
        <v>Ottaviano</v>
      </c>
      <c r="C6078" s="6" t="s">
        <v>6114</v>
      </c>
      <c r="D6078" s="6"/>
      <c r="E6078" s="7" t="s">
        <v>6115</v>
      </c>
    </row>
    <row r="6079">
      <c r="A6079" s="4" t="s">
        <v>6165</v>
      </c>
      <c r="B6079" s="5" t="str">
        <f>IFERROR(__xludf.DUMMYFUNCTION("IF(A6079="""","""",INDEX(SPLIT(A6079,"" ""),COUNTA(SPLIT(A6079,"" ""))))"),"Campania")</f>
        <v>Campania</v>
      </c>
      <c r="C6079" s="6" t="s">
        <v>6114</v>
      </c>
      <c r="D6079" s="6"/>
      <c r="E6079" s="7" t="s">
        <v>6115</v>
      </c>
    </row>
    <row r="6080">
      <c r="A6080" s="4" t="s">
        <v>6166</v>
      </c>
      <c r="B6080" s="5" t="str">
        <f>IFERROR(__xludf.DUMMYFUNCTION("IF(A6080="""","""",INDEX(SPLIT(A6080,"" ""),COUNTA(SPLIT(A6080,"" ""))))"),"Sorrento")</f>
        <v>Sorrento</v>
      </c>
      <c r="C6080" s="6" t="s">
        <v>6114</v>
      </c>
      <c r="D6080" s="6"/>
      <c r="E6080" s="7" t="s">
        <v>6115</v>
      </c>
    </row>
    <row r="6081">
      <c r="A6081" s="4" t="s">
        <v>6167</v>
      </c>
      <c r="B6081" s="5" t="str">
        <f>IFERROR(__xludf.DUMMYFUNCTION("IF(A6081="""","""",INDEX(SPLIT(A6081,"" ""),COUNTA(SPLIT(A6081,"" ""))))"),"Pimonte")</f>
        <v>Pimonte</v>
      </c>
      <c r="C6081" s="6" t="s">
        <v>6114</v>
      </c>
      <c r="D6081" s="6"/>
      <c r="E6081" s="7" t="s">
        <v>6115</v>
      </c>
    </row>
    <row r="6082">
      <c r="A6082" s="4" t="s">
        <v>6168</v>
      </c>
      <c r="B6082" s="5" t="str">
        <f>IFERROR(__xludf.DUMMYFUNCTION("IF(A6082="""","""",INDEX(SPLIT(A6082,"" ""),COUNTA(SPLIT(A6082,"" ""))))"),"Poggiomarino")</f>
        <v>Poggiomarino</v>
      </c>
      <c r="C6082" s="6" t="s">
        <v>6114</v>
      </c>
      <c r="D6082" s="6"/>
      <c r="E6082" s="7" t="s">
        <v>6115</v>
      </c>
    </row>
    <row r="6083">
      <c r="A6083" s="4" t="s">
        <v>6169</v>
      </c>
      <c r="B6083" s="5" t="str">
        <f>IFERROR(__xludf.DUMMYFUNCTION("IF(A6083="""","""",INDEX(SPLIT(A6083,"" ""),COUNTA(SPLIT(A6083,"" ""))))"),"Trocchia")</f>
        <v>Trocchia</v>
      </c>
      <c r="C6083" s="6" t="s">
        <v>6114</v>
      </c>
      <c r="D6083" s="6"/>
      <c r="E6083" s="7" t="s">
        <v>6115</v>
      </c>
    </row>
    <row r="6084">
      <c r="A6084" s="4" t="s">
        <v>6170</v>
      </c>
      <c r="B6084" s="5" t="str">
        <f>IFERROR(__xludf.DUMMYFUNCTION("IF(A6084="""","""",INDEX(SPLIT(A6084,"" ""),COUNTA(SPLIT(A6084,"" ""))))"),"d'Arco")</f>
        <v>d'Arco</v>
      </c>
      <c r="C6084" s="6" t="s">
        <v>6114</v>
      </c>
      <c r="D6084" s="6"/>
      <c r="E6084" s="7" t="s">
        <v>6115</v>
      </c>
    </row>
    <row r="6085">
      <c r="A6085" s="4" t="s">
        <v>6171</v>
      </c>
      <c r="B6085" s="5" t="str">
        <f>IFERROR(__xludf.DUMMYFUNCTION("IF(A6085="""","""",INDEX(SPLIT(A6085,"" ""),COUNTA(SPLIT(A6085,"" ""))))"),"Pompei")</f>
        <v>Pompei</v>
      </c>
      <c r="C6085" s="6" t="s">
        <v>6114</v>
      </c>
      <c r="D6085" s="6"/>
      <c r="E6085" s="7" t="s">
        <v>6115</v>
      </c>
    </row>
    <row r="6086">
      <c r="A6086" s="4" t="s">
        <v>6172</v>
      </c>
      <c r="B6086" s="5" t="str">
        <f>IFERROR(__xludf.DUMMYFUNCTION("IF(A6086="""","""",INDEX(SPLIT(A6086,"" ""),COUNTA(SPLIT(A6086,"" ""))))"),"Portici")</f>
        <v>Portici</v>
      </c>
      <c r="C6086" s="6" t="s">
        <v>6114</v>
      </c>
      <c r="D6086" s="6"/>
      <c r="E6086" s="7" t="s">
        <v>6115</v>
      </c>
    </row>
    <row r="6087">
      <c r="A6087" s="4" t="s">
        <v>6173</v>
      </c>
      <c r="B6087" s="5" t="str">
        <f>IFERROR(__xludf.DUMMYFUNCTION("IF(A6087="""","""",INDEX(SPLIT(A6087,"" ""),COUNTA(SPLIT(A6087,"" ""))))"),"Pozzuoli")</f>
        <v>Pozzuoli</v>
      </c>
      <c r="C6087" s="6" t="s">
        <v>6114</v>
      </c>
      <c r="D6087" s="6"/>
      <c r="E6087" s="7" t="s">
        <v>6115</v>
      </c>
    </row>
    <row r="6088">
      <c r="A6088" s="4" t="s">
        <v>6174</v>
      </c>
      <c r="B6088" s="5" t="str">
        <f>IFERROR(__xludf.DUMMYFUNCTION("IF(A6088="""","""",INDEX(SPLIT(A6088,"" ""),COUNTA(SPLIT(A6088,"" ""))))"),"Procida")</f>
        <v>Procida</v>
      </c>
      <c r="C6088" s="6" t="s">
        <v>6114</v>
      </c>
      <c r="D6088" s="6"/>
      <c r="E6088" s="7" t="s">
        <v>6115</v>
      </c>
    </row>
    <row r="6089">
      <c r="A6089" s="4" t="s">
        <v>6175</v>
      </c>
      <c r="B6089" s="5" t="str">
        <f>IFERROR(__xludf.DUMMYFUNCTION("IF(A6089="""","""",INDEX(SPLIT(A6089,"" ""),COUNTA(SPLIT(A6089,"" ""))))"),"Qualiano")</f>
        <v>Qualiano</v>
      </c>
      <c r="C6089" s="6" t="s">
        <v>6114</v>
      </c>
      <c r="D6089" s="6"/>
      <c r="E6089" s="7" t="s">
        <v>6115</v>
      </c>
    </row>
    <row r="6090">
      <c r="A6090" s="4" t="s">
        <v>6176</v>
      </c>
      <c r="B6090" s="5" t="str">
        <f>IFERROR(__xludf.DUMMYFUNCTION("IF(A6090="""","""",INDEX(SPLIT(A6090,"" ""),COUNTA(SPLIT(A6090,"" ""))))"),"Quarto")</f>
        <v>Quarto</v>
      </c>
      <c r="C6090" s="6" t="s">
        <v>6114</v>
      </c>
      <c r="D6090" s="6"/>
      <c r="E6090" s="7" t="s">
        <v>6115</v>
      </c>
    </row>
    <row r="6091">
      <c r="A6091" s="4" t="s">
        <v>6177</v>
      </c>
      <c r="B6091" s="5" t="str">
        <f>IFERROR(__xludf.DUMMYFUNCTION("IF(A6091="""","""",INDEX(SPLIT(A6091,"" ""),COUNTA(SPLIT(A6091,"" ""))))"),"Ercolano")</f>
        <v>Ercolano</v>
      </c>
      <c r="C6091" s="6" t="s">
        <v>6114</v>
      </c>
      <c r="D6091" s="6"/>
      <c r="E6091" s="7" t="s">
        <v>6115</v>
      </c>
    </row>
    <row r="6092">
      <c r="A6092" s="4" t="s">
        <v>6178</v>
      </c>
      <c r="B6092" s="5" t="str">
        <f>IFERROR(__xludf.DUMMYFUNCTION("IF(A6092="""","""",INDEX(SPLIT(A6092,"" ""),COUNTA(SPLIT(A6092,"" ""))))"),"Roccarainola")</f>
        <v>Roccarainola</v>
      </c>
      <c r="C6092" s="6" t="s">
        <v>6114</v>
      </c>
      <c r="D6092" s="6"/>
      <c r="E6092" s="7" t="s">
        <v>6115</v>
      </c>
    </row>
    <row r="6093">
      <c r="A6093" s="4" t="s">
        <v>6179</v>
      </c>
      <c r="B6093" s="5" t="str">
        <f>IFERROR(__xludf.DUMMYFUNCTION("IF(A6093="""","""",INDEX(SPLIT(A6093,"" ""),COUNTA(SPLIT(A6093,"" ""))))"),"Vesuviano")</f>
        <v>Vesuviano</v>
      </c>
      <c r="C6093" s="6" t="s">
        <v>6114</v>
      </c>
      <c r="D6093" s="6"/>
      <c r="E6093" s="7" t="s">
        <v>6115</v>
      </c>
    </row>
    <row r="6094">
      <c r="A6094" s="4" t="s">
        <v>6180</v>
      </c>
      <c r="B6094" s="5" t="str">
        <f>IFERROR(__xludf.DUMMYFUNCTION("IF(A6094="""","""",INDEX(SPLIT(A6094,"" ""),COUNTA(SPLIT(A6094,"" ""))))"),"Cremano")</f>
        <v>Cremano</v>
      </c>
      <c r="C6094" s="6" t="s">
        <v>6114</v>
      </c>
      <c r="D6094" s="6"/>
      <c r="E6094" s="7" t="s">
        <v>6115</v>
      </c>
    </row>
    <row r="6095">
      <c r="A6095" s="4" t="s">
        <v>6181</v>
      </c>
      <c r="B6095" s="5" t="str">
        <f>IFERROR(__xludf.DUMMYFUNCTION("IF(A6095="""","""",INDEX(SPLIT(A6095,"" ""),COUNTA(SPLIT(A6095,"" ""))))"),"Vesuviano")</f>
        <v>Vesuviano</v>
      </c>
      <c r="C6095" s="6" t="s">
        <v>6114</v>
      </c>
      <c r="D6095" s="6"/>
      <c r="E6095" s="7" t="s">
        <v>6115</v>
      </c>
    </row>
    <row r="6096">
      <c r="A6096" s="4" t="s">
        <v>6182</v>
      </c>
      <c r="B6096" s="5" t="str">
        <f>IFERROR(__xludf.DUMMYFUNCTION("IF(A6096="""","""",INDEX(SPLIT(A6096,"" ""),COUNTA(SPLIT(A6096,"" ""))))"),"Sito")</f>
        <v>Sito</v>
      </c>
      <c r="C6096" s="6" t="s">
        <v>6114</v>
      </c>
      <c r="D6096" s="6"/>
      <c r="E6096" s="7" t="s">
        <v>6115</v>
      </c>
    </row>
    <row r="6097">
      <c r="A6097" s="4" t="s">
        <v>6183</v>
      </c>
      <c r="B6097" s="5" t="str">
        <f>IFERROR(__xludf.DUMMYFUNCTION("IF(A6097="""","""",INDEX(SPLIT(A6097,"" ""),COUNTA(SPLIT(A6097,"" ""))))"),"Vesuvio")</f>
        <v>Vesuvio</v>
      </c>
      <c r="C6097" s="6" t="s">
        <v>6114</v>
      </c>
      <c r="D6097" s="6"/>
      <c r="E6097" s="7" t="s">
        <v>6115</v>
      </c>
    </row>
    <row r="6098">
      <c r="A6098" s="4" t="s">
        <v>6184</v>
      </c>
      <c r="B6098" s="5" t="str">
        <f>IFERROR(__xludf.DUMMYFUNCTION("IF(A6098="""","""",INDEX(SPLIT(A6098,"" ""),COUNTA(SPLIT(A6098,"" ""))))"),"Sant'Agnello")</f>
        <v>Sant'Agnello</v>
      </c>
      <c r="C6098" s="6" t="s">
        <v>6114</v>
      </c>
      <c r="D6098" s="6"/>
      <c r="E6098" s="7" t="s">
        <v>6115</v>
      </c>
    </row>
    <row r="6099">
      <c r="A6099" s="4" t="s">
        <v>6185</v>
      </c>
      <c r="B6099" s="5" t="str">
        <f>IFERROR(__xludf.DUMMYFUNCTION("IF(A6099="""","""",INDEX(SPLIT(A6099,"" ""),COUNTA(SPLIT(A6099,"" ""))))"),"Sant'Anastasia")</f>
        <v>Sant'Anastasia</v>
      </c>
      <c r="C6099" s="6" t="s">
        <v>6114</v>
      </c>
      <c r="D6099" s="6"/>
      <c r="E6099" s="7" t="s">
        <v>6115</v>
      </c>
    </row>
    <row r="6100">
      <c r="A6100" s="4" t="s">
        <v>6186</v>
      </c>
      <c r="B6100" s="5" t="str">
        <f>IFERROR(__xludf.DUMMYFUNCTION("IF(A6100="""","""",INDEX(SPLIT(A6100,"" ""),COUNTA(SPLIT(A6100,"" ""))))"),"Sant'Antimo")</f>
        <v>Sant'Antimo</v>
      </c>
      <c r="C6100" s="6" t="s">
        <v>6114</v>
      </c>
      <c r="D6100" s="6"/>
      <c r="E6100" s="7" t="s">
        <v>6115</v>
      </c>
    </row>
    <row r="6101">
      <c r="A6101" s="4" t="s">
        <v>6187</v>
      </c>
      <c r="B6101" s="5" t="str">
        <f>IFERROR(__xludf.DUMMYFUNCTION("IF(A6101="""","""",INDEX(SPLIT(A6101,"" ""),COUNTA(SPLIT(A6101,"" ""))))"),"Abate")</f>
        <v>Abate</v>
      </c>
      <c r="C6101" s="6" t="s">
        <v>6114</v>
      </c>
      <c r="D6101" s="6"/>
      <c r="E6101" s="7" t="s">
        <v>6115</v>
      </c>
    </row>
    <row r="6102">
      <c r="A6102" s="4" t="s">
        <v>6188</v>
      </c>
      <c r="B6102" s="5" t="str">
        <f>IFERROR(__xludf.DUMMYFUNCTION("IF(A6102="""","""",INDEX(SPLIT(A6102,"" ""),COUNTA(SPLIT(A6102,"" ""))))"),"Vitaliano")</f>
        <v>Vitaliano</v>
      </c>
      <c r="C6102" s="6" t="s">
        <v>6114</v>
      </c>
      <c r="D6102" s="6"/>
      <c r="E6102" s="7" t="s">
        <v>6115</v>
      </c>
    </row>
    <row r="6103">
      <c r="A6103" s="4" t="s">
        <v>6189</v>
      </c>
      <c r="B6103" s="5" t="str">
        <f>IFERROR(__xludf.DUMMYFUNCTION("IF(A6103="""","""",INDEX(SPLIT(A6103,"" ""),COUNTA(SPLIT(A6103,"" ""))))"),"Saviano")</f>
        <v>Saviano</v>
      </c>
      <c r="C6103" s="6" t="s">
        <v>6114</v>
      </c>
      <c r="D6103" s="6"/>
      <c r="E6103" s="7" t="s">
        <v>6115</v>
      </c>
    </row>
    <row r="6104">
      <c r="A6104" s="4" t="s">
        <v>6190</v>
      </c>
      <c r="B6104" s="5" t="str">
        <f>IFERROR(__xludf.DUMMYFUNCTION("IF(A6104="""","""",INDEX(SPLIT(A6104,"" ""),COUNTA(SPLIT(A6104,"" ""))))"),"Scisciano")</f>
        <v>Scisciano</v>
      </c>
      <c r="C6104" s="6" t="s">
        <v>6114</v>
      </c>
      <c r="D6104" s="6"/>
      <c r="E6104" s="7" t="s">
        <v>6115</v>
      </c>
    </row>
    <row r="6105">
      <c r="A6105" s="4" t="s">
        <v>6191</v>
      </c>
      <c r="B6105" s="5" t="str">
        <f>IFERROR(__xludf.DUMMYFUNCTION("IF(A6105="""","""",INDEX(SPLIT(A6105,"" ""),COUNTA(SPLIT(A6105,"" ""))))"),"Fontana")</f>
        <v>Fontana</v>
      </c>
      <c r="C6105" s="6" t="s">
        <v>6114</v>
      </c>
      <c r="D6105" s="6"/>
      <c r="E6105" s="7" t="s">
        <v>6115</v>
      </c>
    </row>
    <row r="6106">
      <c r="A6106" s="4" t="s">
        <v>6192</v>
      </c>
      <c r="B6106" s="5" t="str">
        <f>IFERROR(__xludf.DUMMYFUNCTION("IF(A6106="""","""",INDEX(SPLIT(A6106,"" ""),COUNTA(SPLIT(A6106,"" ""))))"),"Vesuviana")</f>
        <v>Vesuviana</v>
      </c>
      <c r="C6106" s="6" t="s">
        <v>6114</v>
      </c>
      <c r="D6106" s="6"/>
      <c r="E6106" s="7" t="s">
        <v>6115</v>
      </c>
    </row>
    <row r="6107">
      <c r="A6107" s="4" t="s">
        <v>6193</v>
      </c>
      <c r="B6107" s="5" t="str">
        <f>IFERROR(__xludf.DUMMYFUNCTION("IF(A6107="""","""",INDEX(SPLIT(A6107,"" ""),COUNTA(SPLIT(A6107,"" ""))))"),"Sorrento")</f>
        <v>Sorrento</v>
      </c>
      <c r="C6107" s="6" t="s">
        <v>6114</v>
      </c>
      <c r="D6107" s="6"/>
      <c r="E6107" s="7" t="s">
        <v>6115</v>
      </c>
    </row>
    <row r="6108">
      <c r="A6108" s="4" t="s">
        <v>6194</v>
      </c>
      <c r="B6108" s="5" t="str">
        <f>IFERROR(__xludf.DUMMYFUNCTION("IF(A6108="""","""",INDEX(SPLIT(A6108,"" ""),COUNTA(SPLIT(A6108,"" ""))))"),"Striano")</f>
        <v>Striano</v>
      </c>
      <c r="C6108" s="6" t="s">
        <v>6114</v>
      </c>
      <c r="D6108" s="6"/>
      <c r="E6108" s="7" t="s">
        <v>6115</v>
      </c>
    </row>
    <row r="6109">
      <c r="A6109" s="4" t="s">
        <v>6195</v>
      </c>
      <c r="B6109" s="5" t="str">
        <f>IFERROR(__xludf.DUMMYFUNCTION("IF(A6109="""","""",INDEX(SPLIT(A6109,"" ""),COUNTA(SPLIT(A6109,"" ""))))"),"Terzigno")</f>
        <v>Terzigno</v>
      </c>
      <c r="C6109" s="6" t="s">
        <v>6114</v>
      </c>
      <c r="D6109" s="6"/>
      <c r="E6109" s="7" t="s">
        <v>6115</v>
      </c>
    </row>
    <row r="6110">
      <c r="A6110" s="4" t="s">
        <v>6196</v>
      </c>
      <c r="B6110" s="5" t="str">
        <f>IFERROR(__xludf.DUMMYFUNCTION("IF(A6110="""","""",INDEX(SPLIT(A6110,"" ""),COUNTA(SPLIT(A6110,"" ""))))"),"Annunziata")</f>
        <v>Annunziata</v>
      </c>
      <c r="C6110" s="6" t="s">
        <v>6114</v>
      </c>
      <c r="D6110" s="6"/>
      <c r="E6110" s="7" t="s">
        <v>6115</v>
      </c>
    </row>
    <row r="6111">
      <c r="A6111" s="4" t="s">
        <v>6197</v>
      </c>
      <c r="B6111" s="5" t="str">
        <f>IFERROR(__xludf.DUMMYFUNCTION("IF(A6111="""","""",INDEX(SPLIT(A6111,"" ""),COUNTA(SPLIT(A6111,"" ""))))"),"Greco")</f>
        <v>Greco</v>
      </c>
      <c r="C6111" s="6" t="s">
        <v>6114</v>
      </c>
      <c r="D6111" s="6"/>
      <c r="E6111" s="7" t="s">
        <v>6115</v>
      </c>
    </row>
    <row r="6112">
      <c r="A6112" s="4" t="s">
        <v>6198</v>
      </c>
      <c r="B6112" s="5" t="str">
        <f>IFERROR(__xludf.DUMMYFUNCTION("IF(A6112="""","""",INDEX(SPLIT(A6112,"" ""),COUNTA(SPLIT(A6112,"" ""))))"),"Tufino")</f>
        <v>Tufino</v>
      </c>
      <c r="C6112" s="6" t="s">
        <v>6114</v>
      </c>
      <c r="D6112" s="6"/>
      <c r="E6112" s="7" t="s">
        <v>6115</v>
      </c>
    </row>
    <row r="6113">
      <c r="A6113" s="4" t="s">
        <v>6199</v>
      </c>
      <c r="B6113" s="5" t="str">
        <f>IFERROR(__xludf.DUMMYFUNCTION("IF(A6113="""","""",INDEX(SPLIT(A6113,"" ""),COUNTA(SPLIT(A6113,"" ""))))"),"Equense")</f>
        <v>Equense</v>
      </c>
      <c r="C6113" s="6" t="s">
        <v>6114</v>
      </c>
      <c r="D6113" s="6"/>
      <c r="E6113" s="7" t="s">
        <v>6115</v>
      </c>
    </row>
    <row r="6114">
      <c r="A6114" s="4" t="s">
        <v>6200</v>
      </c>
      <c r="B6114" s="5" t="str">
        <f>IFERROR(__xludf.DUMMYFUNCTION("IF(A6114="""","""",INDEX(SPLIT(A6114,"" ""),COUNTA(SPLIT(A6114,"" ""))))"),"Villaricca")</f>
        <v>Villaricca</v>
      </c>
      <c r="C6114" s="6" t="s">
        <v>6114</v>
      </c>
      <c r="D6114" s="6"/>
      <c r="E6114" s="7" t="s">
        <v>6115</v>
      </c>
    </row>
    <row r="6115">
      <c r="A6115" s="4" t="s">
        <v>6201</v>
      </c>
      <c r="B6115" s="5" t="str">
        <f>IFERROR(__xludf.DUMMYFUNCTION("IF(A6115="""","""",INDEX(SPLIT(A6115,"" ""),COUNTA(SPLIT(A6115,"" ""))))"),"Visciano")</f>
        <v>Visciano</v>
      </c>
      <c r="C6115" s="6" t="s">
        <v>6114</v>
      </c>
      <c r="D6115" s="6"/>
      <c r="E6115" s="7" t="s">
        <v>6115</v>
      </c>
    </row>
    <row r="6116">
      <c r="A6116" s="4" t="s">
        <v>6202</v>
      </c>
      <c r="B6116" s="5" t="str">
        <f>IFERROR(__xludf.DUMMYFUNCTION("IF(A6116="""","""",INDEX(SPLIT(A6116,"" ""),COUNTA(SPLIT(A6116,"" ""))))"),"Volla")</f>
        <v>Volla</v>
      </c>
      <c r="C6116" s="6" t="s">
        <v>6114</v>
      </c>
      <c r="D6116" s="6"/>
      <c r="E6116" s="7" t="s">
        <v>6115</v>
      </c>
    </row>
    <row r="6117">
      <c r="A6117" s="4" t="s">
        <v>6203</v>
      </c>
      <c r="B6117" s="5" t="str">
        <f>IFERROR(__xludf.DUMMYFUNCTION("IF(A6117="""","""",INDEX(SPLIT(A6117,"" ""),COUNTA(SPLIT(A6117,"" ""))))"),"Carità")</f>
        <v>Carità</v>
      </c>
      <c r="C6117" s="6" t="s">
        <v>6114</v>
      </c>
      <c r="D6117" s="6"/>
      <c r="E6117" s="7" t="s">
        <v>6115</v>
      </c>
    </row>
    <row r="6118">
      <c r="A6118" s="4" t="s">
        <v>6204</v>
      </c>
      <c r="B6118" s="5" t="str">
        <f>IFERROR(__xludf.DUMMYFUNCTION("IF(A6118="""","""",INDEX(SPLIT(A6118,"" ""),COUNTA(SPLIT(A6118,"" ""))))"),"Trecase")</f>
        <v>Trecase</v>
      </c>
      <c r="C6118" s="6" t="s">
        <v>6114</v>
      </c>
      <c r="D6118" s="6"/>
      <c r="E6118" s="7" t="s">
        <v>6115</v>
      </c>
    </row>
    <row r="6119">
      <c r="A6119" s="4" t="s">
        <v>6205</v>
      </c>
      <c r="B6119" s="5" t="str">
        <f>IFERROR(__xludf.DUMMYFUNCTION("IF(A6119="""","""",INDEX(SPLIT(A6119,"" ""),COUNTA(SPLIT(A6119,"" ""))))"),"Somma")</f>
        <v>Somma</v>
      </c>
      <c r="C6119" s="6" t="s">
        <v>6114</v>
      </c>
      <c r="D6119" s="6"/>
      <c r="E6119" s="7" t="s">
        <v>6115</v>
      </c>
    </row>
    <row r="6120">
      <c r="A6120" s="4" t="s">
        <v>6206</v>
      </c>
      <c r="B6120" s="5" t="str">
        <f>IFERROR(__xludf.DUMMYFUNCTION("IF(A6120="""","""",INDEX(SPLIT(A6120,"" ""),COUNTA(SPLIT(A6120,"" ""))))"),"Sabato")</f>
        <v>Sabato</v>
      </c>
      <c r="C6120" s="6"/>
      <c r="D6120" s="6" t="s">
        <v>6207</v>
      </c>
      <c r="E6120" s="7" t="s">
        <v>6208</v>
      </c>
    </row>
    <row r="6121">
      <c r="A6121" s="4" t="s">
        <v>6209</v>
      </c>
      <c r="B6121" s="5" t="str">
        <f>IFERROR(__xludf.DUMMYFUNCTION("IF(A6121="""","""",INDEX(SPLIT(A6121,"" ""),COUNTA(SPLIT(A6121,"" ""))))"),"Irpina")</f>
        <v>Irpina</v>
      </c>
      <c r="C6121" s="6"/>
      <c r="D6121" s="6" t="s">
        <v>6207</v>
      </c>
      <c r="E6121" s="7" t="s">
        <v>6208</v>
      </c>
    </row>
    <row r="6122">
      <c r="A6122" s="4" t="s">
        <v>6210</v>
      </c>
      <c r="B6122" s="5" t="str">
        <f>IFERROR(__xludf.DUMMYFUNCTION("IF(A6122="""","""",INDEX(SPLIT(A6122,"" ""),COUNTA(SPLIT(A6122,"" ""))))"),"Andretta")</f>
        <v>Andretta</v>
      </c>
      <c r="C6122" s="6"/>
      <c r="D6122" s="6" t="s">
        <v>6207</v>
      </c>
      <c r="E6122" s="7" t="s">
        <v>6208</v>
      </c>
    </row>
    <row r="6123">
      <c r="A6123" s="4" t="s">
        <v>6211</v>
      </c>
      <c r="B6123" s="5" t="str">
        <f>IFERROR(__xludf.DUMMYFUNCTION("IF(A6123="""","""",INDEX(SPLIT(A6123,"" ""),COUNTA(SPLIT(A6123,"" ""))))"),"Aquilonia")</f>
        <v>Aquilonia</v>
      </c>
      <c r="C6123" s="6"/>
      <c r="D6123" s="6" t="s">
        <v>6207</v>
      </c>
      <c r="E6123" s="7" t="s">
        <v>6208</v>
      </c>
    </row>
    <row r="6124">
      <c r="A6124" s="4" t="s">
        <v>6212</v>
      </c>
      <c r="B6124" s="5" t="str">
        <f>IFERROR(__xludf.DUMMYFUNCTION("IF(A6124="""","""",INDEX(SPLIT(A6124,"" ""),COUNTA(SPLIT(A6124,"" ""))))"),"Irpino")</f>
        <v>Irpino</v>
      </c>
      <c r="C6124" s="6"/>
      <c r="D6124" s="6" t="s">
        <v>6207</v>
      </c>
      <c r="E6124" s="7" t="s">
        <v>6208</v>
      </c>
    </row>
    <row r="6125">
      <c r="A6125" s="4" t="s">
        <v>6213</v>
      </c>
      <c r="B6125" s="5" t="str">
        <f>IFERROR(__xludf.DUMMYFUNCTION("IF(A6125="""","""",INDEX(SPLIT(A6125,"" ""),COUNTA(SPLIT(A6125,"" ""))))"),"Atripalda")</f>
        <v>Atripalda</v>
      </c>
      <c r="C6125" s="6"/>
      <c r="D6125" s="6" t="s">
        <v>6207</v>
      </c>
      <c r="E6125" s="7" t="s">
        <v>6208</v>
      </c>
    </row>
    <row r="6126">
      <c r="A6126" s="4" t="s">
        <v>6214</v>
      </c>
      <c r="B6126" s="5" t="str">
        <f>IFERROR(__xludf.DUMMYFUNCTION("IF(A6126="""","""",INDEX(SPLIT(A6126,"" ""),COUNTA(SPLIT(A6126,"" ""))))"),"Avella")</f>
        <v>Avella</v>
      </c>
      <c r="C6126" s="6"/>
      <c r="D6126" s="6" t="s">
        <v>6207</v>
      </c>
      <c r="E6126" s="7" t="s">
        <v>6208</v>
      </c>
    </row>
    <row r="6127">
      <c r="A6127" s="4" t="s">
        <v>6207</v>
      </c>
      <c r="B6127" s="5" t="str">
        <f>IFERROR(__xludf.DUMMYFUNCTION("IF(A6127="""","""",INDEX(SPLIT(A6127,"" ""),COUNTA(SPLIT(A6127,"" ""))))"),"Avellino")</f>
        <v>Avellino</v>
      </c>
      <c r="C6127" s="6"/>
      <c r="D6127" s="6" t="s">
        <v>6207</v>
      </c>
      <c r="E6127" s="7" t="s">
        <v>6208</v>
      </c>
    </row>
    <row r="6128">
      <c r="A6128" s="4" t="s">
        <v>6215</v>
      </c>
      <c r="B6128" s="5" t="str">
        <f>IFERROR(__xludf.DUMMYFUNCTION("IF(A6128="""","""",INDEX(SPLIT(A6128,"" ""),COUNTA(SPLIT(A6128,"" ""))))"),"Irpino")</f>
        <v>Irpino</v>
      </c>
      <c r="C6128" s="6"/>
      <c r="D6128" s="6" t="s">
        <v>6207</v>
      </c>
      <c r="E6128" s="7" t="s">
        <v>6208</v>
      </c>
    </row>
    <row r="6129">
      <c r="A6129" s="4" t="s">
        <v>6216</v>
      </c>
      <c r="B6129" s="5" t="str">
        <f>IFERROR(__xludf.DUMMYFUNCTION("IF(A6129="""","""",INDEX(SPLIT(A6129,"" ""),COUNTA(SPLIT(A6129,"" ""))))"),"Baiano")</f>
        <v>Baiano</v>
      </c>
      <c r="C6129" s="6"/>
      <c r="D6129" s="6" t="s">
        <v>6207</v>
      </c>
      <c r="E6129" s="7" t="s">
        <v>6208</v>
      </c>
    </row>
    <row r="6130">
      <c r="A6130" s="4" t="s">
        <v>6217</v>
      </c>
      <c r="B6130" s="5" t="str">
        <f>IFERROR(__xludf.DUMMYFUNCTION("IF(A6130="""","""",INDEX(SPLIT(A6130,"" ""),COUNTA(SPLIT(A6130,"" ""))))"),"Bisaccia")</f>
        <v>Bisaccia</v>
      </c>
      <c r="C6130" s="6"/>
      <c r="D6130" s="6" t="s">
        <v>6207</v>
      </c>
      <c r="E6130" s="7" t="s">
        <v>6208</v>
      </c>
    </row>
    <row r="6131">
      <c r="A6131" s="4" t="s">
        <v>6218</v>
      </c>
      <c r="B6131" s="5" t="str">
        <f>IFERROR(__xludf.DUMMYFUNCTION("IF(A6131="""","""",INDEX(SPLIT(A6131,"" ""),COUNTA(SPLIT(A6131,"" ""))))"),"Bonito")</f>
        <v>Bonito</v>
      </c>
      <c r="C6131" s="6"/>
      <c r="D6131" s="6" t="s">
        <v>6207</v>
      </c>
      <c r="E6131" s="7" t="s">
        <v>6208</v>
      </c>
    </row>
    <row r="6132">
      <c r="A6132" s="4" t="s">
        <v>6219</v>
      </c>
      <c r="B6132" s="5" t="str">
        <f>IFERROR(__xludf.DUMMYFUNCTION("IF(A6132="""","""",INDEX(SPLIT(A6132,"" ""),COUNTA(SPLIT(A6132,"" ""))))"),"Cairano")</f>
        <v>Cairano</v>
      </c>
      <c r="C6132" s="6"/>
      <c r="D6132" s="6" t="s">
        <v>6207</v>
      </c>
      <c r="E6132" s="7" t="s">
        <v>6208</v>
      </c>
    </row>
    <row r="6133">
      <c r="A6133" s="4" t="s">
        <v>6220</v>
      </c>
      <c r="B6133" s="5" t="str">
        <f>IFERROR(__xludf.DUMMYFUNCTION("IF(A6133="""","""",INDEX(SPLIT(A6133,"" ""),COUNTA(SPLIT(A6133,"" ""))))"),"Calabritto")</f>
        <v>Calabritto</v>
      </c>
      <c r="C6133" s="6"/>
      <c r="D6133" s="6" t="s">
        <v>6207</v>
      </c>
      <c r="E6133" s="7" t="s">
        <v>6208</v>
      </c>
    </row>
    <row r="6134">
      <c r="A6134" s="4" t="s">
        <v>6221</v>
      </c>
      <c r="B6134" s="5" t="str">
        <f>IFERROR(__xludf.DUMMYFUNCTION("IF(A6134="""","""",INDEX(SPLIT(A6134,"" ""),COUNTA(SPLIT(A6134,"" ""))))"),"Calitri")</f>
        <v>Calitri</v>
      </c>
      <c r="C6134" s="6"/>
      <c r="D6134" s="6" t="s">
        <v>6207</v>
      </c>
      <c r="E6134" s="7" t="s">
        <v>6208</v>
      </c>
    </row>
    <row r="6135">
      <c r="A6135" s="4" t="s">
        <v>6222</v>
      </c>
      <c r="B6135" s="5" t="str">
        <f>IFERROR(__xludf.DUMMYFUNCTION("IF(A6135="""","""",INDEX(SPLIT(A6135,"" ""),COUNTA(SPLIT(A6135,"" ""))))"),"Candida")</f>
        <v>Candida</v>
      </c>
      <c r="C6135" s="6"/>
      <c r="D6135" s="6" t="s">
        <v>6207</v>
      </c>
      <c r="E6135" s="7" t="s">
        <v>6208</v>
      </c>
    </row>
    <row r="6136">
      <c r="A6136" s="4" t="s">
        <v>6223</v>
      </c>
      <c r="B6136" s="5" t="str">
        <f>IFERROR(__xludf.DUMMYFUNCTION("IF(A6136="""","""",INDEX(SPLIT(A6136,"" ""),COUNTA(SPLIT(A6136,"" ""))))"),"Caposele")</f>
        <v>Caposele</v>
      </c>
      <c r="C6136" s="6"/>
      <c r="D6136" s="6" t="s">
        <v>6207</v>
      </c>
      <c r="E6136" s="7" t="s">
        <v>6208</v>
      </c>
    </row>
    <row r="6137">
      <c r="A6137" s="4" t="s">
        <v>6224</v>
      </c>
      <c r="B6137" s="5" t="str">
        <f>IFERROR(__xludf.DUMMYFUNCTION("IF(A6137="""","""",INDEX(SPLIT(A6137,"" ""),COUNTA(SPLIT(A6137,"" ""))))"),"Irpina")</f>
        <v>Irpina</v>
      </c>
      <c r="C6137" s="6"/>
      <c r="D6137" s="6" t="s">
        <v>6207</v>
      </c>
      <c r="E6137" s="7" t="s">
        <v>6208</v>
      </c>
    </row>
    <row r="6138">
      <c r="A6138" s="4" t="s">
        <v>6225</v>
      </c>
      <c r="B6138" s="5" t="str">
        <f>IFERROR(__xludf.DUMMYFUNCTION("IF(A6138="""","""",INDEX(SPLIT(A6138,"" ""),COUNTA(SPLIT(A6138,"" ""))))"),"Carife")</f>
        <v>Carife</v>
      </c>
      <c r="C6138" s="6"/>
      <c r="D6138" s="6" t="s">
        <v>6207</v>
      </c>
      <c r="E6138" s="7" t="s">
        <v>6208</v>
      </c>
    </row>
    <row r="6139">
      <c r="A6139" s="4" t="s">
        <v>6226</v>
      </c>
      <c r="B6139" s="5" t="str">
        <f>IFERROR(__xludf.DUMMYFUNCTION("IF(A6139="""","""",INDEX(SPLIT(A6139,"" ""),COUNTA(SPLIT(A6139,"" ""))))"),"Casalbore")</f>
        <v>Casalbore</v>
      </c>
      <c r="C6139" s="6"/>
      <c r="D6139" s="6" t="s">
        <v>6207</v>
      </c>
      <c r="E6139" s="7" t="s">
        <v>6208</v>
      </c>
    </row>
    <row r="6140">
      <c r="A6140" s="4" t="s">
        <v>6227</v>
      </c>
      <c r="B6140" s="5" t="str">
        <f>IFERROR(__xludf.DUMMYFUNCTION("IF(A6140="""","""",INDEX(SPLIT(A6140,"" ""),COUNTA(SPLIT(A6140,"" ""))))"),"Irpino")</f>
        <v>Irpino</v>
      </c>
      <c r="C6140" s="6"/>
      <c r="D6140" s="6" t="s">
        <v>6207</v>
      </c>
      <c r="E6140" s="7" t="s">
        <v>6208</v>
      </c>
    </row>
    <row r="6141">
      <c r="A6141" s="4" t="s">
        <v>6228</v>
      </c>
      <c r="B6141" s="5" t="str">
        <f>IFERROR(__xludf.DUMMYFUNCTION("IF(A6141="""","""",INDEX(SPLIT(A6141,"" ""),COUNTA(SPLIT(A6141,"" ""))))"),"Baronia")</f>
        <v>Baronia</v>
      </c>
      <c r="C6141" s="6"/>
      <c r="D6141" s="6" t="s">
        <v>6207</v>
      </c>
      <c r="E6141" s="7" t="s">
        <v>6208</v>
      </c>
    </row>
    <row r="6142">
      <c r="A6142" s="4" t="s">
        <v>6229</v>
      </c>
      <c r="B6142" s="5" t="str">
        <f>IFERROR(__xludf.DUMMYFUNCTION("IF(A6142="""","""",INDEX(SPLIT(A6142,"" ""),COUNTA(SPLIT(A6142,"" ""))))"),"Castelfranci")</f>
        <v>Castelfranci</v>
      </c>
      <c r="C6142" s="6"/>
      <c r="D6142" s="6" t="s">
        <v>6207</v>
      </c>
      <c r="E6142" s="7" t="s">
        <v>6208</v>
      </c>
    </row>
    <row r="6143">
      <c r="A6143" s="4" t="s">
        <v>6230</v>
      </c>
      <c r="B6143" s="5" t="str">
        <f>IFERROR(__xludf.DUMMYFUNCTION("IF(A6143="""","""",INDEX(SPLIT(A6143,"" ""),COUNTA(SPLIT(A6143,"" ""))))"),"Calore")</f>
        <v>Calore</v>
      </c>
      <c r="C6143" s="6"/>
      <c r="D6143" s="6" t="s">
        <v>6207</v>
      </c>
      <c r="E6143" s="7" t="s">
        <v>6208</v>
      </c>
    </row>
    <row r="6144">
      <c r="A6144" s="4" t="s">
        <v>6231</v>
      </c>
      <c r="B6144" s="5" t="str">
        <f>IFERROR(__xludf.DUMMYFUNCTION("IF(A6144="""","""",INDEX(SPLIT(A6144,"" ""),COUNTA(SPLIT(A6144,"" ""))))"),"Cervinara")</f>
        <v>Cervinara</v>
      </c>
      <c r="C6144" s="6"/>
      <c r="D6144" s="6" t="s">
        <v>6207</v>
      </c>
      <c r="E6144" s="7" t="s">
        <v>6208</v>
      </c>
    </row>
    <row r="6145">
      <c r="A6145" s="4" t="s">
        <v>6232</v>
      </c>
      <c r="B6145" s="5" t="str">
        <f>IFERROR(__xludf.DUMMYFUNCTION("IF(A6145="""","""",INDEX(SPLIT(A6145,"" ""),COUNTA(SPLIT(A6145,"" ""))))"),"Cesinali")</f>
        <v>Cesinali</v>
      </c>
      <c r="C6145" s="6"/>
      <c r="D6145" s="6" t="s">
        <v>6207</v>
      </c>
      <c r="E6145" s="7" t="s">
        <v>6208</v>
      </c>
    </row>
    <row r="6146">
      <c r="A6146" s="4" t="s">
        <v>6233</v>
      </c>
      <c r="B6146" s="5" t="str">
        <f>IFERROR(__xludf.DUMMYFUNCTION("IF(A6146="""","""",INDEX(SPLIT(A6146,"" ""),COUNTA(SPLIT(A6146,"" ""))))"),"Chianche")</f>
        <v>Chianche</v>
      </c>
      <c r="C6146" s="6"/>
      <c r="D6146" s="6" t="s">
        <v>6207</v>
      </c>
      <c r="E6146" s="7" t="s">
        <v>6208</v>
      </c>
    </row>
    <row r="6147">
      <c r="A6147" s="4" t="s">
        <v>6234</v>
      </c>
      <c r="B6147" s="5" t="str">
        <f>IFERROR(__xludf.DUMMYFUNCTION("IF(A6147="""","""",INDEX(SPLIT(A6147,"" ""),COUNTA(SPLIT(A6147,"" ""))))"),"Domenico")</f>
        <v>Domenico</v>
      </c>
      <c r="C6147" s="6"/>
      <c r="D6147" s="6" t="s">
        <v>6207</v>
      </c>
      <c r="E6147" s="7" t="s">
        <v>6208</v>
      </c>
    </row>
    <row r="6148">
      <c r="A6148" s="4" t="s">
        <v>6235</v>
      </c>
      <c r="B6148" s="5" t="str">
        <f>IFERROR(__xludf.DUMMYFUNCTION("IF(A6148="""","""",INDEX(SPLIT(A6148,"" ""),COUNTA(SPLIT(A6148,"" ""))))"),"Contrada")</f>
        <v>Contrada</v>
      </c>
      <c r="C6148" s="6"/>
      <c r="D6148" s="6" t="s">
        <v>6207</v>
      </c>
      <c r="E6148" s="7" t="s">
        <v>6208</v>
      </c>
    </row>
    <row r="6149">
      <c r="A6149" s="4" t="s">
        <v>6236</v>
      </c>
      <c r="B6149" s="5" t="str">
        <f>IFERROR(__xludf.DUMMYFUNCTION("IF(A6149="""","""",INDEX(SPLIT(A6149,"" ""),COUNTA(SPLIT(A6149,"" ""))))"),"Campania")</f>
        <v>Campania</v>
      </c>
      <c r="C6149" s="6"/>
      <c r="D6149" s="6" t="s">
        <v>6207</v>
      </c>
      <c r="E6149" s="7" t="s">
        <v>6208</v>
      </c>
    </row>
    <row r="6150">
      <c r="A6150" s="4" t="s">
        <v>6237</v>
      </c>
      <c r="B6150" s="5" t="str">
        <f>IFERROR(__xludf.DUMMYFUNCTION("IF(A6150="""","""",INDEX(SPLIT(A6150,"" ""),COUNTA(SPLIT(A6150,"" ""))))"),"Domicella")</f>
        <v>Domicella</v>
      </c>
      <c r="C6150" s="6"/>
      <c r="D6150" s="6" t="s">
        <v>6207</v>
      </c>
      <c r="E6150" s="7" t="s">
        <v>6208</v>
      </c>
    </row>
    <row r="6151">
      <c r="A6151" s="4" t="s">
        <v>6238</v>
      </c>
      <c r="B6151" s="5" t="str">
        <f>IFERROR(__xludf.DUMMYFUNCTION("IF(A6151="""","""",INDEX(SPLIT(A6151,"" ""),COUNTA(SPLIT(A6151,"" ""))))"),"Flumeri")</f>
        <v>Flumeri</v>
      </c>
      <c r="C6151" s="6"/>
      <c r="D6151" s="6" t="s">
        <v>6207</v>
      </c>
      <c r="E6151" s="7" t="s">
        <v>6208</v>
      </c>
    </row>
    <row r="6152">
      <c r="A6152" s="4" t="s">
        <v>6239</v>
      </c>
      <c r="B6152" s="5" t="str">
        <f>IFERROR(__xludf.DUMMYFUNCTION("IF(A6152="""","""",INDEX(SPLIT(A6152,"" ""),COUNTA(SPLIT(A6152,"" ""))))"),"Fontanarosa")</f>
        <v>Fontanarosa</v>
      </c>
      <c r="C6152" s="6"/>
      <c r="D6152" s="6" t="s">
        <v>6207</v>
      </c>
      <c r="E6152" s="7" t="s">
        <v>6208</v>
      </c>
    </row>
    <row r="6153">
      <c r="A6153" s="4" t="s">
        <v>6240</v>
      </c>
      <c r="B6153" s="5" t="str">
        <f>IFERROR(__xludf.DUMMYFUNCTION("IF(A6153="""","""",INDEX(SPLIT(A6153,"" ""),COUNTA(SPLIT(A6153,"" ""))))"),"Forino")</f>
        <v>Forino</v>
      </c>
      <c r="C6153" s="6"/>
      <c r="D6153" s="6" t="s">
        <v>6207</v>
      </c>
      <c r="E6153" s="7" t="s">
        <v>6208</v>
      </c>
    </row>
    <row r="6154">
      <c r="A6154" s="4" t="s">
        <v>6241</v>
      </c>
      <c r="B6154" s="5" t="str">
        <f>IFERROR(__xludf.DUMMYFUNCTION("IF(A6154="""","""",INDEX(SPLIT(A6154,"" ""),COUNTA(SPLIT(A6154,"" ""))))"),"Frigento")</f>
        <v>Frigento</v>
      </c>
      <c r="C6154" s="6"/>
      <c r="D6154" s="6" t="s">
        <v>6207</v>
      </c>
      <c r="E6154" s="7" t="s">
        <v>6208</v>
      </c>
    </row>
    <row r="6155">
      <c r="A6155" s="4" t="s">
        <v>6242</v>
      </c>
      <c r="B6155" s="5" t="str">
        <f>IFERROR(__xludf.DUMMYFUNCTION("IF(A6155="""","""",INDEX(SPLIT(A6155,"" ""),COUNTA(SPLIT(A6155,"" ""))))"),"Gesualdo")</f>
        <v>Gesualdo</v>
      </c>
      <c r="C6155" s="6"/>
      <c r="D6155" s="6" t="s">
        <v>6207</v>
      </c>
      <c r="E6155" s="7" t="s">
        <v>6208</v>
      </c>
    </row>
    <row r="6156">
      <c r="A6156" s="4" t="s">
        <v>6243</v>
      </c>
      <c r="B6156" s="5" t="str">
        <f>IFERROR(__xludf.DUMMYFUNCTION("IF(A6156="""","""",INDEX(SPLIT(A6156,"" ""),COUNTA(SPLIT(A6156,"" ""))))"),"Greci")</f>
        <v>Greci</v>
      </c>
      <c r="C6156" s="6"/>
      <c r="D6156" s="6" t="s">
        <v>6207</v>
      </c>
      <c r="E6156" s="7" t="s">
        <v>6208</v>
      </c>
    </row>
    <row r="6157">
      <c r="A6157" s="4" t="s">
        <v>6244</v>
      </c>
      <c r="B6157" s="5" t="str">
        <f>IFERROR(__xludf.DUMMYFUNCTION("IF(A6157="""","""",INDEX(SPLIT(A6157,"" ""),COUNTA(SPLIT(A6157,"" ""))))"),"Grottaminarda")</f>
        <v>Grottaminarda</v>
      </c>
      <c r="C6157" s="6"/>
      <c r="D6157" s="6" t="s">
        <v>6207</v>
      </c>
      <c r="E6157" s="7" t="s">
        <v>6208</v>
      </c>
    </row>
    <row r="6158">
      <c r="A6158" s="4" t="s">
        <v>6245</v>
      </c>
      <c r="B6158" s="5" t="str">
        <f>IFERROR(__xludf.DUMMYFUNCTION("IF(A6158="""","""",INDEX(SPLIT(A6158,"" ""),COUNTA(SPLIT(A6158,"" ""))))"),"Grottolella")</f>
        <v>Grottolella</v>
      </c>
      <c r="C6158" s="6"/>
      <c r="D6158" s="6" t="s">
        <v>6207</v>
      </c>
      <c r="E6158" s="7" t="s">
        <v>6208</v>
      </c>
    </row>
    <row r="6159">
      <c r="A6159" s="4" t="s">
        <v>6246</v>
      </c>
      <c r="B6159" s="5" t="str">
        <f>IFERROR(__xludf.DUMMYFUNCTION("IF(A6159="""","""",INDEX(SPLIT(A6159,"" ""),COUNTA(SPLIT(A6159,"" ""))))"),"Lombardi")</f>
        <v>Lombardi</v>
      </c>
      <c r="C6159" s="6"/>
      <c r="D6159" s="6" t="s">
        <v>6207</v>
      </c>
      <c r="E6159" s="7" t="s">
        <v>6208</v>
      </c>
    </row>
    <row r="6160">
      <c r="A6160" s="4" t="s">
        <v>6247</v>
      </c>
      <c r="B6160" s="5" t="str">
        <f>IFERROR(__xludf.DUMMYFUNCTION("IF(A6160="""","""",INDEX(SPLIT(A6160,"" ""),COUNTA(SPLIT(A6160,"" ""))))"),"Lacedonia")</f>
        <v>Lacedonia</v>
      </c>
      <c r="C6160" s="6"/>
      <c r="D6160" s="6" t="s">
        <v>6207</v>
      </c>
      <c r="E6160" s="7" t="s">
        <v>6208</v>
      </c>
    </row>
    <row r="6161">
      <c r="A6161" s="4" t="s">
        <v>6248</v>
      </c>
      <c r="B6161" s="5" t="str">
        <f>IFERROR(__xludf.DUMMYFUNCTION("IF(A6161="""","""",INDEX(SPLIT(A6161,"" ""),COUNTA(SPLIT(A6161,"" ""))))"),"Lapio")</f>
        <v>Lapio</v>
      </c>
      <c r="C6161" s="6"/>
      <c r="D6161" s="6" t="s">
        <v>6207</v>
      </c>
      <c r="E6161" s="7" t="s">
        <v>6208</v>
      </c>
    </row>
    <row r="6162">
      <c r="A6162" s="4" t="s">
        <v>6249</v>
      </c>
      <c r="B6162" s="5" t="str">
        <f>IFERROR(__xludf.DUMMYFUNCTION("IF(A6162="""","""",INDEX(SPLIT(A6162,"" ""),COUNTA(SPLIT(A6162,"" ""))))"),"Lauro")</f>
        <v>Lauro</v>
      </c>
      <c r="C6162" s="6"/>
      <c r="D6162" s="6" t="s">
        <v>6207</v>
      </c>
      <c r="E6162" s="7" t="s">
        <v>6208</v>
      </c>
    </row>
    <row r="6163">
      <c r="A6163" s="4" t="s">
        <v>6250</v>
      </c>
      <c r="B6163" s="5" t="str">
        <f>IFERROR(__xludf.DUMMYFUNCTION("IF(A6163="""","""",INDEX(SPLIT(A6163,"" ""),COUNTA(SPLIT(A6163,"" ""))))"),"Lioni")</f>
        <v>Lioni</v>
      </c>
      <c r="C6163" s="6"/>
      <c r="D6163" s="6" t="s">
        <v>6207</v>
      </c>
      <c r="E6163" s="7" t="s">
        <v>6208</v>
      </c>
    </row>
    <row r="6164">
      <c r="A6164" s="4" t="s">
        <v>6251</v>
      </c>
      <c r="B6164" s="5" t="str">
        <f>IFERROR(__xludf.DUMMYFUNCTION("IF(A6164="""","""",INDEX(SPLIT(A6164,"" ""),COUNTA(SPLIT(A6164,"" ""))))"),"Luogosano")</f>
        <v>Luogosano</v>
      </c>
      <c r="C6164" s="6"/>
      <c r="D6164" s="6" t="s">
        <v>6207</v>
      </c>
      <c r="E6164" s="7" t="s">
        <v>6208</v>
      </c>
    </row>
    <row r="6165">
      <c r="A6165" s="4" t="s">
        <v>6252</v>
      </c>
      <c r="B6165" s="5" t="str">
        <f>IFERROR(__xludf.DUMMYFUNCTION("IF(A6165="""","""",INDEX(SPLIT(A6165,"" ""),COUNTA(SPLIT(A6165,"" ""))))"),"Manocalzati")</f>
        <v>Manocalzati</v>
      </c>
      <c r="C6165" s="6"/>
      <c r="D6165" s="6" t="s">
        <v>6207</v>
      </c>
      <c r="E6165" s="7" t="s">
        <v>6208</v>
      </c>
    </row>
    <row r="6166">
      <c r="A6166" s="4" t="s">
        <v>6253</v>
      </c>
      <c r="B6166" s="5" t="str">
        <f>IFERROR(__xludf.DUMMYFUNCTION("IF(A6166="""","""",INDEX(SPLIT(A6166,"" ""),COUNTA(SPLIT(A6166,"" ""))))"),"Nola")</f>
        <v>Nola</v>
      </c>
      <c r="C6166" s="6"/>
      <c r="D6166" s="6" t="s">
        <v>6207</v>
      </c>
      <c r="E6166" s="7" t="s">
        <v>6208</v>
      </c>
    </row>
    <row r="6167">
      <c r="A6167" s="4" t="s">
        <v>6254</v>
      </c>
      <c r="B6167" s="5" t="str">
        <f>IFERROR(__xludf.DUMMYFUNCTION("IF(A6167="""","""",INDEX(SPLIT(A6167,"" ""),COUNTA(SPLIT(A6167,"" ""))))"),"Irpino")</f>
        <v>Irpino</v>
      </c>
      <c r="C6167" s="6"/>
      <c r="D6167" s="6" t="s">
        <v>6207</v>
      </c>
      <c r="E6167" s="7" t="s">
        <v>6208</v>
      </c>
    </row>
    <row r="6168">
      <c r="A6168" s="4" t="s">
        <v>6255</v>
      </c>
      <c r="B6168" s="5" t="str">
        <f>IFERROR(__xludf.DUMMYFUNCTION("IF(A6168="""","""",INDEX(SPLIT(A6168,"" ""),COUNTA(SPLIT(A6168,"" ""))))"),"Mercogliano")</f>
        <v>Mercogliano</v>
      </c>
      <c r="C6168" s="6"/>
      <c r="D6168" s="6" t="s">
        <v>6207</v>
      </c>
      <c r="E6168" s="7" t="s">
        <v>6208</v>
      </c>
    </row>
    <row r="6169">
      <c r="A6169" s="4" t="s">
        <v>6256</v>
      </c>
      <c r="B6169" s="5" t="str">
        <f>IFERROR(__xludf.DUMMYFUNCTION("IF(A6169="""","""",INDEX(SPLIT(A6169,"" ""),COUNTA(SPLIT(A6169,"" ""))))"),"Eclano")</f>
        <v>Eclano</v>
      </c>
      <c r="C6169" s="6"/>
      <c r="D6169" s="6" t="s">
        <v>6207</v>
      </c>
      <c r="E6169" s="7" t="s">
        <v>6208</v>
      </c>
    </row>
    <row r="6170">
      <c r="A6170" s="4" t="s">
        <v>6257</v>
      </c>
      <c r="B6170" s="5" t="str">
        <f>IFERROR(__xludf.DUMMYFUNCTION("IF(A6170="""","""",INDEX(SPLIT(A6170,"" ""),COUNTA(SPLIT(A6170,"" ""))))"),"Montaguto")</f>
        <v>Montaguto</v>
      </c>
      <c r="C6170" s="6"/>
      <c r="D6170" s="6" t="s">
        <v>6207</v>
      </c>
      <c r="E6170" s="7" t="s">
        <v>6208</v>
      </c>
    </row>
    <row r="6171">
      <c r="A6171" s="4" t="s">
        <v>6258</v>
      </c>
      <c r="B6171" s="5" t="str">
        <f>IFERROR(__xludf.DUMMYFUNCTION("IF(A6171="""","""",INDEX(SPLIT(A6171,"" ""),COUNTA(SPLIT(A6171,"" ""))))"),"Irpino")</f>
        <v>Irpino</v>
      </c>
      <c r="C6171" s="6"/>
      <c r="D6171" s="6" t="s">
        <v>6207</v>
      </c>
      <c r="E6171" s="7" t="s">
        <v>6208</v>
      </c>
    </row>
    <row r="6172">
      <c r="A6172" s="4" t="s">
        <v>6259</v>
      </c>
      <c r="B6172" s="5" t="str">
        <f>IFERROR(__xludf.DUMMYFUNCTION("IF(A6172="""","""",INDEX(SPLIT(A6172,"" ""),COUNTA(SPLIT(A6172,"" ""))))"),"Montefalcione")</f>
        <v>Montefalcione</v>
      </c>
      <c r="C6172" s="6"/>
      <c r="D6172" s="6" t="s">
        <v>6207</v>
      </c>
      <c r="E6172" s="7" t="s">
        <v>6208</v>
      </c>
    </row>
    <row r="6173">
      <c r="A6173" s="4" t="s">
        <v>6260</v>
      </c>
      <c r="B6173" s="5" t="str">
        <f>IFERROR(__xludf.DUMMYFUNCTION("IF(A6173="""","""",INDEX(SPLIT(A6173,"" ""),COUNTA(SPLIT(A6173,"" ""))))"),"Irpino")</f>
        <v>Irpino</v>
      </c>
      <c r="C6173" s="6"/>
      <c r="D6173" s="6" t="s">
        <v>6207</v>
      </c>
      <c r="E6173" s="7" t="s">
        <v>6208</v>
      </c>
    </row>
    <row r="6174">
      <c r="A6174" s="4" t="s">
        <v>6261</v>
      </c>
      <c r="B6174" s="5" t="str">
        <f>IFERROR(__xludf.DUMMYFUNCTION("IF(A6174="""","""",INDEX(SPLIT(A6174,"" ""),COUNTA(SPLIT(A6174,"" ""))))"),"Montefredane")</f>
        <v>Montefredane</v>
      </c>
      <c r="C6174" s="6"/>
      <c r="D6174" s="6" t="s">
        <v>6207</v>
      </c>
      <c r="E6174" s="7" t="s">
        <v>6208</v>
      </c>
    </row>
    <row r="6175">
      <c r="A6175" s="4" t="s">
        <v>6262</v>
      </c>
      <c r="B6175" s="5" t="str">
        <f>IFERROR(__xludf.DUMMYFUNCTION("IF(A6175="""","""",INDEX(SPLIT(A6175,"" ""),COUNTA(SPLIT(A6175,"" ""))))"),"Montefusco")</f>
        <v>Montefusco</v>
      </c>
      <c r="C6175" s="6"/>
      <c r="D6175" s="6" t="s">
        <v>6207</v>
      </c>
      <c r="E6175" s="7" t="s">
        <v>6208</v>
      </c>
    </row>
    <row r="6176">
      <c r="A6176" s="4" t="s">
        <v>6263</v>
      </c>
      <c r="B6176" s="5" t="str">
        <f>IFERROR(__xludf.DUMMYFUNCTION("IF(A6176="""","""",INDEX(SPLIT(A6176,"" ""),COUNTA(SPLIT(A6176,"" ""))))"),"Montella")</f>
        <v>Montella</v>
      </c>
      <c r="C6176" s="6"/>
      <c r="D6176" s="6" t="s">
        <v>6207</v>
      </c>
      <c r="E6176" s="7" t="s">
        <v>6208</v>
      </c>
    </row>
    <row r="6177">
      <c r="A6177" s="4" t="s">
        <v>6264</v>
      </c>
      <c r="B6177" s="5" t="str">
        <f>IFERROR(__xludf.DUMMYFUNCTION("IF(A6177="""","""",INDEX(SPLIT(A6177,"" ""),COUNTA(SPLIT(A6177,"" ""))))"),"Montemarano")</f>
        <v>Montemarano</v>
      </c>
      <c r="C6177" s="6"/>
      <c r="D6177" s="6" t="s">
        <v>6207</v>
      </c>
      <c r="E6177" s="7" t="s">
        <v>6208</v>
      </c>
    </row>
    <row r="6178">
      <c r="A6178" s="4" t="s">
        <v>6265</v>
      </c>
      <c r="B6178" s="5" t="str">
        <f>IFERROR(__xludf.DUMMYFUNCTION("IF(A6178="""","""",INDEX(SPLIT(A6178,"" ""),COUNTA(SPLIT(A6178,"" ""))))"),"Montemiletto")</f>
        <v>Montemiletto</v>
      </c>
      <c r="C6178" s="6"/>
      <c r="D6178" s="6" t="s">
        <v>6207</v>
      </c>
      <c r="E6178" s="7" t="s">
        <v>6208</v>
      </c>
    </row>
    <row r="6179">
      <c r="A6179" s="4" t="s">
        <v>6266</v>
      </c>
      <c r="B6179" s="5" t="str">
        <f>IFERROR(__xludf.DUMMYFUNCTION("IF(A6179="""","""",INDEX(SPLIT(A6179,"" ""),COUNTA(SPLIT(A6179,"" ""))))"),"Monteverde")</f>
        <v>Monteverde</v>
      </c>
      <c r="C6179" s="6"/>
      <c r="D6179" s="6" t="s">
        <v>6207</v>
      </c>
      <c r="E6179" s="7" t="s">
        <v>6208</v>
      </c>
    </row>
    <row r="6180">
      <c r="A6180" s="4" t="s">
        <v>6267</v>
      </c>
      <c r="B6180" s="5" t="str">
        <f>IFERROR(__xludf.DUMMYFUNCTION("IF(A6180="""","""",INDEX(SPLIT(A6180,"" ""),COUNTA(SPLIT(A6180,"" ""))))"),"Sanctis")</f>
        <v>Sanctis</v>
      </c>
      <c r="C6180" s="6"/>
      <c r="D6180" s="6" t="s">
        <v>6207</v>
      </c>
      <c r="E6180" s="7" t="s">
        <v>6208</v>
      </c>
    </row>
    <row r="6181">
      <c r="A6181" s="4" t="s">
        <v>6268</v>
      </c>
      <c r="B6181" s="5" t="str">
        <f>IFERROR(__xludf.DUMMYFUNCTION("IF(A6181="""","""",INDEX(SPLIT(A6181,"" ""),COUNTA(SPLIT(A6181,"" ""))))"),"Moschiano")</f>
        <v>Moschiano</v>
      </c>
      <c r="C6181" s="6"/>
      <c r="D6181" s="6" t="s">
        <v>6207</v>
      </c>
      <c r="E6181" s="7" t="s">
        <v>6208</v>
      </c>
    </row>
    <row r="6182">
      <c r="A6182" s="4" t="s">
        <v>6269</v>
      </c>
      <c r="B6182" s="5" t="str">
        <f>IFERROR(__xludf.DUMMYFUNCTION("IF(A6182="""","""",INDEX(SPLIT(A6182,"" ""),COUNTA(SPLIT(A6182,"" ""))))"),"Cardinale")</f>
        <v>Cardinale</v>
      </c>
      <c r="C6182" s="6"/>
      <c r="D6182" s="6" t="s">
        <v>6207</v>
      </c>
      <c r="E6182" s="7" t="s">
        <v>6208</v>
      </c>
    </row>
    <row r="6183">
      <c r="A6183" s="4" t="s">
        <v>6270</v>
      </c>
      <c r="B6183" s="5" t="str">
        <f>IFERROR(__xludf.DUMMYFUNCTION("IF(A6183="""","""",INDEX(SPLIT(A6183,"" ""),COUNTA(SPLIT(A6183,"" ""))))"),"Nusco")</f>
        <v>Nusco</v>
      </c>
      <c r="C6183" s="6"/>
      <c r="D6183" s="6" t="s">
        <v>6207</v>
      </c>
      <c r="E6183" s="7" t="s">
        <v>6208</v>
      </c>
    </row>
    <row r="6184">
      <c r="A6184" s="4" t="s">
        <v>6271</v>
      </c>
      <c r="B6184" s="5" t="str">
        <f>IFERROR(__xludf.DUMMYFUNCTION("IF(A6184="""","""",INDEX(SPLIT(A6184,"" ""),COUNTA(SPLIT(A6184,"" ""))))"),"d'Alpinolo")</f>
        <v>d'Alpinolo</v>
      </c>
      <c r="C6184" s="6"/>
      <c r="D6184" s="6" t="s">
        <v>6207</v>
      </c>
      <c r="E6184" s="7" t="s">
        <v>6208</v>
      </c>
    </row>
    <row r="6185">
      <c r="A6185" s="4" t="s">
        <v>6272</v>
      </c>
      <c r="B6185" s="5" t="str">
        <f>IFERROR(__xludf.DUMMYFUNCTION("IF(A6185="""","""",INDEX(SPLIT(A6185,"" ""),COUNTA(SPLIT(A6185,"" ""))))"),"Lauro")</f>
        <v>Lauro</v>
      </c>
      <c r="C6185" s="6"/>
      <c r="D6185" s="6" t="s">
        <v>6207</v>
      </c>
      <c r="E6185" s="7" t="s">
        <v>6208</v>
      </c>
    </row>
    <row r="6186">
      <c r="A6186" s="4" t="s">
        <v>6273</v>
      </c>
      <c r="B6186" s="5" t="str">
        <f>IFERROR(__xludf.DUMMYFUNCTION("IF(A6186="""","""",INDEX(SPLIT(A6186,"" ""),COUNTA(SPLIT(A6186,"" ""))))"),"Parolise")</f>
        <v>Parolise</v>
      </c>
      <c r="C6186" s="6"/>
      <c r="D6186" s="6" t="s">
        <v>6207</v>
      </c>
      <c r="E6186" s="7" t="s">
        <v>6208</v>
      </c>
    </row>
    <row r="6187">
      <c r="A6187" s="4" t="s">
        <v>6274</v>
      </c>
      <c r="B6187" s="5" t="str">
        <f>IFERROR(__xludf.DUMMYFUNCTION("IF(A6187="""","""",INDEX(SPLIT(A6187,"" ""),COUNTA(SPLIT(A6187,"" ""))))"),"Paternopoli")</f>
        <v>Paternopoli</v>
      </c>
      <c r="C6187" s="6"/>
      <c r="D6187" s="6" t="s">
        <v>6207</v>
      </c>
      <c r="E6187" s="7" t="s">
        <v>6208</v>
      </c>
    </row>
    <row r="6188">
      <c r="A6188" s="4" t="s">
        <v>6275</v>
      </c>
      <c r="B6188" s="5" t="str">
        <f>IFERROR(__xludf.DUMMYFUNCTION("IF(A6188="""","""",INDEX(SPLIT(A6188,"" ""),COUNTA(SPLIT(A6188,"" ""))))"),"Irpino")</f>
        <v>Irpino</v>
      </c>
      <c r="C6188" s="6"/>
      <c r="D6188" s="6" t="s">
        <v>6207</v>
      </c>
      <c r="E6188" s="7" t="s">
        <v>6208</v>
      </c>
    </row>
    <row r="6189">
      <c r="A6189" s="4" t="s">
        <v>6276</v>
      </c>
      <c r="B6189" s="5" t="str">
        <f>IFERROR(__xludf.DUMMYFUNCTION("IF(A6189="""","""",INDEX(SPLIT(A6189,"" ""),COUNTA(SPLIT(A6189,"" ""))))"),"Pietradefusi")</f>
        <v>Pietradefusi</v>
      </c>
      <c r="C6189" s="6"/>
      <c r="D6189" s="6" t="s">
        <v>6207</v>
      </c>
      <c r="E6189" s="7" t="s">
        <v>6208</v>
      </c>
    </row>
    <row r="6190">
      <c r="A6190" s="4" t="s">
        <v>6277</v>
      </c>
      <c r="B6190" s="5" t="str">
        <f>IFERROR(__xludf.DUMMYFUNCTION("IF(A6190="""","""",INDEX(SPLIT(A6190,"" ""),COUNTA(SPLIT(A6190,"" ""))))"),"Pietrastornina")</f>
        <v>Pietrastornina</v>
      </c>
      <c r="C6190" s="6"/>
      <c r="D6190" s="6" t="s">
        <v>6207</v>
      </c>
      <c r="E6190" s="7" t="s">
        <v>6208</v>
      </c>
    </row>
    <row r="6191">
      <c r="A6191" s="4" t="s">
        <v>6278</v>
      </c>
      <c r="B6191" s="5" t="str">
        <f>IFERROR(__xludf.DUMMYFUNCTION("IF(A6191="""","""",INDEX(SPLIT(A6191,"" ""),COUNTA(SPLIT(A6191,"" ""))))"),"Ultra")</f>
        <v>Ultra</v>
      </c>
      <c r="C6191" s="6"/>
      <c r="D6191" s="6" t="s">
        <v>6207</v>
      </c>
      <c r="E6191" s="7" t="s">
        <v>6208</v>
      </c>
    </row>
    <row r="6192">
      <c r="A6192" s="4" t="s">
        <v>6279</v>
      </c>
      <c r="B6192" s="5" t="str">
        <f>IFERROR(__xludf.DUMMYFUNCTION("IF(A6192="""","""",INDEX(SPLIT(A6192,"" ""),COUNTA(SPLIT(A6192,"" ""))))"),"Serra")</f>
        <v>Serra</v>
      </c>
      <c r="C6192" s="6"/>
      <c r="D6192" s="6" t="s">
        <v>6207</v>
      </c>
      <c r="E6192" s="7" t="s">
        <v>6208</v>
      </c>
    </row>
    <row r="6193">
      <c r="A6193" s="4" t="s">
        <v>6280</v>
      </c>
      <c r="B6193" s="5" t="str">
        <f>IFERROR(__xludf.DUMMYFUNCTION("IF(A6193="""","""",INDEX(SPLIT(A6193,"" ""),COUNTA(SPLIT(A6193,"" ""))))"),"Quadrelle")</f>
        <v>Quadrelle</v>
      </c>
      <c r="C6193" s="6"/>
      <c r="D6193" s="6" t="s">
        <v>6207</v>
      </c>
      <c r="E6193" s="7" t="s">
        <v>6208</v>
      </c>
    </row>
    <row r="6194">
      <c r="A6194" s="4" t="s">
        <v>6281</v>
      </c>
      <c r="B6194" s="5" t="str">
        <f>IFERROR(__xludf.DUMMYFUNCTION("IF(A6194="""","""",INDEX(SPLIT(A6194,"" ""),COUNTA(SPLIT(A6194,"" ""))))"),"Quindici")</f>
        <v>Quindici</v>
      </c>
      <c r="C6194" s="6"/>
      <c r="D6194" s="6" t="s">
        <v>6207</v>
      </c>
      <c r="E6194" s="7" t="s">
        <v>6208</v>
      </c>
    </row>
    <row r="6195">
      <c r="A6195" s="4" t="s">
        <v>6282</v>
      </c>
      <c r="B6195" s="5" t="str">
        <f>IFERROR(__xludf.DUMMYFUNCTION("IF(A6195="""","""",INDEX(SPLIT(A6195,"" ""),COUNTA(SPLIT(A6195,"" ""))))"),"Roccabascerana")</f>
        <v>Roccabascerana</v>
      </c>
      <c r="C6195" s="6"/>
      <c r="D6195" s="6" t="s">
        <v>6207</v>
      </c>
      <c r="E6195" s="7" t="s">
        <v>6208</v>
      </c>
    </row>
    <row r="6196">
      <c r="A6196" s="4" t="s">
        <v>6283</v>
      </c>
      <c r="B6196" s="5" t="str">
        <f>IFERROR(__xludf.DUMMYFUNCTION("IF(A6196="""","""",INDEX(SPLIT(A6196,"" ""),COUNTA(SPLIT(A6196,"" ""))))"),"Felice")</f>
        <v>Felice</v>
      </c>
      <c r="C6196" s="6"/>
      <c r="D6196" s="6" t="s">
        <v>6207</v>
      </c>
      <c r="E6196" s="7" t="s">
        <v>6208</v>
      </c>
    </row>
    <row r="6197">
      <c r="A6197" s="4" t="s">
        <v>6284</v>
      </c>
      <c r="B6197" s="5" t="str">
        <f>IFERROR(__xludf.DUMMYFUNCTION("IF(A6197="""","""",INDEX(SPLIT(A6197,"" ""),COUNTA(SPLIT(A6197,"" ""))))"),"Rotondi")</f>
        <v>Rotondi</v>
      </c>
      <c r="C6197" s="6"/>
      <c r="D6197" s="6" t="s">
        <v>6207</v>
      </c>
      <c r="E6197" s="7" t="s">
        <v>6208</v>
      </c>
    </row>
    <row r="6198">
      <c r="A6198" s="4" t="s">
        <v>6285</v>
      </c>
      <c r="B6198" s="5" t="str">
        <f>IFERROR(__xludf.DUMMYFUNCTION("IF(A6198="""","""",INDEX(SPLIT(A6198,"" ""),COUNTA(SPLIT(A6198,"" ""))))"),"Irpina")</f>
        <v>Irpina</v>
      </c>
      <c r="C6198" s="6"/>
      <c r="D6198" s="6" t="s">
        <v>6207</v>
      </c>
      <c r="E6198" s="7" t="s">
        <v>6208</v>
      </c>
    </row>
    <row r="6199">
      <c r="A6199" s="4" t="s">
        <v>6286</v>
      </c>
      <c r="B6199" s="5" t="str">
        <f>IFERROR(__xludf.DUMMYFUNCTION("IF(A6199="""","""",INDEX(SPLIT(A6199,"" ""),COUNTA(SPLIT(A6199,"" ""))))"),"Calore")</f>
        <v>Calore</v>
      </c>
      <c r="C6199" s="6"/>
      <c r="D6199" s="6" t="s">
        <v>6207</v>
      </c>
      <c r="E6199" s="7" t="s">
        <v>6208</v>
      </c>
    </row>
    <row r="6200">
      <c r="A6200" s="4" t="s">
        <v>6287</v>
      </c>
      <c r="B6200" s="5" t="str">
        <f>IFERROR(__xludf.DUMMYFUNCTION("IF(A6200="""","""",INDEX(SPLIT(A6200,"" ""),COUNTA(SPLIT(A6200,"" ""))))"),"Caudina")</f>
        <v>Caudina</v>
      </c>
      <c r="C6200" s="6"/>
      <c r="D6200" s="6" t="s">
        <v>6207</v>
      </c>
      <c r="E6200" s="7" t="s">
        <v>6208</v>
      </c>
    </row>
    <row r="6201">
      <c r="A6201" s="4" t="s">
        <v>6288</v>
      </c>
      <c r="B6201" s="5" t="str">
        <f>IFERROR(__xludf.DUMMYFUNCTION("IF(A6201="""","""",INDEX(SPLIT(A6201,"" ""),COUNTA(SPLIT(A6201,"" ""))))"),"Serino")</f>
        <v>Serino</v>
      </c>
      <c r="C6201" s="6"/>
      <c r="D6201" s="6" t="s">
        <v>6207</v>
      </c>
      <c r="E6201" s="7" t="s">
        <v>6208</v>
      </c>
    </row>
    <row r="6202">
      <c r="A6202" s="4" t="s">
        <v>6289</v>
      </c>
      <c r="B6202" s="5" t="str">
        <f>IFERROR(__xludf.DUMMYFUNCTION("IF(A6202="""","""",INDEX(SPLIT(A6202,"" ""),COUNTA(SPLIT(A6202,"" ""))))"),"Baronia")</f>
        <v>Baronia</v>
      </c>
      <c r="C6202" s="6"/>
      <c r="D6202" s="6" t="s">
        <v>6207</v>
      </c>
      <c r="E6202" s="7" t="s">
        <v>6208</v>
      </c>
    </row>
    <row r="6203">
      <c r="A6203" s="4" t="s">
        <v>6290</v>
      </c>
      <c r="B6203" s="5" t="str">
        <f>IFERROR(__xludf.DUMMYFUNCTION("IF(A6203="""","""",INDEX(SPLIT(A6203,"" ""),COUNTA(SPLIT(A6203,"" ""))))"),"Ultra")</f>
        <v>Ultra</v>
      </c>
      <c r="C6203" s="6"/>
      <c r="D6203" s="6" t="s">
        <v>6207</v>
      </c>
      <c r="E6203" s="7" t="s">
        <v>6208</v>
      </c>
    </row>
    <row r="6204">
      <c r="A6204" s="4" t="s">
        <v>6291</v>
      </c>
      <c r="B6204" s="5" t="str">
        <f>IFERROR(__xludf.DUMMYFUNCTION("IF(A6204="""","""",INDEX(SPLIT(A6204,"" ""),COUNTA(SPLIT(A6204,"" ""))))"),"Baronia")</f>
        <v>Baronia</v>
      </c>
      <c r="C6204" s="6"/>
      <c r="D6204" s="6" t="s">
        <v>6207</v>
      </c>
      <c r="E6204" s="7" t="s">
        <v>6208</v>
      </c>
    </row>
    <row r="6205">
      <c r="A6205" s="4" t="s">
        <v>6292</v>
      </c>
      <c r="B6205" s="5" t="str">
        <f>IFERROR(__xludf.DUMMYFUNCTION("IF(A6205="""","""",INDEX(SPLIT(A6205,"" ""),COUNTA(SPLIT(A6205,"" ""))))"),"Serino")</f>
        <v>Serino</v>
      </c>
      <c r="C6205" s="6"/>
      <c r="D6205" s="6" t="s">
        <v>6207</v>
      </c>
      <c r="E6205" s="7" t="s">
        <v>6208</v>
      </c>
    </row>
    <row r="6206">
      <c r="A6206" s="4" t="s">
        <v>6293</v>
      </c>
      <c r="B6206" s="5" t="str">
        <f>IFERROR(__xludf.DUMMYFUNCTION("IF(A6206="""","""",INDEX(SPLIT(A6206,"" ""),COUNTA(SPLIT(A6206,"" ""))))"),"Conza")</f>
        <v>Conza</v>
      </c>
      <c r="C6206" s="6"/>
      <c r="D6206" s="6" t="s">
        <v>6207</v>
      </c>
      <c r="E6206" s="7" t="s">
        <v>6208</v>
      </c>
    </row>
    <row r="6207">
      <c r="A6207" s="4" t="s">
        <v>6294</v>
      </c>
      <c r="B6207" s="5" t="str">
        <f>IFERROR(__xludf.DUMMYFUNCTION("IF(A6207="""","""",INDEX(SPLIT(A6207,"" ""),COUNTA(SPLIT(A6207,"" ""))))"),"all'Esca")</f>
        <v>all'Esca</v>
      </c>
      <c r="C6207" s="6"/>
      <c r="D6207" s="6" t="s">
        <v>6207</v>
      </c>
      <c r="E6207" s="7" t="s">
        <v>6208</v>
      </c>
    </row>
    <row r="6208">
      <c r="A6208" s="4" t="s">
        <v>6295</v>
      </c>
      <c r="B6208" s="5" t="str">
        <f>IFERROR(__xludf.DUMMYFUNCTION("IF(A6208="""","""",INDEX(SPLIT(A6208,"" ""),COUNTA(SPLIT(A6208,"" ""))))"),"Scala")</f>
        <v>Scala</v>
      </c>
      <c r="C6208" s="6"/>
      <c r="D6208" s="6" t="s">
        <v>6207</v>
      </c>
      <c r="E6208" s="7" t="s">
        <v>6208</v>
      </c>
    </row>
    <row r="6209">
      <c r="A6209" s="4" t="s">
        <v>6296</v>
      </c>
      <c r="B6209" s="5" t="str">
        <f>IFERROR(__xludf.DUMMYFUNCTION("IF(A6209="""","""",INDEX(SPLIT(A6209,"" ""),COUNTA(SPLIT(A6209,"" ""))))"),"Lombardi")</f>
        <v>Lombardi</v>
      </c>
      <c r="C6209" s="6"/>
      <c r="D6209" s="6" t="s">
        <v>6207</v>
      </c>
      <c r="E6209" s="7" t="s">
        <v>6208</v>
      </c>
    </row>
    <row r="6210">
      <c r="A6210" s="4" t="s">
        <v>6297</v>
      </c>
      <c r="B6210" s="5" t="str">
        <f>IFERROR(__xludf.DUMMYFUNCTION("IF(A6210="""","""",INDEX(SPLIT(A6210,"" ""),COUNTA(SPLIT(A6210,"" ""))))"),"Paolina")</f>
        <v>Paolina</v>
      </c>
      <c r="C6210" s="6"/>
      <c r="D6210" s="6" t="s">
        <v>6207</v>
      </c>
      <c r="E6210" s="7" t="s">
        <v>6208</v>
      </c>
    </row>
    <row r="6211">
      <c r="A6211" s="4" t="s">
        <v>6298</v>
      </c>
      <c r="B6211" s="5" t="str">
        <f>IFERROR(__xludf.DUMMYFUNCTION("IF(A6211="""","""",INDEX(SPLIT(A6211,"" ""),COUNTA(SPLIT(A6211,"" ""))))"),"Sole")</f>
        <v>Sole</v>
      </c>
      <c r="C6211" s="6"/>
      <c r="D6211" s="6" t="s">
        <v>6207</v>
      </c>
      <c r="E6211" s="7" t="s">
        <v>6208</v>
      </c>
    </row>
    <row r="6212">
      <c r="A6212" s="4" t="s">
        <v>6299</v>
      </c>
      <c r="B6212" s="5" t="str">
        <f>IFERROR(__xludf.DUMMYFUNCTION("IF(A6212="""","""",INDEX(SPLIT(A6212,"" ""),COUNTA(SPLIT(A6212,"" ""))))"),"Irpino")</f>
        <v>Irpino</v>
      </c>
      <c r="C6212" s="6"/>
      <c r="D6212" s="6" t="s">
        <v>6207</v>
      </c>
      <c r="E6212" s="7" t="s">
        <v>6208</v>
      </c>
    </row>
    <row r="6213">
      <c r="A6213" s="4" t="s">
        <v>6300</v>
      </c>
      <c r="B6213" s="5" t="str">
        <f>IFERROR(__xludf.DUMMYFUNCTION("IF(A6213="""","""",INDEX(SPLIT(A6213,"" ""),COUNTA(SPLIT(A6213,"" ""))))"),"Scampitella")</f>
        <v>Scampitella</v>
      </c>
      <c r="C6213" s="6"/>
      <c r="D6213" s="6" t="s">
        <v>6207</v>
      </c>
      <c r="E6213" s="7" t="s">
        <v>6208</v>
      </c>
    </row>
    <row r="6214">
      <c r="A6214" s="4" t="s">
        <v>6301</v>
      </c>
      <c r="B6214" s="5" t="str">
        <f>IFERROR(__xludf.DUMMYFUNCTION("IF(A6214="""","""",INDEX(SPLIT(A6214,"" ""),COUNTA(SPLIT(A6214,"" ""))))"),"Senerchia")</f>
        <v>Senerchia</v>
      </c>
      <c r="C6214" s="6"/>
      <c r="D6214" s="6" t="s">
        <v>6207</v>
      </c>
      <c r="E6214" s="7" t="s">
        <v>6208</v>
      </c>
    </row>
    <row r="6215">
      <c r="A6215" s="4" t="s">
        <v>6302</v>
      </c>
      <c r="B6215" s="5" t="str">
        <f>IFERROR(__xludf.DUMMYFUNCTION("IF(A6215="""","""",INDEX(SPLIT(A6215,"" ""),COUNTA(SPLIT(A6215,"" ""))))"),"Serino")</f>
        <v>Serino</v>
      </c>
      <c r="C6215" s="6"/>
      <c r="D6215" s="6" t="s">
        <v>6207</v>
      </c>
      <c r="E6215" s="7" t="s">
        <v>6208</v>
      </c>
    </row>
    <row r="6216">
      <c r="A6216" s="4" t="s">
        <v>6303</v>
      </c>
      <c r="B6216" s="5" t="str">
        <f>IFERROR(__xludf.DUMMYFUNCTION("IF(A6216="""","""",INDEX(SPLIT(A6216,"" ""),COUNTA(SPLIT(A6216,"" ""))))"),"Sirignano")</f>
        <v>Sirignano</v>
      </c>
      <c r="C6216" s="6"/>
      <c r="D6216" s="6" t="s">
        <v>6207</v>
      </c>
      <c r="E6216" s="7" t="s">
        <v>6208</v>
      </c>
    </row>
    <row r="6217">
      <c r="A6217" s="4" t="s">
        <v>6304</v>
      </c>
      <c r="B6217" s="5" t="str">
        <f>IFERROR(__xludf.DUMMYFUNCTION("IF(A6217="""","""",INDEX(SPLIT(A6217,"" ""),COUNTA(SPLIT(A6217,"" ""))))"),"Solofra")</f>
        <v>Solofra</v>
      </c>
      <c r="C6217" s="6"/>
      <c r="D6217" s="6" t="s">
        <v>6207</v>
      </c>
      <c r="E6217" s="7" t="s">
        <v>6208</v>
      </c>
    </row>
    <row r="6218">
      <c r="A6218" s="4" t="s">
        <v>6305</v>
      </c>
      <c r="B6218" s="5" t="str">
        <f>IFERROR(__xludf.DUMMYFUNCTION("IF(A6218="""","""",INDEX(SPLIT(A6218,"" ""),COUNTA(SPLIT(A6218,"" ""))))"),"Serpico")</f>
        <v>Serpico</v>
      </c>
      <c r="C6218" s="6"/>
      <c r="D6218" s="6" t="s">
        <v>6207</v>
      </c>
      <c r="E6218" s="7" t="s">
        <v>6208</v>
      </c>
    </row>
    <row r="6219">
      <c r="A6219" s="4" t="s">
        <v>6306</v>
      </c>
      <c r="B6219" s="5" t="str">
        <f>IFERROR(__xludf.DUMMYFUNCTION("IF(A6219="""","""",INDEX(SPLIT(A6219,"" ""),COUNTA(SPLIT(A6219,"" ""))))"),"Sperone")</f>
        <v>Sperone</v>
      </c>
      <c r="C6219" s="6"/>
      <c r="D6219" s="6" t="s">
        <v>6207</v>
      </c>
      <c r="E6219" s="7" t="s">
        <v>6208</v>
      </c>
    </row>
    <row r="6220">
      <c r="A6220" s="4" t="s">
        <v>6307</v>
      </c>
      <c r="B6220" s="5" t="str">
        <f>IFERROR(__xludf.DUMMYFUNCTION("IF(A6220="""","""",INDEX(SPLIT(A6220,"" ""),COUNTA(SPLIT(A6220,"" ""))))"),"Sturno")</f>
        <v>Sturno</v>
      </c>
      <c r="C6220" s="6"/>
      <c r="D6220" s="6" t="s">
        <v>6207</v>
      </c>
      <c r="E6220" s="7" t="s">
        <v>6208</v>
      </c>
    </row>
    <row r="6221">
      <c r="A6221" s="4" t="s">
        <v>6308</v>
      </c>
      <c r="B6221" s="5" t="str">
        <f>IFERROR(__xludf.DUMMYFUNCTION("IF(A6221="""","""",INDEX(SPLIT(A6221,"" ""),COUNTA(SPLIT(A6221,"" ""))))"),"Summonte")</f>
        <v>Summonte</v>
      </c>
      <c r="C6221" s="6"/>
      <c r="D6221" s="6" t="s">
        <v>6207</v>
      </c>
      <c r="E6221" s="7" t="s">
        <v>6208</v>
      </c>
    </row>
    <row r="6222">
      <c r="A6222" s="4" t="s">
        <v>6309</v>
      </c>
      <c r="B6222" s="5" t="str">
        <f>IFERROR(__xludf.DUMMYFUNCTION("IF(A6222="""","""",INDEX(SPLIT(A6222,"" ""),COUNTA(SPLIT(A6222,"" ""))))"),"Taurano")</f>
        <v>Taurano</v>
      </c>
      <c r="C6222" s="6"/>
      <c r="D6222" s="6" t="s">
        <v>6207</v>
      </c>
      <c r="E6222" s="7" t="s">
        <v>6208</v>
      </c>
    </row>
    <row r="6223">
      <c r="A6223" s="4" t="s">
        <v>6310</v>
      </c>
      <c r="B6223" s="5" t="str">
        <f>IFERROR(__xludf.DUMMYFUNCTION("IF(A6223="""","""",INDEX(SPLIT(A6223,"" ""),COUNTA(SPLIT(A6223,"" ""))))"),"Taurasi")</f>
        <v>Taurasi</v>
      </c>
      <c r="C6223" s="6"/>
      <c r="D6223" s="6" t="s">
        <v>6207</v>
      </c>
      <c r="E6223" s="7" t="s">
        <v>6208</v>
      </c>
    </row>
    <row r="6224">
      <c r="A6224" s="4" t="s">
        <v>6311</v>
      </c>
      <c r="B6224" s="5" t="str">
        <f>IFERROR(__xludf.DUMMYFUNCTION("IF(A6224="""","""",INDEX(SPLIT(A6224,"" ""),COUNTA(SPLIT(A6224,"" ""))))"),"Teora")</f>
        <v>Teora</v>
      </c>
      <c r="C6224" s="6"/>
      <c r="D6224" s="6" t="s">
        <v>6207</v>
      </c>
      <c r="E6224" s="7" t="s">
        <v>6208</v>
      </c>
    </row>
    <row r="6225">
      <c r="A6225" s="4" t="s">
        <v>6312</v>
      </c>
      <c r="B6225" s="5" t="str">
        <f>IFERROR(__xludf.DUMMYFUNCTION("IF(A6225="""","""",INDEX(SPLIT(A6225,"" ""),COUNTA(SPLIT(A6225,"" ""))))"),"Lombardi")</f>
        <v>Lombardi</v>
      </c>
      <c r="C6225" s="6"/>
      <c r="D6225" s="6" t="s">
        <v>6207</v>
      </c>
      <c r="E6225" s="7" t="s">
        <v>6208</v>
      </c>
    </row>
    <row r="6226">
      <c r="A6226" s="4" t="s">
        <v>6313</v>
      </c>
      <c r="B6226" s="5" t="str">
        <f>IFERROR(__xludf.DUMMYFUNCTION("IF(A6226="""","""",INDEX(SPLIT(A6226,"" ""),COUNTA(SPLIT(A6226,"" ""))))"),"Nocelle")</f>
        <v>Nocelle</v>
      </c>
      <c r="C6226" s="6"/>
      <c r="D6226" s="6" t="s">
        <v>6207</v>
      </c>
      <c r="E6226" s="7" t="s">
        <v>6208</v>
      </c>
    </row>
    <row r="6227">
      <c r="A6227" s="4" t="s">
        <v>6314</v>
      </c>
      <c r="B6227" s="5" t="str">
        <f>IFERROR(__xludf.DUMMYFUNCTION("IF(A6227="""","""",INDEX(SPLIT(A6227,"" ""),COUNTA(SPLIT(A6227,"" ""))))"),"Torrioni")</f>
        <v>Torrioni</v>
      </c>
      <c r="C6227" s="6"/>
      <c r="D6227" s="6" t="s">
        <v>6207</v>
      </c>
      <c r="E6227" s="7" t="s">
        <v>6208</v>
      </c>
    </row>
    <row r="6228">
      <c r="A6228" s="4" t="s">
        <v>6315</v>
      </c>
      <c r="B6228" s="5" t="str">
        <f>IFERROR(__xludf.DUMMYFUNCTION("IF(A6228="""","""",INDEX(SPLIT(A6228,"" ""),COUNTA(SPLIT(A6228,"" ""))))"),"Trevico")</f>
        <v>Trevico</v>
      </c>
      <c r="C6228" s="6"/>
      <c r="D6228" s="6" t="s">
        <v>6207</v>
      </c>
      <c r="E6228" s="7" t="s">
        <v>6208</v>
      </c>
    </row>
    <row r="6229">
      <c r="A6229" s="4" t="s">
        <v>6316</v>
      </c>
      <c r="B6229" s="5" t="str">
        <f>IFERROR(__xludf.DUMMYFUNCTION("IF(A6229="""","""",INDEX(SPLIT(A6229,"" ""),COUNTA(SPLIT(A6229,"" ""))))"),"Tufo")</f>
        <v>Tufo</v>
      </c>
      <c r="C6229" s="6"/>
      <c r="D6229" s="6" t="s">
        <v>6207</v>
      </c>
      <c r="E6229" s="7" t="s">
        <v>6208</v>
      </c>
    </row>
    <row r="6230">
      <c r="A6230" s="4" t="s">
        <v>6317</v>
      </c>
      <c r="B6230" s="5" t="str">
        <f>IFERROR(__xludf.DUMMYFUNCTION("IF(A6230="""","""",INDEX(SPLIT(A6230,"" ""),COUNTA(SPLIT(A6230,"" ""))))"),"Vallata")</f>
        <v>Vallata</v>
      </c>
      <c r="C6230" s="6"/>
      <c r="D6230" s="6" t="s">
        <v>6207</v>
      </c>
      <c r="E6230" s="7" t="s">
        <v>6208</v>
      </c>
    </row>
    <row r="6231">
      <c r="A6231" s="4" t="s">
        <v>6318</v>
      </c>
      <c r="B6231" s="5" t="str">
        <f>IFERROR(__xludf.DUMMYFUNCTION("IF(A6231="""","""",INDEX(SPLIT(A6231,"" ""),COUNTA(SPLIT(A6231,"" ""))))"),"Vallesaccarda")</f>
        <v>Vallesaccarda</v>
      </c>
      <c r="C6231" s="6"/>
      <c r="D6231" s="6" t="s">
        <v>6207</v>
      </c>
      <c r="E6231" s="7" t="s">
        <v>6208</v>
      </c>
    </row>
    <row r="6232">
      <c r="A6232" s="4" t="s">
        <v>6319</v>
      </c>
      <c r="B6232" s="5" t="str">
        <f>IFERROR(__xludf.DUMMYFUNCTION("IF(A6232="""","""",INDEX(SPLIT(A6232,"" ""),COUNTA(SPLIT(A6232,"" ""))))"),"Venticano")</f>
        <v>Venticano</v>
      </c>
      <c r="C6232" s="6"/>
      <c r="D6232" s="6" t="s">
        <v>6207</v>
      </c>
      <c r="E6232" s="7" t="s">
        <v>6208</v>
      </c>
    </row>
    <row r="6233">
      <c r="A6233" s="4" t="s">
        <v>6320</v>
      </c>
      <c r="B6233" s="5" t="str">
        <f>IFERROR(__xludf.DUMMYFUNCTION("IF(A6233="""","""",INDEX(SPLIT(A6233,"" ""),COUNTA(SPLIT(A6233,"" ""))))"),"Villamaina")</f>
        <v>Villamaina</v>
      </c>
      <c r="C6233" s="6"/>
      <c r="D6233" s="6" t="s">
        <v>6207</v>
      </c>
      <c r="E6233" s="7" t="s">
        <v>6208</v>
      </c>
    </row>
    <row r="6234">
      <c r="A6234" s="4" t="s">
        <v>6321</v>
      </c>
      <c r="B6234" s="5" t="str">
        <f>IFERROR(__xludf.DUMMYFUNCTION("IF(A6234="""","""",INDEX(SPLIT(A6234,"" ""),COUNTA(SPLIT(A6234,"" ""))))"),"Battista")</f>
        <v>Battista</v>
      </c>
      <c r="C6234" s="6"/>
      <c r="D6234" s="6" t="s">
        <v>6207</v>
      </c>
      <c r="E6234" s="7" t="s">
        <v>6208</v>
      </c>
    </row>
    <row r="6235">
      <c r="A6235" s="4" t="s">
        <v>6322</v>
      </c>
      <c r="B6235" s="5" t="str">
        <f>IFERROR(__xludf.DUMMYFUNCTION("IF(A6235="""","""",INDEX(SPLIT(A6235,"" ""),COUNTA(SPLIT(A6235,"" ""))))"),"Irpina")</f>
        <v>Irpina</v>
      </c>
      <c r="C6235" s="6"/>
      <c r="D6235" s="6" t="s">
        <v>6207</v>
      </c>
      <c r="E6235" s="7" t="s">
        <v>6208</v>
      </c>
    </row>
    <row r="6236">
      <c r="A6236" s="4" t="s">
        <v>6323</v>
      </c>
      <c r="B6236" s="5" t="str">
        <f>IFERROR(__xludf.DUMMYFUNCTION("IF(A6236="""","""",INDEX(SPLIT(A6236,"" ""),COUNTA(SPLIT(A6236,"" ""))))"),"Zungoli")</f>
        <v>Zungoli</v>
      </c>
      <c r="C6236" s="6"/>
      <c r="D6236" s="6" t="s">
        <v>6207</v>
      </c>
      <c r="E6236" s="7" t="s">
        <v>6208</v>
      </c>
    </row>
    <row r="6237">
      <c r="A6237" s="4" t="s">
        <v>6324</v>
      </c>
      <c r="B6237" s="5" t="str">
        <f>IFERROR(__xludf.DUMMYFUNCTION("IF(A6237="""","""",INDEX(SPLIT(A6237,"" ""),COUNTA(SPLIT(A6237,"" ""))))"),"Montoro")</f>
        <v>Montoro</v>
      </c>
      <c r="C6237" s="6"/>
      <c r="D6237" s="6" t="s">
        <v>6207</v>
      </c>
      <c r="E6237" s="7" t="s">
        <v>6208</v>
      </c>
    </row>
    <row r="6238">
      <c r="A6238" s="4" t="s">
        <v>6325</v>
      </c>
      <c r="B6238" s="5" t="str">
        <f>IFERROR(__xludf.DUMMYFUNCTION("IF(A6238="""","""",INDEX(SPLIT(A6238,"" ""),COUNTA(SPLIT(A6238,"" ""))))"),"Acerno")</f>
        <v>Acerno</v>
      </c>
      <c r="C6238" s="6"/>
      <c r="D6238" s="6" t="s">
        <v>6326</v>
      </c>
      <c r="E6238" s="7" t="s">
        <v>6327</v>
      </c>
    </row>
    <row r="6239">
      <c r="A6239" s="4" t="s">
        <v>6328</v>
      </c>
      <c r="B6239" s="5" t="str">
        <f>IFERROR(__xludf.DUMMYFUNCTION("IF(A6239="""","""",INDEX(SPLIT(A6239,"" ""),COUNTA(SPLIT(A6239,"" ""))))"),"Agropoli")</f>
        <v>Agropoli</v>
      </c>
      <c r="C6239" s="6"/>
      <c r="D6239" s="6" t="s">
        <v>6326</v>
      </c>
      <c r="E6239" s="7" t="s">
        <v>6327</v>
      </c>
    </row>
    <row r="6240">
      <c r="A6240" s="4" t="s">
        <v>6329</v>
      </c>
      <c r="B6240" s="5" t="str">
        <f>IFERROR(__xludf.DUMMYFUNCTION("IF(A6240="""","""",INDEX(SPLIT(A6240,"" ""),COUNTA(SPLIT(A6240,"" ""))))"),"Albanella")</f>
        <v>Albanella</v>
      </c>
      <c r="C6240" s="6"/>
      <c r="D6240" s="6" t="s">
        <v>6326</v>
      </c>
      <c r="E6240" s="7" t="s">
        <v>6327</v>
      </c>
    </row>
    <row r="6241">
      <c r="A6241" s="4" t="s">
        <v>6330</v>
      </c>
      <c r="B6241" s="5" t="str">
        <f>IFERROR(__xludf.DUMMYFUNCTION("IF(A6241="""","""",INDEX(SPLIT(A6241,"" ""),COUNTA(SPLIT(A6241,"" ""))))"),"Alfano")</f>
        <v>Alfano</v>
      </c>
      <c r="C6241" s="6"/>
      <c r="D6241" s="6" t="s">
        <v>6326</v>
      </c>
      <c r="E6241" s="7" t="s">
        <v>6327</v>
      </c>
    </row>
    <row r="6242">
      <c r="A6242" s="4" t="s">
        <v>6331</v>
      </c>
      <c r="B6242" s="5" t="str">
        <f>IFERROR(__xludf.DUMMYFUNCTION("IF(A6242="""","""",INDEX(SPLIT(A6242,"" ""),COUNTA(SPLIT(A6242,"" ""))))"),"Silentina")</f>
        <v>Silentina</v>
      </c>
      <c r="C6242" s="6"/>
      <c r="D6242" s="6" t="s">
        <v>6326</v>
      </c>
      <c r="E6242" s="7" t="s">
        <v>6327</v>
      </c>
    </row>
    <row r="6243">
      <c r="A6243" s="4" t="s">
        <v>6332</v>
      </c>
      <c r="B6243" s="5" t="str">
        <f>IFERROR(__xludf.DUMMYFUNCTION("IF(A6243="""","""",INDEX(SPLIT(A6243,"" ""),COUNTA(SPLIT(A6243,"" ""))))"),"Amalfi")</f>
        <v>Amalfi</v>
      </c>
      <c r="C6243" s="6"/>
      <c r="D6243" s="6" t="s">
        <v>6326</v>
      </c>
      <c r="E6243" s="7" t="s">
        <v>6327</v>
      </c>
    </row>
    <row r="6244">
      <c r="A6244" s="4" t="s">
        <v>6333</v>
      </c>
      <c r="B6244" s="5" t="str">
        <f>IFERROR(__xludf.DUMMYFUNCTION("IF(A6244="""","""",INDEX(SPLIT(A6244,"" ""),COUNTA(SPLIT(A6244,"" ""))))"),"Angri")</f>
        <v>Angri</v>
      </c>
      <c r="C6244" s="6"/>
      <c r="D6244" s="6" t="s">
        <v>6326</v>
      </c>
      <c r="E6244" s="7" t="s">
        <v>6327</v>
      </c>
    </row>
    <row r="6245">
      <c r="A6245" s="4" t="s">
        <v>6334</v>
      </c>
      <c r="B6245" s="5" t="str">
        <f>IFERROR(__xludf.DUMMYFUNCTION("IF(A6245="""","""",INDEX(SPLIT(A6245,"" ""),COUNTA(SPLIT(A6245,"" ""))))"),"Aquara")</f>
        <v>Aquara</v>
      </c>
      <c r="C6245" s="6"/>
      <c r="D6245" s="6" t="s">
        <v>6326</v>
      </c>
      <c r="E6245" s="7" t="s">
        <v>6327</v>
      </c>
    </row>
    <row r="6246">
      <c r="A6246" s="4" t="s">
        <v>6335</v>
      </c>
      <c r="B6246" s="5" t="str">
        <f>IFERROR(__xludf.DUMMYFUNCTION("IF(A6246="""","""",INDEX(SPLIT(A6246,"" ""),COUNTA(SPLIT(A6246,"" ""))))"),"Ascea")</f>
        <v>Ascea</v>
      </c>
      <c r="C6246" s="6"/>
      <c r="D6246" s="6" t="s">
        <v>6326</v>
      </c>
      <c r="E6246" s="7" t="s">
        <v>6327</v>
      </c>
    </row>
    <row r="6247">
      <c r="A6247" s="4" t="s">
        <v>6336</v>
      </c>
      <c r="B6247" s="5" t="str">
        <f>IFERROR(__xludf.DUMMYFUNCTION("IF(A6247="""","""",INDEX(SPLIT(A6247,"" ""),COUNTA(SPLIT(A6247,"" ""))))"),"Lucana")</f>
        <v>Lucana</v>
      </c>
      <c r="C6247" s="6"/>
      <c r="D6247" s="6" t="s">
        <v>6326</v>
      </c>
      <c r="E6247" s="7" t="s">
        <v>6327</v>
      </c>
    </row>
    <row r="6248">
      <c r="A6248" s="4" t="s">
        <v>6337</v>
      </c>
      <c r="B6248" s="5" t="str">
        <f>IFERROR(__xludf.DUMMYFUNCTION("IF(A6248="""","""",INDEX(SPLIT(A6248,"" ""),COUNTA(SPLIT(A6248,"" ""))))"),"Atrani")</f>
        <v>Atrani</v>
      </c>
      <c r="C6248" s="6"/>
      <c r="D6248" s="6" t="s">
        <v>6326</v>
      </c>
      <c r="E6248" s="7" t="s">
        <v>6327</v>
      </c>
    </row>
    <row r="6249">
      <c r="A6249" s="4" t="s">
        <v>6338</v>
      </c>
      <c r="B6249" s="5" t="str">
        <f>IFERROR(__xludf.DUMMYFUNCTION("IF(A6249="""","""",INDEX(SPLIT(A6249,"" ""),COUNTA(SPLIT(A6249,"" ""))))"),"Auletta")</f>
        <v>Auletta</v>
      </c>
      <c r="C6249" s="6"/>
      <c r="D6249" s="6" t="s">
        <v>6326</v>
      </c>
      <c r="E6249" s="7" t="s">
        <v>6327</v>
      </c>
    </row>
    <row r="6250">
      <c r="A6250" s="4" t="s">
        <v>6339</v>
      </c>
      <c r="B6250" s="5" t="str">
        <f>IFERROR(__xludf.DUMMYFUNCTION("IF(A6250="""","""",INDEX(SPLIT(A6250,"" ""),COUNTA(SPLIT(A6250,"" ""))))"),"Baronissi")</f>
        <v>Baronissi</v>
      </c>
      <c r="C6250" s="6"/>
      <c r="D6250" s="6" t="s">
        <v>6326</v>
      </c>
      <c r="E6250" s="7" t="s">
        <v>6327</v>
      </c>
    </row>
    <row r="6251">
      <c r="A6251" s="4" t="s">
        <v>6340</v>
      </c>
      <c r="B6251" s="5" t="str">
        <f>IFERROR(__xludf.DUMMYFUNCTION("IF(A6251="""","""",INDEX(SPLIT(A6251,"" ""),COUNTA(SPLIT(A6251,"" ""))))"),"Battipaglia")</f>
        <v>Battipaglia</v>
      </c>
      <c r="C6251" s="6"/>
      <c r="D6251" s="6" t="s">
        <v>6326</v>
      </c>
      <c r="E6251" s="7" t="s">
        <v>6327</v>
      </c>
    </row>
    <row r="6252">
      <c r="A6252" s="4" t="s">
        <v>6341</v>
      </c>
      <c r="B6252" s="5" t="str">
        <f>IFERROR(__xludf.DUMMYFUNCTION("IF(A6252="""","""",INDEX(SPLIT(A6252,"" ""),COUNTA(SPLIT(A6252,"" ""))))"),"Bellosguardo")</f>
        <v>Bellosguardo</v>
      </c>
      <c r="C6252" s="6"/>
      <c r="D6252" s="6" t="s">
        <v>6326</v>
      </c>
      <c r="E6252" s="7" t="s">
        <v>6327</v>
      </c>
    </row>
    <row r="6253">
      <c r="A6253" s="4" t="s">
        <v>6342</v>
      </c>
      <c r="B6253" s="5" t="str">
        <f>IFERROR(__xludf.DUMMYFUNCTION("IF(A6253="""","""",INDEX(SPLIT(A6253,"" ""),COUNTA(SPLIT(A6253,"" ""))))"),"Bracigliano")</f>
        <v>Bracigliano</v>
      </c>
      <c r="C6253" s="6"/>
      <c r="D6253" s="6" t="s">
        <v>6326</v>
      </c>
      <c r="E6253" s="7" t="s">
        <v>6327</v>
      </c>
    </row>
    <row r="6254">
      <c r="A6254" s="4" t="s">
        <v>6343</v>
      </c>
      <c r="B6254" s="5" t="str">
        <f>IFERROR(__xludf.DUMMYFUNCTION("IF(A6254="""","""",INDEX(SPLIT(A6254,"" ""),COUNTA(SPLIT(A6254,"" ""))))"),"Buccino")</f>
        <v>Buccino</v>
      </c>
      <c r="C6254" s="6"/>
      <c r="D6254" s="6" t="s">
        <v>6326</v>
      </c>
      <c r="E6254" s="7" t="s">
        <v>6327</v>
      </c>
    </row>
    <row r="6255">
      <c r="A6255" s="4" t="s">
        <v>6344</v>
      </c>
      <c r="B6255" s="5" t="str">
        <f>IFERROR(__xludf.DUMMYFUNCTION("IF(A6255="""","""",INDEX(SPLIT(A6255,"" ""),COUNTA(SPLIT(A6255,"" ""))))"),"Buonabitacolo")</f>
        <v>Buonabitacolo</v>
      </c>
      <c r="C6255" s="6"/>
      <c r="D6255" s="6" t="s">
        <v>6326</v>
      </c>
      <c r="E6255" s="7" t="s">
        <v>6327</v>
      </c>
    </row>
    <row r="6256">
      <c r="A6256" s="4" t="s">
        <v>6345</v>
      </c>
      <c r="B6256" s="5" t="str">
        <f>IFERROR(__xludf.DUMMYFUNCTION("IF(A6256="""","""",INDEX(SPLIT(A6256,"" ""),COUNTA(SPLIT(A6256,"" ""))))"),"Caggiano")</f>
        <v>Caggiano</v>
      </c>
      <c r="C6256" s="6"/>
      <c r="D6256" s="6" t="s">
        <v>6326</v>
      </c>
      <c r="E6256" s="7" t="s">
        <v>6327</v>
      </c>
    </row>
    <row r="6257">
      <c r="A6257" s="4" t="s">
        <v>6346</v>
      </c>
      <c r="B6257" s="5" t="str">
        <f>IFERROR(__xludf.DUMMYFUNCTION("IF(A6257="""","""",INDEX(SPLIT(A6257,"" ""),COUNTA(SPLIT(A6257,"" ""))))"),"Calvanico")</f>
        <v>Calvanico</v>
      </c>
      <c r="C6257" s="6"/>
      <c r="D6257" s="6" t="s">
        <v>6326</v>
      </c>
      <c r="E6257" s="7" t="s">
        <v>6327</v>
      </c>
    </row>
    <row r="6258">
      <c r="A6258" s="4" t="s">
        <v>6347</v>
      </c>
      <c r="B6258" s="5" t="str">
        <f>IFERROR(__xludf.DUMMYFUNCTION("IF(A6258="""","""",INDEX(SPLIT(A6258,"" ""),COUNTA(SPLIT(A6258,"" ""))))"),"Camerota")</f>
        <v>Camerota</v>
      </c>
      <c r="C6258" s="6"/>
      <c r="D6258" s="6" t="s">
        <v>6326</v>
      </c>
      <c r="E6258" s="7" t="s">
        <v>6327</v>
      </c>
    </row>
    <row r="6259">
      <c r="A6259" s="4" t="s">
        <v>6348</v>
      </c>
      <c r="B6259" s="5" t="str">
        <f>IFERROR(__xludf.DUMMYFUNCTION("IF(A6259="""","""",INDEX(SPLIT(A6259,"" ""),COUNTA(SPLIT(A6259,"" ""))))"),"Campagna")</f>
        <v>Campagna</v>
      </c>
      <c r="C6259" s="6"/>
      <c r="D6259" s="6" t="s">
        <v>6326</v>
      </c>
      <c r="E6259" s="7" t="s">
        <v>6327</v>
      </c>
    </row>
    <row r="6260">
      <c r="A6260" s="4" t="s">
        <v>6349</v>
      </c>
      <c r="B6260" s="5" t="str">
        <f>IFERROR(__xludf.DUMMYFUNCTION("IF(A6260="""","""",INDEX(SPLIT(A6260,"" ""),COUNTA(SPLIT(A6260,"" ""))))"),"Campora")</f>
        <v>Campora</v>
      </c>
      <c r="C6260" s="6"/>
      <c r="D6260" s="6" t="s">
        <v>6326</v>
      </c>
      <c r="E6260" s="7" t="s">
        <v>6327</v>
      </c>
    </row>
    <row r="6261">
      <c r="A6261" s="4" t="s">
        <v>6350</v>
      </c>
      <c r="B6261" s="5" t="str">
        <f>IFERROR(__xludf.DUMMYFUNCTION("IF(A6261="""","""",INDEX(SPLIT(A6261,"" ""),COUNTA(SPLIT(A6261,"" ""))))"),"Cannalonga")</f>
        <v>Cannalonga</v>
      </c>
      <c r="C6261" s="6"/>
      <c r="D6261" s="6" t="s">
        <v>6326</v>
      </c>
      <c r="E6261" s="7" t="s">
        <v>6327</v>
      </c>
    </row>
    <row r="6262">
      <c r="A6262" s="4" t="s">
        <v>6351</v>
      </c>
      <c r="B6262" s="5" t="str">
        <f>IFERROR(__xludf.DUMMYFUNCTION("IF(A6262="""","""",INDEX(SPLIT(A6262,"" ""),COUNTA(SPLIT(A6262,"" ""))))"),"Paestum")</f>
        <v>Paestum</v>
      </c>
      <c r="C6262" s="6"/>
      <c r="D6262" s="6" t="s">
        <v>6326</v>
      </c>
      <c r="E6262" s="7" t="s">
        <v>6327</v>
      </c>
    </row>
    <row r="6263">
      <c r="A6263" s="4" t="s">
        <v>6352</v>
      </c>
      <c r="B6263" s="5" t="str">
        <f>IFERROR(__xludf.DUMMYFUNCTION("IF(A6263="""","""",INDEX(SPLIT(A6263,"" ""),COUNTA(SPLIT(A6263,"" ""))))"),"Casalbuono")</f>
        <v>Casalbuono</v>
      </c>
      <c r="C6263" s="6"/>
      <c r="D6263" s="6" t="s">
        <v>6326</v>
      </c>
      <c r="E6263" s="7" t="s">
        <v>6327</v>
      </c>
    </row>
    <row r="6264">
      <c r="A6264" s="4" t="s">
        <v>6353</v>
      </c>
      <c r="B6264" s="5" t="str">
        <f>IFERROR(__xludf.DUMMYFUNCTION("IF(A6264="""","""",INDEX(SPLIT(A6264,"" ""),COUNTA(SPLIT(A6264,"" ""))))"),"Spartano")</f>
        <v>Spartano</v>
      </c>
      <c r="C6264" s="6"/>
      <c r="D6264" s="6" t="s">
        <v>6326</v>
      </c>
      <c r="E6264" s="7" t="s">
        <v>6327</v>
      </c>
    </row>
    <row r="6265">
      <c r="A6265" s="4" t="s">
        <v>6354</v>
      </c>
      <c r="B6265" s="5" t="str">
        <f>IFERROR(__xludf.DUMMYFUNCTION("IF(A6265="""","""",INDEX(SPLIT(A6265,"" ""),COUNTA(SPLIT(A6265,"" ""))))"),"Velino")</f>
        <v>Velino</v>
      </c>
      <c r="C6265" s="6"/>
      <c r="D6265" s="6" t="s">
        <v>6326</v>
      </c>
      <c r="E6265" s="7" t="s">
        <v>6327</v>
      </c>
    </row>
    <row r="6266">
      <c r="A6266" s="4" t="s">
        <v>6355</v>
      </c>
      <c r="B6266" s="5" t="str">
        <f>IFERROR(__xludf.DUMMYFUNCTION("IF(A6266="""","""",INDEX(SPLIT(A6266,"" ""),COUNTA(SPLIT(A6266,"" ""))))"),"Pittari")</f>
        <v>Pittari</v>
      </c>
      <c r="C6266" s="6"/>
      <c r="D6266" s="6" t="s">
        <v>6326</v>
      </c>
      <c r="E6266" s="7" t="s">
        <v>6327</v>
      </c>
    </row>
    <row r="6267">
      <c r="A6267" s="4" t="s">
        <v>6356</v>
      </c>
      <c r="B6267" s="5" t="str">
        <f>IFERROR(__xludf.DUMMYFUNCTION("IF(A6267="""","""",INDEX(SPLIT(A6267,"" ""),COUNTA(SPLIT(A6267,"" ""))))"),"Castelcivita")</f>
        <v>Castelcivita</v>
      </c>
      <c r="C6267" s="6"/>
      <c r="D6267" s="6" t="s">
        <v>6326</v>
      </c>
      <c r="E6267" s="7" t="s">
        <v>6327</v>
      </c>
    </row>
    <row r="6268">
      <c r="A6268" s="4" t="s">
        <v>6357</v>
      </c>
      <c r="B6268" s="5" t="str">
        <f>IFERROR(__xludf.DUMMYFUNCTION("IF(A6268="""","""",INDEX(SPLIT(A6268,"" ""),COUNTA(SPLIT(A6268,"" ""))))"),"Castellabate")</f>
        <v>Castellabate</v>
      </c>
      <c r="C6268" s="6"/>
      <c r="D6268" s="6" t="s">
        <v>6326</v>
      </c>
      <c r="E6268" s="7" t="s">
        <v>6327</v>
      </c>
    </row>
    <row r="6269">
      <c r="A6269" s="4" t="s">
        <v>6358</v>
      </c>
      <c r="B6269" s="5" t="str">
        <f>IFERROR(__xludf.DUMMYFUNCTION("IF(A6269="""","""",INDEX(SPLIT(A6269,"" ""),COUNTA(SPLIT(A6269,"" ""))))"),"Cilento")</f>
        <v>Cilento</v>
      </c>
      <c r="C6269" s="6"/>
      <c r="D6269" s="6" t="s">
        <v>6326</v>
      </c>
      <c r="E6269" s="7" t="s">
        <v>6327</v>
      </c>
    </row>
    <row r="6270">
      <c r="A6270" s="4" t="s">
        <v>6359</v>
      </c>
      <c r="B6270" s="5" t="str">
        <f>IFERROR(__xludf.DUMMYFUNCTION("IF(A6270="""","""",INDEX(SPLIT(A6270,"" ""),COUNTA(SPLIT(A6270,"" ""))))"),"Conza")</f>
        <v>Conza</v>
      </c>
      <c r="C6270" s="6"/>
      <c r="D6270" s="6" t="s">
        <v>6326</v>
      </c>
      <c r="E6270" s="7" t="s">
        <v>6327</v>
      </c>
    </row>
    <row r="6271">
      <c r="A6271" s="4" t="s">
        <v>6360</v>
      </c>
      <c r="B6271" s="5" t="str">
        <f>IFERROR(__xludf.DUMMYFUNCTION("IF(A6271="""","""",INDEX(SPLIT(A6271,"" ""),COUNTA(SPLIT(A6271,"" ""))))"),"Giorgio")</f>
        <v>Giorgio</v>
      </c>
      <c r="C6271" s="6"/>
      <c r="D6271" s="6" t="s">
        <v>6326</v>
      </c>
      <c r="E6271" s="7" t="s">
        <v>6327</v>
      </c>
    </row>
    <row r="6272">
      <c r="A6272" s="4" t="s">
        <v>6361</v>
      </c>
      <c r="B6272" s="5" t="str">
        <f>IFERROR(__xludf.DUMMYFUNCTION("IF(A6272="""","""",INDEX(SPLIT(A6272,"" ""),COUNTA(SPLIT(A6272,"" ""))))"),"Lorenzo")</f>
        <v>Lorenzo</v>
      </c>
      <c r="C6272" s="6"/>
      <c r="D6272" s="6" t="s">
        <v>6326</v>
      </c>
      <c r="E6272" s="7" t="s">
        <v>6327</v>
      </c>
    </row>
    <row r="6273">
      <c r="A6273" s="4" t="s">
        <v>6362</v>
      </c>
      <c r="B6273" s="5" t="str">
        <f>IFERROR(__xludf.DUMMYFUNCTION("IF(A6273="""","""",INDEX(SPLIT(A6273,"" ""),COUNTA(SPLIT(A6273,"" ""))))"),"Genovesi")</f>
        <v>Genovesi</v>
      </c>
      <c r="C6273" s="6"/>
      <c r="D6273" s="6" t="s">
        <v>6326</v>
      </c>
      <c r="E6273" s="7" t="s">
        <v>6327</v>
      </c>
    </row>
    <row r="6274">
      <c r="A6274" s="4" t="s">
        <v>6363</v>
      </c>
      <c r="B6274" s="5" t="str">
        <f>IFERROR(__xludf.DUMMYFUNCTION("IF(A6274="""","""",INDEX(SPLIT(A6274,"" ""),COUNTA(SPLIT(A6274,"" ""))))"),"Tirreni")</f>
        <v>Tirreni</v>
      </c>
      <c r="C6274" s="6"/>
      <c r="D6274" s="6" t="s">
        <v>6326</v>
      </c>
      <c r="E6274" s="7" t="s">
        <v>6327</v>
      </c>
    </row>
    <row r="6275">
      <c r="A6275" s="4" t="s">
        <v>6364</v>
      </c>
      <c r="B6275" s="5" t="str">
        <f>IFERROR(__xludf.DUMMYFUNCTION("IF(A6275="""","""",INDEX(SPLIT(A6275,"" ""),COUNTA(SPLIT(A6275,"" ""))))"),"Bulgheria")</f>
        <v>Bulgheria</v>
      </c>
      <c r="C6275" s="6"/>
      <c r="D6275" s="6" t="s">
        <v>6326</v>
      </c>
      <c r="E6275" s="7" t="s">
        <v>6327</v>
      </c>
    </row>
    <row r="6276">
      <c r="A6276" s="4" t="s">
        <v>6365</v>
      </c>
      <c r="B6276" s="5" t="str">
        <f>IFERROR(__xludf.DUMMYFUNCTION("IF(A6276="""","""",INDEX(SPLIT(A6276,"" ""),COUNTA(SPLIT(A6276,"" ""))))"),"Centola")</f>
        <v>Centola</v>
      </c>
      <c r="C6276" s="6"/>
      <c r="D6276" s="6" t="s">
        <v>6326</v>
      </c>
      <c r="E6276" s="7" t="s">
        <v>6327</v>
      </c>
    </row>
    <row r="6277">
      <c r="A6277" s="4" t="s">
        <v>6366</v>
      </c>
      <c r="B6277" s="5" t="str">
        <f>IFERROR(__xludf.DUMMYFUNCTION("IF(A6277="""","""",INDEX(SPLIT(A6277,"" ""),COUNTA(SPLIT(A6277,"" ""))))"),"Ceraso")</f>
        <v>Ceraso</v>
      </c>
      <c r="C6277" s="6"/>
      <c r="D6277" s="6" t="s">
        <v>6326</v>
      </c>
      <c r="E6277" s="7" t="s">
        <v>6327</v>
      </c>
    </row>
    <row r="6278">
      <c r="A6278" s="4" t="s">
        <v>6367</v>
      </c>
      <c r="B6278" s="5" t="str">
        <f>IFERROR(__xludf.DUMMYFUNCTION("IF(A6278="""","""",INDEX(SPLIT(A6278,"" ""),COUNTA(SPLIT(A6278,"" ""))))"),"Cetara")</f>
        <v>Cetara</v>
      </c>
      <c r="C6278" s="6"/>
      <c r="D6278" s="6" t="s">
        <v>6326</v>
      </c>
      <c r="E6278" s="7" t="s">
        <v>6327</v>
      </c>
    </row>
    <row r="6279">
      <c r="A6279" s="4" t="s">
        <v>6368</v>
      </c>
      <c r="B6279" s="5" t="str">
        <f>IFERROR(__xludf.DUMMYFUNCTION("IF(A6279="""","""",INDEX(SPLIT(A6279,"" ""),COUNTA(SPLIT(A6279,"" ""))))"),"Cicerale")</f>
        <v>Cicerale</v>
      </c>
      <c r="C6279" s="6"/>
      <c r="D6279" s="6" t="s">
        <v>6326</v>
      </c>
      <c r="E6279" s="7" t="s">
        <v>6327</v>
      </c>
    </row>
    <row r="6280">
      <c r="A6280" s="4" t="s">
        <v>6369</v>
      </c>
      <c r="B6280" s="5" t="str">
        <f>IFERROR(__xludf.DUMMYFUNCTION("IF(A6280="""","""",INDEX(SPLIT(A6280,"" ""),COUNTA(SPLIT(A6280,"" ""))))"),"Colliano")</f>
        <v>Colliano</v>
      </c>
      <c r="C6280" s="6"/>
      <c r="D6280" s="6" t="s">
        <v>6326</v>
      </c>
      <c r="E6280" s="7" t="s">
        <v>6327</v>
      </c>
    </row>
    <row r="6281">
      <c r="A6281" s="4" t="s">
        <v>6370</v>
      </c>
      <c r="B6281" s="5" t="str">
        <f>IFERROR(__xludf.DUMMYFUNCTION("IF(A6281="""","""",INDEX(SPLIT(A6281,"" ""),COUNTA(SPLIT(A6281,"" ""))))"),"Marini")</f>
        <v>Marini</v>
      </c>
      <c r="C6281" s="6"/>
      <c r="D6281" s="6" t="s">
        <v>6326</v>
      </c>
      <c r="E6281" s="7" t="s">
        <v>6327</v>
      </c>
    </row>
    <row r="6282">
      <c r="A6282" s="4" t="s">
        <v>6371</v>
      </c>
      <c r="B6282" s="5" t="str">
        <f>IFERROR(__xludf.DUMMYFUNCTION("IF(A6282="""","""",INDEX(SPLIT(A6282,"" ""),COUNTA(SPLIT(A6282,"" ""))))"),"Controne")</f>
        <v>Controne</v>
      </c>
      <c r="C6282" s="6"/>
      <c r="D6282" s="6" t="s">
        <v>6326</v>
      </c>
      <c r="E6282" s="7" t="s">
        <v>6327</v>
      </c>
    </row>
    <row r="6283">
      <c r="A6283" s="4" t="s">
        <v>6372</v>
      </c>
      <c r="B6283" s="5" t="str">
        <f>IFERROR(__xludf.DUMMYFUNCTION("IF(A6283="""","""",INDEX(SPLIT(A6283,"" ""),COUNTA(SPLIT(A6283,"" ""))))"),"Terme")</f>
        <v>Terme</v>
      </c>
      <c r="C6283" s="6"/>
      <c r="D6283" s="6" t="s">
        <v>6326</v>
      </c>
      <c r="E6283" s="7" t="s">
        <v>6327</v>
      </c>
    </row>
    <row r="6284">
      <c r="A6284" s="4" t="s">
        <v>6373</v>
      </c>
      <c r="B6284" s="5" t="str">
        <f>IFERROR(__xludf.DUMMYFUNCTION("IF(A6284="""","""",INDEX(SPLIT(A6284,"" ""),COUNTA(SPLIT(A6284,"" ""))))"),"Corbara")</f>
        <v>Corbara</v>
      </c>
      <c r="C6284" s="6"/>
      <c r="D6284" s="6" t="s">
        <v>6326</v>
      </c>
      <c r="E6284" s="7" t="s">
        <v>6327</v>
      </c>
    </row>
    <row r="6285">
      <c r="A6285" s="4" t="s">
        <v>6374</v>
      </c>
      <c r="B6285" s="5" t="str">
        <f>IFERROR(__xludf.DUMMYFUNCTION("IF(A6285="""","""",INDEX(SPLIT(A6285,"" ""),COUNTA(SPLIT(A6285,"" ""))))"),"Monforte")</f>
        <v>Monforte</v>
      </c>
      <c r="C6285" s="6"/>
      <c r="D6285" s="6" t="s">
        <v>6326</v>
      </c>
      <c r="E6285" s="7" t="s">
        <v>6327</v>
      </c>
    </row>
    <row r="6286">
      <c r="A6286" s="4" t="s">
        <v>6375</v>
      </c>
      <c r="B6286" s="5" t="str">
        <f>IFERROR(__xludf.DUMMYFUNCTION("IF(A6286="""","""",INDEX(SPLIT(A6286,"" ""),COUNTA(SPLIT(A6286,"" ""))))"),"Vetere")</f>
        <v>Vetere</v>
      </c>
      <c r="C6286" s="6"/>
      <c r="D6286" s="6" t="s">
        <v>6326</v>
      </c>
      <c r="E6286" s="7" t="s">
        <v>6327</v>
      </c>
    </row>
    <row r="6287">
      <c r="A6287" s="4" t="s">
        <v>6376</v>
      </c>
      <c r="B6287" s="5" t="str">
        <f>IFERROR(__xludf.DUMMYFUNCTION("IF(A6287="""","""",INDEX(SPLIT(A6287,"" ""),COUNTA(SPLIT(A6287,"" ""))))"),"Eboli")</f>
        <v>Eboli</v>
      </c>
      <c r="C6287" s="6"/>
      <c r="D6287" s="6" t="s">
        <v>6326</v>
      </c>
      <c r="E6287" s="7" t="s">
        <v>6327</v>
      </c>
    </row>
    <row r="6288">
      <c r="A6288" s="4" t="s">
        <v>6377</v>
      </c>
      <c r="B6288" s="5" t="str">
        <f>IFERROR(__xludf.DUMMYFUNCTION("IF(A6288="""","""",INDEX(SPLIT(A6288,"" ""),COUNTA(SPLIT(A6288,"" ""))))"),"Felitto")</f>
        <v>Felitto</v>
      </c>
      <c r="C6288" s="6"/>
      <c r="D6288" s="6" t="s">
        <v>6326</v>
      </c>
      <c r="E6288" s="7" t="s">
        <v>6327</v>
      </c>
    </row>
    <row r="6289">
      <c r="A6289" s="4" t="s">
        <v>6378</v>
      </c>
      <c r="B6289" s="5" t="str">
        <f>IFERROR(__xludf.DUMMYFUNCTION("IF(A6289="""","""",INDEX(SPLIT(A6289,"" ""),COUNTA(SPLIT(A6289,"" ""))))"),"Fisciano")</f>
        <v>Fisciano</v>
      </c>
      <c r="C6289" s="6"/>
      <c r="D6289" s="6" t="s">
        <v>6326</v>
      </c>
      <c r="E6289" s="7" t="s">
        <v>6327</v>
      </c>
    </row>
    <row r="6290">
      <c r="A6290" s="4" t="s">
        <v>6379</v>
      </c>
      <c r="B6290" s="5" t="str">
        <f>IFERROR(__xludf.DUMMYFUNCTION("IF(A6290="""","""",INDEX(SPLIT(A6290,"" ""),COUNTA(SPLIT(A6290,"" ""))))"),"Furore")</f>
        <v>Furore</v>
      </c>
      <c r="C6290" s="6"/>
      <c r="D6290" s="6" t="s">
        <v>6326</v>
      </c>
      <c r="E6290" s="7" t="s">
        <v>6327</v>
      </c>
    </row>
    <row r="6291">
      <c r="A6291" s="4" t="s">
        <v>6380</v>
      </c>
      <c r="B6291" s="5" t="str">
        <f>IFERROR(__xludf.DUMMYFUNCTION("IF(A6291="""","""",INDEX(SPLIT(A6291,"" ""),COUNTA(SPLIT(A6291,"" ""))))"),"Futani")</f>
        <v>Futani</v>
      </c>
      <c r="C6291" s="6"/>
      <c r="D6291" s="6" t="s">
        <v>6326</v>
      </c>
      <c r="E6291" s="7" t="s">
        <v>6327</v>
      </c>
    </row>
    <row r="6292">
      <c r="A6292" s="4" t="s">
        <v>6381</v>
      </c>
      <c r="B6292" s="5" t="str">
        <f>IFERROR(__xludf.DUMMYFUNCTION("IF(A6292="""","""",INDEX(SPLIT(A6292,"" ""),COUNTA(SPLIT(A6292,"" ""))))"),"Casali")</f>
        <v>Casali</v>
      </c>
      <c r="C6292" s="6"/>
      <c r="D6292" s="6" t="s">
        <v>6326</v>
      </c>
      <c r="E6292" s="7" t="s">
        <v>6327</v>
      </c>
    </row>
    <row r="6293">
      <c r="A6293" s="4" t="s">
        <v>6382</v>
      </c>
      <c r="B6293" s="5" t="str">
        <f>IFERROR(__xludf.DUMMYFUNCTION("IF(A6293="""","""",INDEX(SPLIT(A6293,"" ""),COUNTA(SPLIT(A6293,"" ""))))"),"Piana")</f>
        <v>Piana</v>
      </c>
      <c r="C6293" s="6"/>
      <c r="D6293" s="6" t="s">
        <v>6326</v>
      </c>
      <c r="E6293" s="7" t="s">
        <v>6327</v>
      </c>
    </row>
    <row r="6294">
      <c r="A6294" s="4" t="s">
        <v>6383</v>
      </c>
      <c r="B6294" s="5" t="str">
        <f>IFERROR(__xludf.DUMMYFUNCTION("IF(A6294="""","""",INDEX(SPLIT(A6294,"" ""),COUNTA(SPLIT(A6294,"" ""))))"),"Gioi")</f>
        <v>Gioi</v>
      </c>
      <c r="C6294" s="6"/>
      <c r="D6294" s="6" t="s">
        <v>6326</v>
      </c>
      <c r="E6294" s="7" t="s">
        <v>6327</v>
      </c>
    </row>
    <row r="6295">
      <c r="A6295" s="4" t="s">
        <v>6384</v>
      </c>
      <c r="B6295" s="5" t="str">
        <f>IFERROR(__xludf.DUMMYFUNCTION("IF(A6295="""","""",INDEX(SPLIT(A6295,"" ""),COUNTA(SPLIT(A6295,"" ""))))"),"Giungano")</f>
        <v>Giungano</v>
      </c>
      <c r="C6295" s="6"/>
      <c r="D6295" s="6" t="s">
        <v>6326</v>
      </c>
      <c r="E6295" s="7" t="s">
        <v>6327</v>
      </c>
    </row>
    <row r="6296">
      <c r="A6296" s="4" t="s">
        <v>6385</v>
      </c>
      <c r="B6296" s="5" t="str">
        <f>IFERROR(__xludf.DUMMYFUNCTION("IF(A6296="""","""",INDEX(SPLIT(A6296,"" ""),COUNTA(SPLIT(A6296,"" ""))))"),"Ispani")</f>
        <v>Ispani</v>
      </c>
      <c r="C6296" s="6"/>
      <c r="D6296" s="6" t="s">
        <v>6326</v>
      </c>
      <c r="E6296" s="7" t="s">
        <v>6327</v>
      </c>
    </row>
    <row r="6297">
      <c r="A6297" s="4" t="s">
        <v>6386</v>
      </c>
      <c r="B6297" s="5" t="str">
        <f>IFERROR(__xludf.DUMMYFUNCTION("IF(A6297="""","""",INDEX(SPLIT(A6297,"" ""),COUNTA(SPLIT(A6297,"" ""))))"),"Cilento")</f>
        <v>Cilento</v>
      </c>
      <c r="C6297" s="6"/>
      <c r="D6297" s="6" t="s">
        <v>6326</v>
      </c>
      <c r="E6297" s="7" t="s">
        <v>6327</v>
      </c>
    </row>
    <row r="6298">
      <c r="A6298" s="4" t="s">
        <v>6387</v>
      </c>
      <c r="B6298" s="5" t="str">
        <f>IFERROR(__xludf.DUMMYFUNCTION("IF(A6298="""","""",INDEX(SPLIT(A6298,"" ""),COUNTA(SPLIT(A6298,"" ""))))"),"Laurino")</f>
        <v>Laurino</v>
      </c>
      <c r="C6298" s="6"/>
      <c r="D6298" s="6" t="s">
        <v>6326</v>
      </c>
      <c r="E6298" s="7" t="s">
        <v>6327</v>
      </c>
    </row>
    <row r="6299">
      <c r="A6299" s="4" t="s">
        <v>6388</v>
      </c>
      <c r="B6299" s="5" t="str">
        <f>IFERROR(__xludf.DUMMYFUNCTION("IF(A6299="""","""",INDEX(SPLIT(A6299,"" ""),COUNTA(SPLIT(A6299,"" ""))))"),"Laurito")</f>
        <v>Laurito</v>
      </c>
      <c r="C6299" s="6"/>
      <c r="D6299" s="6" t="s">
        <v>6326</v>
      </c>
      <c r="E6299" s="7" t="s">
        <v>6327</v>
      </c>
    </row>
    <row r="6300">
      <c r="A6300" s="4" t="s">
        <v>6389</v>
      </c>
      <c r="B6300" s="5" t="str">
        <f>IFERROR(__xludf.DUMMYFUNCTION("IF(A6300="""","""",INDEX(SPLIT(A6300,"" ""),COUNTA(SPLIT(A6300,"" ""))))"),"Laviano")</f>
        <v>Laviano</v>
      </c>
      <c r="C6300" s="6"/>
      <c r="D6300" s="6" t="s">
        <v>6326</v>
      </c>
      <c r="E6300" s="7" t="s">
        <v>6327</v>
      </c>
    </row>
    <row r="6301">
      <c r="A6301" s="4" t="s">
        <v>6390</v>
      </c>
      <c r="B6301" s="5" t="str">
        <f>IFERROR(__xludf.DUMMYFUNCTION("IF(A6301="""","""",INDEX(SPLIT(A6301,"" ""),COUNTA(SPLIT(A6301,"" ""))))"),"Lustra")</f>
        <v>Lustra</v>
      </c>
      <c r="C6301" s="6"/>
      <c r="D6301" s="6" t="s">
        <v>6326</v>
      </c>
      <c r="E6301" s="7" t="s">
        <v>6327</v>
      </c>
    </row>
    <row r="6302">
      <c r="A6302" s="4" t="s">
        <v>6391</v>
      </c>
      <c r="B6302" s="5" t="str">
        <f>IFERROR(__xludf.DUMMYFUNCTION("IF(A6302="""","""",INDEX(SPLIT(A6302,"" ""),COUNTA(SPLIT(A6302,"" ""))))"),"Vetere")</f>
        <v>Vetere</v>
      </c>
      <c r="C6302" s="6"/>
      <c r="D6302" s="6" t="s">
        <v>6326</v>
      </c>
      <c r="E6302" s="7" t="s">
        <v>6327</v>
      </c>
    </row>
    <row r="6303">
      <c r="A6303" s="4" t="s">
        <v>6392</v>
      </c>
      <c r="B6303" s="5" t="str">
        <f>IFERROR(__xludf.DUMMYFUNCTION("IF(A6303="""","""",INDEX(SPLIT(A6303,"" ""),COUNTA(SPLIT(A6303,"" ""))))"),"Maiori")</f>
        <v>Maiori</v>
      </c>
      <c r="C6303" s="6"/>
      <c r="D6303" s="6" t="s">
        <v>6326</v>
      </c>
      <c r="E6303" s="7" t="s">
        <v>6327</v>
      </c>
    </row>
    <row r="6304">
      <c r="A6304" s="4" t="s">
        <v>6393</v>
      </c>
      <c r="B6304" s="5" t="str">
        <f>IFERROR(__xludf.DUMMYFUNCTION("IF(A6304="""","""",INDEX(SPLIT(A6304,"" ""),COUNTA(SPLIT(A6304,"" ""))))"),"Severino")</f>
        <v>Severino</v>
      </c>
      <c r="C6304" s="6"/>
      <c r="D6304" s="6" t="s">
        <v>6326</v>
      </c>
      <c r="E6304" s="7" t="s">
        <v>6327</v>
      </c>
    </row>
    <row r="6305">
      <c r="A6305" s="4" t="s">
        <v>6394</v>
      </c>
      <c r="B6305" s="5" t="str">
        <f>IFERROR(__xludf.DUMMYFUNCTION("IF(A6305="""","""",INDEX(SPLIT(A6305,"" ""),COUNTA(SPLIT(A6305,"" ""))))"),"Minori")</f>
        <v>Minori</v>
      </c>
      <c r="C6305" s="6"/>
      <c r="D6305" s="6" t="s">
        <v>6326</v>
      </c>
      <c r="E6305" s="7" t="s">
        <v>6327</v>
      </c>
    </row>
    <row r="6306">
      <c r="A6306" s="4" t="s">
        <v>6395</v>
      </c>
      <c r="B6306" s="5" t="str">
        <f>IFERROR(__xludf.DUMMYFUNCTION("IF(A6306="""","""",INDEX(SPLIT(A6306,"" ""),COUNTA(SPLIT(A6306,"" ""))))"),"Civitella")</f>
        <v>Civitella</v>
      </c>
      <c r="C6306" s="6"/>
      <c r="D6306" s="6" t="s">
        <v>6326</v>
      </c>
      <c r="E6306" s="7" t="s">
        <v>6327</v>
      </c>
    </row>
    <row r="6307">
      <c r="A6307" s="4" t="s">
        <v>6396</v>
      </c>
      <c r="B6307" s="5" t="str">
        <f>IFERROR(__xludf.DUMMYFUNCTION("IF(A6307="""","""",INDEX(SPLIT(A6307,"" ""),COUNTA(SPLIT(A6307,"" ""))))"),"Antilia")</f>
        <v>Antilia</v>
      </c>
      <c r="C6307" s="6"/>
      <c r="D6307" s="6" t="s">
        <v>6326</v>
      </c>
      <c r="E6307" s="7" t="s">
        <v>6327</v>
      </c>
    </row>
    <row r="6308">
      <c r="A6308" s="4" t="s">
        <v>6397</v>
      </c>
      <c r="B6308" s="5" t="str">
        <f>IFERROR(__xludf.DUMMYFUNCTION("IF(A6308="""","""",INDEX(SPLIT(A6308,"" ""),COUNTA(SPLIT(A6308,"" ""))))"),"Montecorice")</f>
        <v>Montecorice</v>
      </c>
      <c r="C6308" s="6"/>
      <c r="D6308" s="6" t="s">
        <v>6326</v>
      </c>
      <c r="E6308" s="7" t="s">
        <v>6327</v>
      </c>
    </row>
    <row r="6309">
      <c r="A6309" s="4" t="s">
        <v>6398</v>
      </c>
      <c r="B6309" s="5" t="str">
        <f>IFERROR(__xludf.DUMMYFUNCTION("IF(A6309="""","""",INDEX(SPLIT(A6309,"" ""),COUNTA(SPLIT(A6309,"" ""))))"),"Pugliano")</f>
        <v>Pugliano</v>
      </c>
      <c r="C6309" s="6"/>
      <c r="D6309" s="6" t="s">
        <v>6326</v>
      </c>
      <c r="E6309" s="7" t="s">
        <v>6327</v>
      </c>
    </row>
    <row r="6310">
      <c r="A6310" s="4" t="s">
        <v>6399</v>
      </c>
      <c r="B6310" s="5" t="str">
        <f>IFERROR(__xludf.DUMMYFUNCTION("IF(A6310="""","""",INDEX(SPLIT(A6310,"" ""),COUNTA(SPLIT(A6310,"" ""))))"),"Rovella")</f>
        <v>Rovella</v>
      </c>
      <c r="C6310" s="6"/>
      <c r="D6310" s="6" t="s">
        <v>6326</v>
      </c>
      <c r="E6310" s="7" t="s">
        <v>6327</v>
      </c>
    </row>
    <row r="6311">
      <c r="A6311" s="4" t="s">
        <v>6400</v>
      </c>
      <c r="B6311" s="5" t="str">
        <f>IFERROR(__xludf.DUMMYFUNCTION("IF(A6311="""","""",INDEX(SPLIT(A6311,"" ""),COUNTA(SPLIT(A6311,"" ""))))"),"Cilento")</f>
        <v>Cilento</v>
      </c>
      <c r="C6311" s="6"/>
      <c r="D6311" s="6" t="s">
        <v>6326</v>
      </c>
      <c r="E6311" s="7" t="s">
        <v>6327</v>
      </c>
    </row>
    <row r="6312">
      <c r="A6312" s="4" t="s">
        <v>6401</v>
      </c>
      <c r="B6312" s="5" t="str">
        <f>IFERROR(__xludf.DUMMYFUNCTION("IF(A6312="""","""",INDEX(SPLIT(A6312,"" ""),COUNTA(SPLIT(A6312,"" ""))))"),"Giacomo")</f>
        <v>Giacomo</v>
      </c>
      <c r="C6312" s="6"/>
      <c r="D6312" s="6" t="s">
        <v>6326</v>
      </c>
      <c r="E6312" s="7" t="s">
        <v>6327</v>
      </c>
    </row>
    <row r="6313">
      <c r="A6313" s="4" t="s">
        <v>6402</v>
      </c>
      <c r="B6313" s="5" t="str">
        <f>IFERROR(__xludf.DUMMYFUNCTION("IF(A6313="""","""",INDEX(SPLIT(A6313,"" ""),COUNTA(SPLIT(A6313,"" ""))))"),"Marcellana")</f>
        <v>Marcellana</v>
      </c>
      <c r="C6313" s="6"/>
      <c r="D6313" s="6" t="s">
        <v>6326</v>
      </c>
      <c r="E6313" s="7" t="s">
        <v>6327</v>
      </c>
    </row>
    <row r="6314">
      <c r="A6314" s="4" t="s">
        <v>6403</v>
      </c>
      <c r="B6314" s="5" t="str">
        <f>IFERROR(__xludf.DUMMYFUNCTION("IF(A6314="""","""",INDEX(SPLIT(A6314,"" ""),COUNTA(SPLIT(A6314,"" ""))))"),"Morigerati")</f>
        <v>Morigerati</v>
      </c>
      <c r="C6314" s="6"/>
      <c r="D6314" s="6" t="s">
        <v>6326</v>
      </c>
      <c r="E6314" s="7" t="s">
        <v>6327</v>
      </c>
    </row>
    <row r="6315">
      <c r="A6315" s="4" t="s">
        <v>6404</v>
      </c>
      <c r="B6315" s="5" t="str">
        <f>IFERROR(__xludf.DUMMYFUNCTION("IF(A6315="""","""",INDEX(SPLIT(A6315,"" ""),COUNTA(SPLIT(A6315,"" ""))))"),"Inferiore")</f>
        <v>Inferiore</v>
      </c>
      <c r="C6315" s="6"/>
      <c r="D6315" s="6" t="s">
        <v>6326</v>
      </c>
      <c r="E6315" s="7" t="s">
        <v>6327</v>
      </c>
    </row>
    <row r="6316">
      <c r="A6316" s="4" t="s">
        <v>6405</v>
      </c>
      <c r="B6316" s="5" t="str">
        <f>IFERROR(__xludf.DUMMYFUNCTION("IF(A6316="""","""",INDEX(SPLIT(A6316,"" ""),COUNTA(SPLIT(A6316,"" ""))))"),"Superiore")</f>
        <v>Superiore</v>
      </c>
      <c r="C6316" s="6"/>
      <c r="D6316" s="6" t="s">
        <v>6326</v>
      </c>
      <c r="E6316" s="7" t="s">
        <v>6327</v>
      </c>
    </row>
    <row r="6317">
      <c r="A6317" s="4" t="s">
        <v>6406</v>
      </c>
      <c r="B6317" s="5" t="str">
        <f>IFERROR(__xludf.DUMMYFUNCTION("IF(A6317="""","""",INDEX(SPLIT(A6317,"" ""),COUNTA(SPLIT(A6317,"" ""))))"),"Velia")</f>
        <v>Velia</v>
      </c>
      <c r="C6317" s="6"/>
      <c r="D6317" s="6" t="s">
        <v>6326</v>
      </c>
      <c r="E6317" s="7" t="s">
        <v>6327</v>
      </c>
    </row>
    <row r="6318">
      <c r="A6318" s="4" t="s">
        <v>6407</v>
      </c>
      <c r="B6318" s="5" t="str">
        <f>IFERROR(__xludf.DUMMYFUNCTION("IF(A6318="""","""",INDEX(SPLIT(A6318,"" ""),COUNTA(SPLIT(A6318,"" ""))))"),"Cilento")</f>
        <v>Cilento</v>
      </c>
      <c r="C6318" s="6"/>
      <c r="D6318" s="6" t="s">
        <v>6326</v>
      </c>
      <c r="E6318" s="7" t="s">
        <v>6327</v>
      </c>
    </row>
    <row r="6319">
      <c r="A6319" s="4" t="s">
        <v>6408</v>
      </c>
      <c r="B6319" s="5" t="str">
        <f>IFERROR(__xludf.DUMMYFUNCTION("IF(A6319="""","""",INDEX(SPLIT(A6319,"" ""),COUNTA(SPLIT(A6319,"" ""))))"),"Tusciano")</f>
        <v>Tusciano</v>
      </c>
      <c r="C6319" s="6"/>
      <c r="D6319" s="6" t="s">
        <v>6326</v>
      </c>
      <c r="E6319" s="7" t="s">
        <v>6327</v>
      </c>
    </row>
    <row r="6320">
      <c r="A6320" s="4" t="s">
        <v>6409</v>
      </c>
      <c r="B6320" s="5" t="str">
        <f>IFERROR(__xludf.DUMMYFUNCTION("IF(A6320="""","""",INDEX(SPLIT(A6320,"" ""),COUNTA(SPLIT(A6320,"" ""))))"),"Citra")</f>
        <v>Citra</v>
      </c>
      <c r="C6320" s="6"/>
      <c r="D6320" s="6" t="s">
        <v>6326</v>
      </c>
      <c r="E6320" s="7" t="s">
        <v>6327</v>
      </c>
    </row>
    <row r="6321">
      <c r="A6321" s="4" t="s">
        <v>6410</v>
      </c>
      <c r="B6321" s="5" t="str">
        <f>IFERROR(__xludf.DUMMYFUNCTION("IF(A6321="""","""",INDEX(SPLIT(A6321,"" ""),COUNTA(SPLIT(A6321,"" ""))))"),"Omignano")</f>
        <v>Omignano</v>
      </c>
      <c r="C6321" s="6"/>
      <c r="D6321" s="6" t="s">
        <v>6326</v>
      </c>
      <c r="E6321" s="7" t="s">
        <v>6327</v>
      </c>
    </row>
    <row r="6322">
      <c r="A6322" s="4" t="s">
        <v>6411</v>
      </c>
      <c r="B6322" s="5" t="str">
        <f>IFERROR(__xludf.DUMMYFUNCTION("IF(A6322="""","""",INDEX(SPLIT(A6322,"" ""),COUNTA(SPLIT(A6322,"" ""))))"),"Orria")</f>
        <v>Orria</v>
      </c>
      <c r="C6322" s="6"/>
      <c r="D6322" s="6" t="s">
        <v>6326</v>
      </c>
      <c r="E6322" s="7" t="s">
        <v>6327</v>
      </c>
    </row>
    <row r="6323">
      <c r="A6323" s="4" t="s">
        <v>6412</v>
      </c>
      <c r="B6323" s="5" t="str">
        <f>IFERROR(__xludf.DUMMYFUNCTION("IF(A6323="""","""",INDEX(SPLIT(A6323,"" ""),COUNTA(SPLIT(A6323,"" ""))))"),"Ottati")</f>
        <v>Ottati</v>
      </c>
      <c r="C6323" s="6"/>
      <c r="D6323" s="6" t="s">
        <v>6326</v>
      </c>
      <c r="E6323" s="7" t="s">
        <v>6327</v>
      </c>
    </row>
    <row r="6324">
      <c r="A6324" s="4" t="s">
        <v>6413</v>
      </c>
      <c r="B6324" s="5" t="str">
        <f>IFERROR(__xludf.DUMMYFUNCTION("IF(A6324="""","""",INDEX(SPLIT(A6324,"" ""),COUNTA(SPLIT(A6324,"" ""))))"),"Padula")</f>
        <v>Padula</v>
      </c>
      <c r="C6324" s="6"/>
      <c r="D6324" s="6" t="s">
        <v>6326</v>
      </c>
      <c r="E6324" s="7" t="s">
        <v>6327</v>
      </c>
    </row>
    <row r="6325">
      <c r="A6325" s="4" t="s">
        <v>6414</v>
      </c>
      <c r="B6325" s="5" t="str">
        <f>IFERROR(__xludf.DUMMYFUNCTION("IF(A6325="""","""",INDEX(SPLIT(A6325,"" ""),COUNTA(SPLIT(A6325,"" ""))))"),"Pagani")</f>
        <v>Pagani</v>
      </c>
      <c r="C6325" s="6"/>
      <c r="D6325" s="6" t="s">
        <v>6326</v>
      </c>
      <c r="E6325" s="7" t="s">
        <v>6327</v>
      </c>
    </row>
    <row r="6326">
      <c r="A6326" s="4" t="s">
        <v>6415</v>
      </c>
      <c r="B6326" s="5" t="str">
        <f>IFERROR(__xludf.DUMMYFUNCTION("IF(A6326="""","""",INDEX(SPLIT(A6326,"" ""),COUNTA(SPLIT(A6326,"" ""))))"),"Palomonte")</f>
        <v>Palomonte</v>
      </c>
      <c r="C6326" s="6"/>
      <c r="D6326" s="6" t="s">
        <v>6326</v>
      </c>
      <c r="E6326" s="7" t="s">
        <v>6327</v>
      </c>
    </row>
    <row r="6327">
      <c r="A6327" s="4" t="s">
        <v>6416</v>
      </c>
      <c r="B6327" s="5" t="str">
        <f>IFERROR(__xludf.DUMMYFUNCTION("IF(A6327="""","""",INDEX(SPLIT(A6327,"" ""),COUNTA(SPLIT(A6327,"" ""))))"),"Pellezzano")</f>
        <v>Pellezzano</v>
      </c>
      <c r="C6327" s="6"/>
      <c r="D6327" s="6" t="s">
        <v>6326</v>
      </c>
      <c r="E6327" s="7" t="s">
        <v>6327</v>
      </c>
    </row>
    <row r="6328">
      <c r="A6328" s="4" t="s">
        <v>6417</v>
      </c>
      <c r="B6328" s="5" t="str">
        <f>IFERROR(__xludf.DUMMYFUNCTION("IF(A6328="""","""",INDEX(SPLIT(A6328,"" ""),COUNTA(SPLIT(A6328,"" ""))))"),"Perdifumo")</f>
        <v>Perdifumo</v>
      </c>
      <c r="C6328" s="6"/>
      <c r="D6328" s="6" t="s">
        <v>6326</v>
      </c>
      <c r="E6328" s="7" t="s">
        <v>6327</v>
      </c>
    </row>
    <row r="6329">
      <c r="A6329" s="4" t="s">
        <v>6418</v>
      </c>
      <c r="B6329" s="5" t="str">
        <f>IFERROR(__xludf.DUMMYFUNCTION("IF(A6329="""","""",INDEX(SPLIT(A6329,"" ""),COUNTA(SPLIT(A6329,"" ""))))"),"Perito")</f>
        <v>Perito</v>
      </c>
      <c r="C6329" s="6"/>
      <c r="D6329" s="6" t="s">
        <v>6326</v>
      </c>
      <c r="E6329" s="7" t="s">
        <v>6327</v>
      </c>
    </row>
    <row r="6330">
      <c r="A6330" s="4" t="s">
        <v>6419</v>
      </c>
      <c r="B6330" s="5" t="str">
        <f>IFERROR(__xludf.DUMMYFUNCTION("IF(A6330="""","""",INDEX(SPLIT(A6330,"" ""),COUNTA(SPLIT(A6330,"" ""))))"),"Pertosa")</f>
        <v>Pertosa</v>
      </c>
      <c r="C6330" s="6"/>
      <c r="D6330" s="6" t="s">
        <v>6326</v>
      </c>
      <c r="E6330" s="7" t="s">
        <v>6327</v>
      </c>
    </row>
    <row r="6331">
      <c r="A6331" s="4" t="s">
        <v>6420</v>
      </c>
      <c r="B6331" s="5" t="str">
        <f>IFERROR(__xludf.DUMMYFUNCTION("IF(A6331="""","""",INDEX(SPLIT(A6331,"" ""),COUNTA(SPLIT(A6331,"" ""))))"),"Petina")</f>
        <v>Petina</v>
      </c>
      <c r="C6331" s="6"/>
      <c r="D6331" s="6" t="s">
        <v>6326</v>
      </c>
      <c r="E6331" s="7" t="s">
        <v>6327</v>
      </c>
    </row>
    <row r="6332">
      <c r="A6332" s="4" t="s">
        <v>6421</v>
      </c>
      <c r="B6332" s="5" t="str">
        <f>IFERROR(__xludf.DUMMYFUNCTION("IF(A6332="""","""",INDEX(SPLIT(A6332,"" ""),COUNTA(SPLIT(A6332,"" ""))))"),"Piaggine")</f>
        <v>Piaggine</v>
      </c>
      <c r="C6332" s="6"/>
      <c r="D6332" s="6" t="s">
        <v>6326</v>
      </c>
      <c r="E6332" s="7" t="s">
        <v>6327</v>
      </c>
    </row>
    <row r="6333">
      <c r="A6333" s="4" t="s">
        <v>6422</v>
      </c>
      <c r="B6333" s="5" t="str">
        <f>IFERROR(__xludf.DUMMYFUNCTION("IF(A6333="""","""",INDEX(SPLIT(A6333,"" ""),COUNTA(SPLIT(A6333,"" ""))))"),"Pisciotta")</f>
        <v>Pisciotta</v>
      </c>
      <c r="C6333" s="6"/>
      <c r="D6333" s="6" t="s">
        <v>6326</v>
      </c>
      <c r="E6333" s="7" t="s">
        <v>6327</v>
      </c>
    </row>
    <row r="6334">
      <c r="A6334" s="4" t="s">
        <v>6423</v>
      </c>
      <c r="B6334" s="5" t="str">
        <f>IFERROR(__xludf.DUMMYFUNCTION("IF(A6334="""","""",INDEX(SPLIT(A6334,"" ""),COUNTA(SPLIT(A6334,"" ""))))"),"Polla")</f>
        <v>Polla</v>
      </c>
      <c r="C6334" s="6"/>
      <c r="D6334" s="6" t="s">
        <v>6326</v>
      </c>
      <c r="E6334" s="7" t="s">
        <v>6327</v>
      </c>
    </row>
    <row r="6335">
      <c r="A6335" s="4" t="s">
        <v>6424</v>
      </c>
      <c r="B6335" s="5" t="str">
        <f>IFERROR(__xludf.DUMMYFUNCTION("IF(A6335="""","""",INDEX(SPLIT(A6335,"" ""),COUNTA(SPLIT(A6335,"" ""))))"),"Pollica")</f>
        <v>Pollica</v>
      </c>
      <c r="C6335" s="6"/>
      <c r="D6335" s="6" t="s">
        <v>6326</v>
      </c>
      <c r="E6335" s="7" t="s">
        <v>6327</v>
      </c>
    </row>
    <row r="6336">
      <c r="A6336" s="4" t="s">
        <v>6425</v>
      </c>
      <c r="B6336" s="5" t="str">
        <f>IFERROR(__xludf.DUMMYFUNCTION("IF(A6336="""","""",INDEX(SPLIT(A6336,"" ""),COUNTA(SPLIT(A6336,"" ""))))"),"Faiano")</f>
        <v>Faiano</v>
      </c>
      <c r="C6336" s="6"/>
      <c r="D6336" s="6" t="s">
        <v>6326</v>
      </c>
      <c r="E6336" s="7" t="s">
        <v>6327</v>
      </c>
    </row>
    <row r="6337">
      <c r="A6337" s="4" t="s">
        <v>6426</v>
      </c>
      <c r="B6337" s="5" t="str">
        <f>IFERROR(__xludf.DUMMYFUNCTION("IF(A6337="""","""",INDEX(SPLIT(A6337,"" ""),COUNTA(SPLIT(A6337,"" ""))))"),"Positano")</f>
        <v>Positano</v>
      </c>
      <c r="C6337" s="6"/>
      <c r="D6337" s="6" t="s">
        <v>6326</v>
      </c>
      <c r="E6337" s="7" t="s">
        <v>6327</v>
      </c>
    </row>
    <row r="6338">
      <c r="A6338" s="4" t="s">
        <v>6427</v>
      </c>
      <c r="B6338" s="5" t="str">
        <f>IFERROR(__xludf.DUMMYFUNCTION("IF(A6338="""","""",INDEX(SPLIT(A6338,"" ""),COUNTA(SPLIT(A6338,"" ""))))"),"Postiglione")</f>
        <v>Postiglione</v>
      </c>
      <c r="C6338" s="6"/>
      <c r="D6338" s="6" t="s">
        <v>6326</v>
      </c>
      <c r="E6338" s="7" t="s">
        <v>6327</v>
      </c>
    </row>
    <row r="6339">
      <c r="A6339" s="4" t="s">
        <v>6428</v>
      </c>
      <c r="B6339" s="5" t="str">
        <f>IFERROR(__xludf.DUMMYFUNCTION("IF(A6339="""","""",INDEX(SPLIT(A6339,"" ""),COUNTA(SPLIT(A6339,"" ""))))"),"Praiano")</f>
        <v>Praiano</v>
      </c>
      <c r="C6339" s="6"/>
      <c r="D6339" s="6" t="s">
        <v>6326</v>
      </c>
      <c r="E6339" s="7" t="s">
        <v>6327</v>
      </c>
    </row>
    <row r="6340">
      <c r="A6340" s="4" t="s">
        <v>6429</v>
      </c>
      <c r="B6340" s="5" t="str">
        <f>IFERROR(__xludf.DUMMYFUNCTION("IF(A6340="""","""",INDEX(SPLIT(A6340,"" ""),COUNTA(SPLIT(A6340,"" ""))))"),"Cilento")</f>
        <v>Cilento</v>
      </c>
      <c r="C6340" s="6"/>
      <c r="D6340" s="6" t="s">
        <v>6326</v>
      </c>
      <c r="E6340" s="7" t="s">
        <v>6327</v>
      </c>
    </row>
    <row r="6341">
      <c r="A6341" s="4" t="s">
        <v>6430</v>
      </c>
      <c r="B6341" s="5" t="str">
        <f>IFERROR(__xludf.DUMMYFUNCTION("IF(A6341="""","""",INDEX(SPLIT(A6341,"" ""),COUNTA(SPLIT(A6341,"" ""))))"),"Ravello")</f>
        <v>Ravello</v>
      </c>
      <c r="C6341" s="6"/>
      <c r="D6341" s="6" t="s">
        <v>6326</v>
      </c>
      <c r="E6341" s="7" t="s">
        <v>6327</v>
      </c>
    </row>
    <row r="6342">
      <c r="A6342" s="4" t="s">
        <v>6431</v>
      </c>
      <c r="B6342" s="5" t="str">
        <f>IFERROR(__xludf.DUMMYFUNCTION("IF(A6342="""","""",INDEX(SPLIT(A6342,"" ""),COUNTA(SPLIT(A6342,"" ""))))"),"Ricigliano")</f>
        <v>Ricigliano</v>
      </c>
      <c r="C6342" s="6"/>
      <c r="D6342" s="6" t="s">
        <v>6326</v>
      </c>
      <c r="E6342" s="7" t="s">
        <v>6327</v>
      </c>
    </row>
    <row r="6343">
      <c r="A6343" s="4" t="s">
        <v>6432</v>
      </c>
      <c r="B6343" s="5" t="str">
        <f>IFERROR(__xludf.DUMMYFUNCTION("IF(A6343="""","""",INDEX(SPLIT(A6343,"" ""),COUNTA(SPLIT(A6343,"" ""))))"),"Roccadaspide")</f>
        <v>Roccadaspide</v>
      </c>
      <c r="C6343" s="6"/>
      <c r="D6343" s="6" t="s">
        <v>6326</v>
      </c>
      <c r="E6343" s="7" t="s">
        <v>6327</v>
      </c>
    </row>
    <row r="6344">
      <c r="A6344" s="4" t="s">
        <v>6433</v>
      </c>
      <c r="B6344" s="5" t="str">
        <f>IFERROR(__xludf.DUMMYFUNCTION("IF(A6344="""","""",INDEX(SPLIT(A6344,"" ""),COUNTA(SPLIT(A6344,"" ""))))"),"Roccagloriosa")</f>
        <v>Roccagloriosa</v>
      </c>
      <c r="C6344" s="6"/>
      <c r="D6344" s="6" t="s">
        <v>6326</v>
      </c>
      <c r="E6344" s="7" t="s">
        <v>6327</v>
      </c>
    </row>
    <row r="6345">
      <c r="A6345" s="4" t="s">
        <v>6434</v>
      </c>
      <c r="B6345" s="5" t="str">
        <f>IFERROR(__xludf.DUMMYFUNCTION("IF(A6345="""","""",INDEX(SPLIT(A6345,"" ""),COUNTA(SPLIT(A6345,"" ""))))"),"Roccapiemonte")</f>
        <v>Roccapiemonte</v>
      </c>
      <c r="C6345" s="6"/>
      <c r="D6345" s="6" t="s">
        <v>6326</v>
      </c>
      <c r="E6345" s="7" t="s">
        <v>6327</v>
      </c>
    </row>
    <row r="6346">
      <c r="A6346" s="4" t="s">
        <v>6435</v>
      </c>
      <c r="B6346" s="5" t="str">
        <f>IFERROR(__xludf.DUMMYFUNCTION("IF(A6346="""","""",INDEX(SPLIT(A6346,"" ""),COUNTA(SPLIT(A6346,"" ""))))"),"Rofrano")</f>
        <v>Rofrano</v>
      </c>
      <c r="C6346" s="6"/>
      <c r="D6346" s="6" t="s">
        <v>6326</v>
      </c>
      <c r="E6346" s="7" t="s">
        <v>6327</v>
      </c>
    </row>
    <row r="6347">
      <c r="A6347" s="4" t="s">
        <v>6436</v>
      </c>
      <c r="B6347" s="5" t="str">
        <f>IFERROR(__xludf.DUMMYFUNCTION("IF(A6347="""","""",INDEX(SPLIT(A6347,"" ""),COUNTA(SPLIT(A6347,"" ""))))"),"Monte")</f>
        <v>Monte</v>
      </c>
      <c r="C6347" s="6"/>
      <c r="D6347" s="6" t="s">
        <v>6326</v>
      </c>
      <c r="E6347" s="7" t="s">
        <v>6327</v>
      </c>
    </row>
    <row r="6348">
      <c r="A6348" s="4" t="s">
        <v>6437</v>
      </c>
      <c r="B6348" s="5" t="str">
        <f>IFERROR(__xludf.DUMMYFUNCTION("IF(A6348="""","""",INDEX(SPLIT(A6348,"" ""),COUNTA(SPLIT(A6348,"" ""))))"),"Roscigno")</f>
        <v>Roscigno</v>
      </c>
      <c r="C6348" s="6"/>
      <c r="D6348" s="6" t="s">
        <v>6326</v>
      </c>
      <c r="E6348" s="7" t="s">
        <v>6327</v>
      </c>
    </row>
    <row r="6349">
      <c r="A6349" s="4" t="s">
        <v>6438</v>
      </c>
      <c r="B6349" s="5" t="str">
        <f>IFERROR(__xludf.DUMMYFUNCTION("IF(A6349="""","""",INDEX(SPLIT(A6349,"" ""),COUNTA(SPLIT(A6349,"" ""))))"),"Rutino")</f>
        <v>Rutino</v>
      </c>
      <c r="C6349" s="6"/>
      <c r="D6349" s="6" t="s">
        <v>6326</v>
      </c>
      <c r="E6349" s="7" t="s">
        <v>6327</v>
      </c>
    </row>
    <row r="6350">
      <c r="A6350" s="4" t="s">
        <v>6439</v>
      </c>
      <c r="B6350" s="5" t="str">
        <f>IFERROR(__xludf.DUMMYFUNCTION("IF(A6350="""","""",INDEX(SPLIT(A6350,"" ""),COUNTA(SPLIT(A6350,"" ""))))"),"Sacco")</f>
        <v>Sacco</v>
      </c>
      <c r="C6350" s="6"/>
      <c r="D6350" s="6" t="s">
        <v>6326</v>
      </c>
      <c r="E6350" s="7" t="s">
        <v>6327</v>
      </c>
    </row>
    <row r="6351">
      <c r="A6351" s="4" t="s">
        <v>6440</v>
      </c>
      <c r="B6351" s="5" t="str">
        <f>IFERROR(__xludf.DUMMYFUNCTION("IF(A6351="""","""",INDEX(SPLIT(A6351,"" ""),COUNTA(SPLIT(A6351,"" ""))))"),"Consilina")</f>
        <v>Consilina</v>
      </c>
      <c r="C6351" s="6"/>
      <c r="D6351" s="6" t="s">
        <v>6326</v>
      </c>
      <c r="E6351" s="7" t="s">
        <v>6327</v>
      </c>
    </row>
    <row r="6352">
      <c r="A6352" s="4" t="s">
        <v>6441</v>
      </c>
      <c r="B6352" s="5" t="str">
        <f>IFERROR(__xludf.DUMMYFUNCTION("IF(A6352="""","""",INDEX(SPLIT(A6352,"" ""),COUNTA(SPLIT(A6352,"" ""))))"),"Salento")</f>
        <v>Salento</v>
      </c>
      <c r="C6352" s="6"/>
      <c r="D6352" s="6" t="s">
        <v>6326</v>
      </c>
      <c r="E6352" s="7" t="s">
        <v>6327</v>
      </c>
    </row>
    <row r="6353">
      <c r="A6353" s="4" t="s">
        <v>6326</v>
      </c>
      <c r="B6353" s="5" t="str">
        <f>IFERROR(__xludf.DUMMYFUNCTION("IF(A6353="""","""",INDEX(SPLIT(A6353,"" ""),COUNTA(SPLIT(A6353,"" ""))))"),"Salerno")</f>
        <v>Salerno</v>
      </c>
      <c r="C6353" s="6"/>
      <c r="D6353" s="6" t="s">
        <v>6326</v>
      </c>
      <c r="E6353" s="7" t="s">
        <v>6327</v>
      </c>
    </row>
    <row r="6354">
      <c r="A6354" s="4" t="s">
        <v>6442</v>
      </c>
      <c r="B6354" s="5" t="str">
        <f>IFERROR(__xludf.DUMMYFUNCTION("IF(A6354="""","""",INDEX(SPLIT(A6354,"" ""),COUNTA(SPLIT(A6354,"" ""))))"),"Salvitelle")</f>
        <v>Salvitelle</v>
      </c>
      <c r="C6354" s="6"/>
      <c r="D6354" s="6" t="s">
        <v>6326</v>
      </c>
      <c r="E6354" s="7" t="s">
        <v>6327</v>
      </c>
    </row>
    <row r="6355">
      <c r="A6355" s="4" t="s">
        <v>6443</v>
      </c>
      <c r="B6355" s="5" t="str">
        <f>IFERROR(__xludf.DUMMYFUNCTION("IF(A6355="""","""",INDEX(SPLIT(A6355,"" ""),COUNTA(SPLIT(A6355,"" ""))))"),"Picentino")</f>
        <v>Picentino</v>
      </c>
      <c r="C6355" s="6"/>
      <c r="D6355" s="6" t="s">
        <v>6326</v>
      </c>
      <c r="E6355" s="7" t="s">
        <v>6327</v>
      </c>
    </row>
    <row r="6356">
      <c r="A6356" s="4" t="s">
        <v>6444</v>
      </c>
      <c r="B6356" s="5" t="str">
        <f>IFERROR(__xludf.DUMMYFUNCTION("IF(A6356="""","""",INDEX(SPLIT(A6356,"" ""),COUNTA(SPLIT(A6356,"" ""))))"),"Piro")</f>
        <v>Piro</v>
      </c>
      <c r="C6356" s="6"/>
      <c r="D6356" s="6" t="s">
        <v>6326</v>
      </c>
      <c r="E6356" s="7" t="s">
        <v>6327</v>
      </c>
    </row>
    <row r="6357">
      <c r="A6357" s="4" t="s">
        <v>6445</v>
      </c>
      <c r="B6357" s="5" t="str">
        <f>IFERROR(__xludf.DUMMYFUNCTION("IF(A6357="""","""",INDEX(SPLIT(A6357,"" ""),COUNTA(SPLIT(A6357,"" ""))))"),"Magno")</f>
        <v>Magno</v>
      </c>
      <c r="C6357" s="6"/>
      <c r="D6357" s="6" t="s">
        <v>6326</v>
      </c>
      <c r="E6357" s="7" t="s">
        <v>6327</v>
      </c>
    </row>
    <row r="6358">
      <c r="A6358" s="4" t="s">
        <v>6446</v>
      </c>
      <c r="B6358" s="5" t="str">
        <f>IFERROR(__xludf.DUMMYFUNCTION("IF(A6358="""","""",INDEX(SPLIT(A6358,"" ""),COUNTA(SPLIT(A6358,"" ""))))"),"Piemonte")</f>
        <v>Piemonte</v>
      </c>
      <c r="C6358" s="6"/>
      <c r="D6358" s="6" t="s">
        <v>6326</v>
      </c>
      <c r="E6358" s="7" t="s">
        <v>6327</v>
      </c>
    </row>
    <row r="6359">
      <c r="A6359" s="4" t="s">
        <v>6447</v>
      </c>
      <c r="B6359" s="5" t="str">
        <f>IFERROR(__xludf.DUMMYFUNCTION("IF(A6359="""","""",INDEX(SPLIT(A6359,"" ""),COUNTA(SPLIT(A6359,"" ""))))"),"Sarno")</f>
        <v>Sarno</v>
      </c>
      <c r="C6359" s="6"/>
      <c r="D6359" s="6" t="s">
        <v>6326</v>
      </c>
      <c r="E6359" s="7" t="s">
        <v>6327</v>
      </c>
    </row>
    <row r="6360">
      <c r="A6360" s="4" t="s">
        <v>6448</v>
      </c>
      <c r="B6360" s="5" t="str">
        <f>IFERROR(__xludf.DUMMYFUNCTION("IF(A6360="""","""",INDEX(SPLIT(A6360,"" ""),COUNTA(SPLIT(A6360,"" ""))))"),"Cilento")</f>
        <v>Cilento</v>
      </c>
      <c r="C6360" s="6"/>
      <c r="D6360" s="6" t="s">
        <v>6326</v>
      </c>
      <c r="E6360" s="7" t="s">
        <v>6327</v>
      </c>
    </row>
    <row r="6361">
      <c r="A6361" s="4" t="s">
        <v>6449</v>
      </c>
      <c r="B6361" s="5" t="str">
        <f>IFERROR(__xludf.DUMMYFUNCTION("IF(A6361="""","""",INDEX(SPLIT(A6361,"" ""),COUNTA(SPLIT(A6361,"" ""))))"),"Bruca")</f>
        <v>Bruca</v>
      </c>
      <c r="C6361" s="6"/>
      <c r="D6361" s="6" t="s">
        <v>6326</v>
      </c>
      <c r="E6361" s="7" t="s">
        <v>6327</v>
      </c>
    </row>
    <row r="6362">
      <c r="A6362" s="4" t="s">
        <v>6450</v>
      </c>
      <c r="B6362" s="5" t="str">
        <f>IFERROR(__xludf.DUMMYFUNCTION("IF(A6362="""","""",INDEX(SPLIT(A6362,"" ""),COUNTA(SPLIT(A6362,"" ""))))"),"Tanagro")</f>
        <v>Tanagro</v>
      </c>
      <c r="C6362" s="6"/>
      <c r="D6362" s="6" t="s">
        <v>6326</v>
      </c>
      <c r="E6362" s="7" t="s">
        <v>6327</v>
      </c>
    </row>
    <row r="6363">
      <c r="A6363" s="4" t="s">
        <v>6451</v>
      </c>
      <c r="B6363" s="5" t="str">
        <f>IFERROR(__xludf.DUMMYFUNCTION("IF(A6363="""","""",INDEX(SPLIT(A6363,"" ""),COUNTA(SPLIT(A6363,"" ""))))"),"Rufo")</f>
        <v>Rufo</v>
      </c>
      <c r="C6363" s="6"/>
      <c r="D6363" s="6" t="s">
        <v>6326</v>
      </c>
      <c r="E6363" s="7" t="s">
        <v>6327</v>
      </c>
    </row>
    <row r="6364">
      <c r="A6364" s="4" t="s">
        <v>6452</v>
      </c>
      <c r="B6364" s="5" t="str">
        <f>IFERROR(__xludf.DUMMYFUNCTION("IF(A6364="""","""",INDEX(SPLIT(A6364,"" ""),COUNTA(SPLIT(A6364,"" ""))))"),"Marina")</f>
        <v>Marina</v>
      </c>
      <c r="C6364" s="6"/>
      <c r="D6364" s="6" t="s">
        <v>6326</v>
      </c>
      <c r="E6364" s="7" t="s">
        <v>6327</v>
      </c>
    </row>
    <row r="6365">
      <c r="A6365" s="4" t="s">
        <v>6453</v>
      </c>
      <c r="B6365" s="5" t="str">
        <f>IFERROR(__xludf.DUMMYFUNCTION("IF(A6365="""","""",INDEX(SPLIT(A6365,"" ""),COUNTA(SPLIT(A6365,"" ""))))"),"Fasanella")</f>
        <v>Fasanella</v>
      </c>
      <c r="C6365" s="6"/>
      <c r="D6365" s="6" t="s">
        <v>6326</v>
      </c>
      <c r="E6365" s="7" t="s">
        <v>6327</v>
      </c>
    </row>
    <row r="6366">
      <c r="A6366" s="4" t="s">
        <v>6454</v>
      </c>
      <c r="B6366" s="5" t="str">
        <f>IFERROR(__xludf.DUMMYFUNCTION("IF(A6366="""","""",INDEX(SPLIT(A6366,"" ""),COUNTA(SPLIT(A6366,"" ""))))"),"Sant'Arsenio")</f>
        <v>Sant'Arsenio</v>
      </c>
      <c r="C6366" s="6"/>
      <c r="D6366" s="6" t="s">
        <v>6326</v>
      </c>
      <c r="E6366" s="7" t="s">
        <v>6327</v>
      </c>
    </row>
    <row r="6367">
      <c r="A6367" s="4" t="s">
        <v>6455</v>
      </c>
      <c r="B6367" s="5" t="str">
        <f>IFERROR(__xludf.DUMMYFUNCTION("IF(A6367="""","""",INDEX(SPLIT(A6367,"" ""),COUNTA(SPLIT(A6367,"" ""))))"),"Albino")</f>
        <v>Albino</v>
      </c>
      <c r="C6367" s="6"/>
      <c r="D6367" s="6" t="s">
        <v>6326</v>
      </c>
      <c r="E6367" s="7" t="s">
        <v>6327</v>
      </c>
    </row>
    <row r="6368">
      <c r="A6368" s="4" t="s">
        <v>6456</v>
      </c>
      <c r="B6368" s="5" t="str">
        <f>IFERROR(__xludf.DUMMYFUNCTION("IF(A6368="""","""",INDEX(SPLIT(A6368,"" ""),COUNTA(SPLIT(A6368,"" ""))))"),"Santomenna")</f>
        <v>Santomenna</v>
      </c>
      <c r="C6368" s="6"/>
      <c r="D6368" s="6" t="s">
        <v>6326</v>
      </c>
      <c r="E6368" s="7" t="s">
        <v>6327</v>
      </c>
    </row>
    <row r="6369">
      <c r="A6369" s="4" t="s">
        <v>6457</v>
      </c>
      <c r="B6369" s="5" t="str">
        <f>IFERROR(__xludf.DUMMYFUNCTION("IF(A6369="""","""",INDEX(SPLIT(A6369,"" ""),COUNTA(SPLIT(A6369,"" ""))))"),"Torio")</f>
        <v>Torio</v>
      </c>
      <c r="C6369" s="6"/>
      <c r="D6369" s="6" t="s">
        <v>6326</v>
      </c>
      <c r="E6369" s="7" t="s">
        <v>6327</v>
      </c>
    </row>
    <row r="6370">
      <c r="A6370" s="4" t="s">
        <v>6458</v>
      </c>
      <c r="B6370" s="5" t="str">
        <f>IFERROR(__xludf.DUMMYFUNCTION("IF(A6370="""","""",INDEX(SPLIT(A6370,"" ""),COUNTA(SPLIT(A6370,"" ""))))"),"Sanza")</f>
        <v>Sanza</v>
      </c>
      <c r="C6370" s="6"/>
      <c r="D6370" s="6" t="s">
        <v>6326</v>
      </c>
      <c r="E6370" s="7" t="s">
        <v>6327</v>
      </c>
    </row>
    <row r="6371">
      <c r="A6371" s="4" t="s">
        <v>6459</v>
      </c>
      <c r="B6371" s="5" t="str">
        <f>IFERROR(__xludf.DUMMYFUNCTION("IF(A6371="""","""",INDEX(SPLIT(A6371,"" ""),COUNTA(SPLIT(A6371,"" ""))))"),"Sapri")</f>
        <v>Sapri</v>
      </c>
      <c r="C6371" s="6"/>
      <c r="D6371" s="6" t="s">
        <v>6326</v>
      </c>
      <c r="E6371" s="7" t="s">
        <v>6327</v>
      </c>
    </row>
    <row r="6372">
      <c r="A6372" s="4" t="s">
        <v>6460</v>
      </c>
      <c r="B6372" s="5" t="str">
        <f>IFERROR(__xludf.DUMMYFUNCTION("IF(A6372="""","""",INDEX(SPLIT(A6372,"" ""),COUNTA(SPLIT(A6372,"" ""))))"),"Sarno")</f>
        <v>Sarno</v>
      </c>
      <c r="C6372" s="6"/>
      <c r="D6372" s="6" t="s">
        <v>6326</v>
      </c>
      <c r="E6372" s="7" t="s">
        <v>6327</v>
      </c>
    </row>
    <row r="6373">
      <c r="A6373" s="4" t="s">
        <v>6461</v>
      </c>
      <c r="B6373" s="5" t="str">
        <f>IFERROR(__xludf.DUMMYFUNCTION("IF(A6373="""","""",INDEX(SPLIT(A6373,"" ""),COUNTA(SPLIT(A6373,"" ""))))"),"Sassano")</f>
        <v>Sassano</v>
      </c>
      <c r="C6373" s="6"/>
      <c r="D6373" s="6" t="s">
        <v>6326</v>
      </c>
      <c r="E6373" s="7" t="s">
        <v>6327</v>
      </c>
    </row>
    <row r="6374">
      <c r="A6374" s="4" t="s">
        <v>6462</v>
      </c>
      <c r="B6374" s="5" t="str">
        <f>IFERROR(__xludf.DUMMYFUNCTION("IF(A6374="""","""",INDEX(SPLIT(A6374,"" ""),COUNTA(SPLIT(A6374,"" ""))))"),"Scafati")</f>
        <v>Scafati</v>
      </c>
      <c r="C6374" s="6"/>
      <c r="D6374" s="6" t="s">
        <v>6326</v>
      </c>
      <c r="E6374" s="7" t="s">
        <v>6327</v>
      </c>
    </row>
    <row r="6375">
      <c r="A6375" s="4" t="s">
        <v>6463</v>
      </c>
      <c r="B6375" s="5" t="str">
        <f>IFERROR(__xludf.DUMMYFUNCTION("IF(A6375="""","""",INDEX(SPLIT(A6375,"" ""),COUNTA(SPLIT(A6375,"" ""))))"),"Scala")</f>
        <v>Scala</v>
      </c>
      <c r="C6375" s="6"/>
      <c r="D6375" s="6" t="s">
        <v>6326</v>
      </c>
      <c r="E6375" s="7" t="s">
        <v>6327</v>
      </c>
    </row>
    <row r="6376">
      <c r="A6376" s="4" t="s">
        <v>6464</v>
      </c>
      <c r="B6376" s="5" t="str">
        <f>IFERROR(__xludf.DUMMYFUNCTION("IF(A6376="""","""",INDEX(SPLIT(A6376,"" ""),COUNTA(SPLIT(A6376,"" ""))))"),"Serramezzana")</f>
        <v>Serramezzana</v>
      </c>
      <c r="C6376" s="6"/>
      <c r="D6376" s="6" t="s">
        <v>6326</v>
      </c>
      <c r="E6376" s="7" t="s">
        <v>6327</v>
      </c>
    </row>
    <row r="6377">
      <c r="A6377" s="4" t="s">
        <v>6465</v>
      </c>
      <c r="B6377" s="5" t="str">
        <f>IFERROR(__xludf.DUMMYFUNCTION("IF(A6377="""","""",INDEX(SPLIT(A6377,"" ""),COUNTA(SPLIT(A6377,"" ""))))"),"Serre")</f>
        <v>Serre</v>
      </c>
      <c r="C6377" s="6"/>
      <c r="D6377" s="6" t="s">
        <v>6326</v>
      </c>
      <c r="E6377" s="7" t="s">
        <v>6327</v>
      </c>
    </row>
    <row r="6378">
      <c r="A6378" s="4" t="s">
        <v>6466</v>
      </c>
      <c r="B6378" s="5" t="str">
        <f>IFERROR(__xludf.DUMMYFUNCTION("IF(A6378="""","""",INDEX(SPLIT(A6378,"" ""),COUNTA(SPLIT(A6378,"" ""))))"),"Cilento")</f>
        <v>Cilento</v>
      </c>
      <c r="C6378" s="6"/>
      <c r="D6378" s="6" t="s">
        <v>6326</v>
      </c>
      <c r="E6378" s="7" t="s">
        <v>6327</v>
      </c>
    </row>
    <row r="6379">
      <c r="A6379" s="4" t="s">
        <v>6467</v>
      </c>
      <c r="B6379" s="5" t="str">
        <f>IFERROR(__xludf.DUMMYFUNCTION("IF(A6379="""","""",INDEX(SPLIT(A6379,"" ""),COUNTA(SPLIT(A6379,"" ""))))"),"Siano")</f>
        <v>Siano</v>
      </c>
      <c r="C6379" s="6"/>
      <c r="D6379" s="6" t="s">
        <v>6326</v>
      </c>
      <c r="E6379" s="7" t="s">
        <v>6327</v>
      </c>
    </row>
    <row r="6380">
      <c r="A6380" s="4" t="s">
        <v>6468</v>
      </c>
      <c r="B6380" s="5" t="str">
        <f>IFERROR(__xludf.DUMMYFUNCTION("IF(A6380="""","""",INDEX(SPLIT(A6380,"" ""),COUNTA(SPLIT(A6380,"" ""))))"),"Alburni")</f>
        <v>Alburni</v>
      </c>
      <c r="C6380" s="6"/>
      <c r="D6380" s="6" t="s">
        <v>6326</v>
      </c>
      <c r="E6380" s="7" t="s">
        <v>6327</v>
      </c>
    </row>
    <row r="6381">
      <c r="A6381" s="4" t="s">
        <v>6469</v>
      </c>
      <c r="B6381" s="5" t="str">
        <f>IFERROR(__xludf.DUMMYFUNCTION("IF(A6381="""","""",INDEX(SPLIT(A6381,"" ""),COUNTA(SPLIT(A6381,"" ""))))"),"Cilento")</f>
        <v>Cilento</v>
      </c>
      <c r="C6381" s="6"/>
      <c r="D6381" s="6" t="s">
        <v>6326</v>
      </c>
      <c r="E6381" s="7" t="s">
        <v>6327</v>
      </c>
    </row>
    <row r="6382">
      <c r="A6382" s="4" t="s">
        <v>6470</v>
      </c>
      <c r="B6382" s="5" t="str">
        <f>IFERROR(__xludf.DUMMYFUNCTION("IF(A6382="""","""",INDEX(SPLIT(A6382,"" ""),COUNTA(SPLIT(A6382,"" ""))))"),"Stio")</f>
        <v>Stio</v>
      </c>
      <c r="C6382" s="6"/>
      <c r="D6382" s="6" t="s">
        <v>6326</v>
      </c>
      <c r="E6382" s="7" t="s">
        <v>6327</v>
      </c>
    </row>
    <row r="6383">
      <c r="A6383" s="4" t="s">
        <v>6471</v>
      </c>
      <c r="B6383" s="5" t="str">
        <f>IFERROR(__xludf.DUMMYFUNCTION("IF(A6383="""","""",INDEX(SPLIT(A6383,"" ""),COUNTA(SPLIT(A6383,"" ""))))"),"Teggiano")</f>
        <v>Teggiano</v>
      </c>
      <c r="C6383" s="6"/>
      <c r="D6383" s="6" t="s">
        <v>6326</v>
      </c>
      <c r="E6383" s="7" t="s">
        <v>6327</v>
      </c>
    </row>
    <row r="6384">
      <c r="A6384" s="4" t="s">
        <v>6472</v>
      </c>
      <c r="B6384" s="5" t="str">
        <f>IFERROR(__xludf.DUMMYFUNCTION("IF(A6384="""","""",INDEX(SPLIT(A6384,"" ""),COUNTA(SPLIT(A6384,"" ""))))"),"Torchiara")</f>
        <v>Torchiara</v>
      </c>
      <c r="C6384" s="6"/>
      <c r="D6384" s="6" t="s">
        <v>6326</v>
      </c>
      <c r="E6384" s="7" t="s">
        <v>6327</v>
      </c>
    </row>
    <row r="6385">
      <c r="A6385" s="4" t="s">
        <v>6473</v>
      </c>
      <c r="B6385" s="5" t="str">
        <f>IFERROR(__xludf.DUMMYFUNCTION("IF(A6385="""","""",INDEX(SPLIT(A6385,"" ""),COUNTA(SPLIT(A6385,"" ""))))"),"Torraca")</f>
        <v>Torraca</v>
      </c>
      <c r="C6385" s="6"/>
      <c r="D6385" s="6" t="s">
        <v>6326</v>
      </c>
      <c r="E6385" s="7" t="s">
        <v>6327</v>
      </c>
    </row>
    <row r="6386">
      <c r="A6386" s="4" t="s">
        <v>6474</v>
      </c>
      <c r="B6386" s="5" t="str">
        <f>IFERROR(__xludf.DUMMYFUNCTION("IF(A6386="""","""",INDEX(SPLIT(A6386,"" ""),COUNTA(SPLIT(A6386,"" ""))))"),"Orsaia")</f>
        <v>Orsaia</v>
      </c>
      <c r="C6386" s="6"/>
      <c r="D6386" s="6" t="s">
        <v>6326</v>
      </c>
      <c r="E6386" s="7" t="s">
        <v>6327</v>
      </c>
    </row>
    <row r="6387">
      <c r="A6387" s="4" t="s">
        <v>6475</v>
      </c>
      <c r="B6387" s="5" t="str">
        <f>IFERROR(__xludf.DUMMYFUNCTION("IF(A6387="""","""",INDEX(SPLIT(A6387,"" ""),COUNTA(SPLIT(A6387,"" ""))))"),"Tortorella")</f>
        <v>Tortorella</v>
      </c>
      <c r="C6387" s="6"/>
      <c r="D6387" s="6" t="s">
        <v>6326</v>
      </c>
      <c r="E6387" s="7" t="s">
        <v>6327</v>
      </c>
    </row>
    <row r="6388">
      <c r="A6388" s="4" t="s">
        <v>6476</v>
      </c>
      <c r="B6388" s="5" t="str">
        <f>IFERROR(__xludf.DUMMYFUNCTION("IF(A6388="""","""",INDEX(SPLIT(A6388,"" ""),COUNTA(SPLIT(A6388,"" ""))))"),"Tramonti")</f>
        <v>Tramonti</v>
      </c>
      <c r="C6388" s="6"/>
      <c r="D6388" s="6" t="s">
        <v>6326</v>
      </c>
      <c r="E6388" s="7" t="s">
        <v>6327</v>
      </c>
    </row>
    <row r="6389">
      <c r="A6389" s="4" t="s">
        <v>6477</v>
      </c>
      <c r="B6389" s="5" t="str">
        <f>IFERROR(__xludf.DUMMYFUNCTION("IF(A6389="""","""",INDEX(SPLIT(A6389,"" ""),COUNTA(SPLIT(A6389,"" ""))))"),"Trentinara")</f>
        <v>Trentinara</v>
      </c>
      <c r="C6389" s="6"/>
      <c r="D6389" s="6" t="s">
        <v>6326</v>
      </c>
      <c r="E6389" s="7" t="s">
        <v>6327</v>
      </c>
    </row>
    <row r="6390">
      <c r="A6390" s="4" t="s">
        <v>6478</v>
      </c>
      <c r="B6390" s="5" t="str">
        <f>IFERROR(__xludf.DUMMYFUNCTION("IF(A6390="""","""",INDEX(SPLIT(A6390,"" ""),COUNTA(SPLIT(A6390,"" ""))))"),"dell'Angelo")</f>
        <v>dell'Angelo</v>
      </c>
      <c r="C6390" s="6"/>
      <c r="D6390" s="6" t="s">
        <v>6326</v>
      </c>
      <c r="E6390" s="7" t="s">
        <v>6327</v>
      </c>
    </row>
    <row r="6391">
      <c r="A6391" s="4" t="s">
        <v>6479</v>
      </c>
      <c r="B6391" s="5" t="str">
        <f>IFERROR(__xludf.DUMMYFUNCTION("IF(A6391="""","""",INDEX(SPLIT(A6391,"" ""),COUNTA(SPLIT(A6391,"" ""))))"),"Lucania")</f>
        <v>Lucania</v>
      </c>
      <c r="C6391" s="6"/>
      <c r="D6391" s="6" t="s">
        <v>6326</v>
      </c>
      <c r="E6391" s="7" t="s">
        <v>6327</v>
      </c>
    </row>
    <row r="6392">
      <c r="A6392" s="4" t="s">
        <v>6480</v>
      </c>
      <c r="B6392" s="5" t="str">
        <f>IFERROR(__xludf.DUMMYFUNCTION("IF(A6392="""","""",INDEX(SPLIT(A6392,"" ""),COUNTA(SPLIT(A6392,"" ""))))"),"Valva")</f>
        <v>Valva</v>
      </c>
      <c r="C6392" s="6"/>
      <c r="D6392" s="6" t="s">
        <v>6326</v>
      </c>
      <c r="E6392" s="7" t="s">
        <v>6327</v>
      </c>
    </row>
    <row r="6393">
      <c r="A6393" s="4" t="s">
        <v>6481</v>
      </c>
      <c r="B6393" s="5" t="str">
        <f>IFERROR(__xludf.DUMMYFUNCTION("IF(A6393="""","""",INDEX(SPLIT(A6393,"" ""),COUNTA(SPLIT(A6393,"" ""))))"),"Vibonati")</f>
        <v>Vibonati</v>
      </c>
      <c r="C6393" s="6"/>
      <c r="D6393" s="6" t="s">
        <v>6326</v>
      </c>
      <c r="E6393" s="7" t="s">
        <v>6327</v>
      </c>
    </row>
    <row r="6394">
      <c r="A6394" s="4" t="s">
        <v>6482</v>
      </c>
      <c r="B6394" s="5" t="str">
        <f>IFERROR(__xludf.DUMMYFUNCTION("IF(A6394="""","""",INDEX(SPLIT(A6394,"" ""),COUNTA(SPLIT(A6394,"" ""))))"),"Mare")</f>
        <v>Mare</v>
      </c>
      <c r="C6394" s="6"/>
      <c r="D6394" s="6" t="s">
        <v>6326</v>
      </c>
      <c r="E6394" s="7" t="s">
        <v>6327</v>
      </c>
    </row>
    <row r="6395">
      <c r="A6395" s="4" t="s">
        <v>6483</v>
      </c>
      <c r="B6395" s="5" t="str">
        <f>IFERROR(__xludf.DUMMYFUNCTION("IF(A6395="""","""",INDEX(SPLIT(A6395,"" ""),COUNTA(SPLIT(A6395,"" ""))))"),"Bellizzi")</f>
        <v>Bellizzi</v>
      </c>
      <c r="C6395" s="6"/>
      <c r="D6395" s="6" t="s">
        <v>6326</v>
      </c>
      <c r="E6395" s="7" t="s">
        <v>6327</v>
      </c>
    </row>
    <row r="6396">
      <c r="A6396" s="4" t="s">
        <v>6484</v>
      </c>
      <c r="B6396" s="5" t="str">
        <f>IFERROR(__xludf.DUMMYFUNCTION("IF(A6396="""","""",INDEX(SPLIT(A6396,"" ""),COUNTA(SPLIT(A6396,"" ""))))"),"Accadia")</f>
        <v>Accadia</v>
      </c>
      <c r="C6396" s="6"/>
      <c r="D6396" s="6" t="s">
        <v>6485</v>
      </c>
      <c r="E6396" s="7" t="s">
        <v>6486</v>
      </c>
    </row>
    <row r="6397">
      <c r="A6397" s="4" t="s">
        <v>6487</v>
      </c>
      <c r="B6397" s="5" t="str">
        <f>IFERROR(__xludf.DUMMYFUNCTION("IF(A6397="""","""",INDEX(SPLIT(A6397,"" ""),COUNTA(SPLIT(A6397,"" ""))))"),"Alberona")</f>
        <v>Alberona</v>
      </c>
      <c r="C6397" s="6"/>
      <c r="D6397" s="6" t="s">
        <v>6485</v>
      </c>
      <c r="E6397" s="7" t="s">
        <v>6486</v>
      </c>
    </row>
    <row r="6398">
      <c r="A6398" s="4" t="s">
        <v>6488</v>
      </c>
      <c r="B6398" s="5" t="str">
        <f>IFERROR(__xludf.DUMMYFUNCTION("IF(A6398="""","""",INDEX(SPLIT(A6398,"" ""),COUNTA(SPLIT(A6398,"" ""))))"),"Puglia")</f>
        <v>Puglia</v>
      </c>
      <c r="C6398" s="6"/>
      <c r="D6398" s="6" t="s">
        <v>6485</v>
      </c>
      <c r="E6398" s="7" t="s">
        <v>6486</v>
      </c>
    </row>
    <row r="6399">
      <c r="A6399" s="4" t="s">
        <v>6489</v>
      </c>
      <c r="B6399" s="5" t="str">
        <f>IFERROR(__xludf.DUMMYFUNCTION("IF(A6399="""","""",INDEX(SPLIT(A6399,"" ""),COUNTA(SPLIT(A6399,"" ""))))"),"Apricena")</f>
        <v>Apricena</v>
      </c>
      <c r="C6399" s="6"/>
      <c r="D6399" s="6" t="s">
        <v>6485</v>
      </c>
      <c r="E6399" s="7" t="s">
        <v>6486</v>
      </c>
    </row>
    <row r="6400">
      <c r="A6400" s="4" t="s">
        <v>6490</v>
      </c>
      <c r="B6400" s="5" t="str">
        <f>IFERROR(__xludf.DUMMYFUNCTION("IF(A6400="""","""",INDEX(SPLIT(A6400,"" ""),COUNTA(SPLIT(A6400,"" ""))))"),"Satriano")</f>
        <v>Satriano</v>
      </c>
      <c r="C6400" s="6"/>
      <c r="D6400" s="6" t="s">
        <v>6485</v>
      </c>
      <c r="E6400" s="7" t="s">
        <v>6486</v>
      </c>
    </row>
    <row r="6401">
      <c r="A6401" s="4" t="s">
        <v>6491</v>
      </c>
      <c r="B6401" s="5" t="str">
        <f>IFERROR(__xludf.DUMMYFUNCTION("IF(A6401="""","""",INDEX(SPLIT(A6401,"" ""),COUNTA(SPLIT(A6401,"" ""))))"),"Biccari")</f>
        <v>Biccari</v>
      </c>
      <c r="C6401" s="6"/>
      <c r="D6401" s="6" t="s">
        <v>6485</v>
      </c>
      <c r="E6401" s="7" t="s">
        <v>6486</v>
      </c>
    </row>
    <row r="6402">
      <c r="A6402" s="4" t="s">
        <v>6492</v>
      </c>
      <c r="B6402" s="5" t="str">
        <f>IFERROR(__xludf.DUMMYFUNCTION("IF(A6402="""","""",INDEX(SPLIT(A6402,"" ""),COUNTA(SPLIT(A6402,"" ""))))"),"Bovino")</f>
        <v>Bovino</v>
      </c>
      <c r="C6402" s="6"/>
      <c r="D6402" s="6" t="s">
        <v>6485</v>
      </c>
      <c r="E6402" s="7" t="s">
        <v>6486</v>
      </c>
    </row>
    <row r="6403">
      <c r="A6403" s="4" t="s">
        <v>6493</v>
      </c>
      <c r="B6403" s="5" t="str">
        <f>IFERROR(__xludf.DUMMYFUNCTION("IF(A6403="""","""",INDEX(SPLIT(A6403,"" ""),COUNTA(SPLIT(A6403,"" ""))))"),"Varano")</f>
        <v>Varano</v>
      </c>
      <c r="C6403" s="6"/>
      <c r="D6403" s="6" t="s">
        <v>6485</v>
      </c>
      <c r="E6403" s="7" t="s">
        <v>6486</v>
      </c>
    </row>
    <row r="6404">
      <c r="A6404" s="4" t="s">
        <v>6494</v>
      </c>
      <c r="B6404" s="5" t="str">
        <f>IFERROR(__xludf.DUMMYFUNCTION("IF(A6404="""","""",INDEX(SPLIT(A6404,"" ""),COUNTA(SPLIT(A6404,"" ""))))"),"Candela")</f>
        <v>Candela</v>
      </c>
      <c r="C6404" s="6"/>
      <c r="D6404" s="6" t="s">
        <v>6485</v>
      </c>
      <c r="E6404" s="7" t="s">
        <v>6486</v>
      </c>
    </row>
    <row r="6405">
      <c r="A6405" s="4" t="s">
        <v>6495</v>
      </c>
      <c r="B6405" s="5" t="str">
        <f>IFERROR(__xludf.DUMMYFUNCTION("IF(A6405="""","""",INDEX(SPLIT(A6405,"" ""),COUNTA(SPLIT(A6405,"" ""))))"),"Carapelle")</f>
        <v>Carapelle</v>
      </c>
      <c r="C6405" s="6"/>
      <c r="D6405" s="6" t="s">
        <v>6485</v>
      </c>
      <c r="E6405" s="7" t="s">
        <v>6486</v>
      </c>
    </row>
    <row r="6406">
      <c r="A6406" s="4" t="s">
        <v>6496</v>
      </c>
      <c r="B6406" s="5" t="str">
        <f>IFERROR(__xludf.DUMMYFUNCTION("IF(A6406="""","""",INDEX(SPLIT(A6406,"" ""),COUNTA(SPLIT(A6406,"" ""))))"),"Carlantino")</f>
        <v>Carlantino</v>
      </c>
      <c r="C6406" s="6"/>
      <c r="D6406" s="6" t="s">
        <v>6485</v>
      </c>
      <c r="E6406" s="7" t="s">
        <v>6486</v>
      </c>
    </row>
    <row r="6407">
      <c r="A6407" s="4" t="s">
        <v>6497</v>
      </c>
      <c r="B6407" s="5" t="str">
        <f>IFERROR(__xludf.DUMMYFUNCTION("IF(A6407="""","""",INDEX(SPLIT(A6407,"" ""),COUNTA(SPLIT(A6407,"" ""))))"),"Carpino")</f>
        <v>Carpino</v>
      </c>
      <c r="C6407" s="6"/>
      <c r="D6407" s="6" t="s">
        <v>6485</v>
      </c>
      <c r="E6407" s="7" t="s">
        <v>6486</v>
      </c>
    </row>
    <row r="6408">
      <c r="A6408" s="4" t="s">
        <v>6498</v>
      </c>
      <c r="B6408" s="5" t="str">
        <f>IFERROR(__xludf.DUMMYFUNCTION("IF(A6408="""","""",INDEX(SPLIT(A6408,"" ""),COUNTA(SPLIT(A6408,"" ""))))"),"Monterotaro")</f>
        <v>Monterotaro</v>
      </c>
      <c r="C6408" s="6"/>
      <c r="D6408" s="6" t="s">
        <v>6485</v>
      </c>
      <c r="E6408" s="7" t="s">
        <v>6486</v>
      </c>
    </row>
    <row r="6409">
      <c r="A6409" s="4" t="s">
        <v>6499</v>
      </c>
      <c r="B6409" s="5" t="str">
        <f>IFERROR(__xludf.DUMMYFUNCTION("IF(A6409="""","""",INDEX(SPLIT(A6409,"" ""),COUNTA(SPLIT(A6409,"" ""))))"),"Puglia")</f>
        <v>Puglia</v>
      </c>
      <c r="C6409" s="6"/>
      <c r="D6409" s="6" t="s">
        <v>6485</v>
      </c>
      <c r="E6409" s="7" t="s">
        <v>6486</v>
      </c>
    </row>
    <row r="6410">
      <c r="A6410" s="4" t="s">
        <v>6500</v>
      </c>
      <c r="B6410" s="5" t="str">
        <f>IFERROR(__xludf.DUMMYFUNCTION("IF(A6410="""","""",INDEX(SPLIT(A6410,"" ""),COUNTA(SPLIT(A6410,"" ""))))"),"Sauri")</f>
        <v>Sauri</v>
      </c>
      <c r="C6410" s="6"/>
      <c r="D6410" s="6" t="s">
        <v>6485</v>
      </c>
      <c r="E6410" s="7" t="s">
        <v>6486</v>
      </c>
    </row>
    <row r="6411">
      <c r="A6411" s="4" t="s">
        <v>6501</v>
      </c>
      <c r="B6411" s="5" t="str">
        <f>IFERROR(__xludf.DUMMYFUNCTION("IF(A6411="""","""",INDEX(SPLIT(A6411,"" ""),COUNTA(SPLIT(A6411,"" ""))))"),"Valmaggiore")</f>
        <v>Valmaggiore</v>
      </c>
      <c r="C6411" s="6"/>
      <c r="D6411" s="6" t="s">
        <v>6485</v>
      </c>
      <c r="E6411" s="7" t="s">
        <v>6486</v>
      </c>
    </row>
    <row r="6412">
      <c r="A6412" s="4" t="s">
        <v>6502</v>
      </c>
      <c r="B6412" s="5" t="str">
        <f>IFERROR(__xludf.DUMMYFUNCTION("IF(A6412="""","""",INDEX(SPLIT(A6412,"" ""),COUNTA(SPLIT(A6412,"" ""))))"),"Daunia")</f>
        <v>Daunia</v>
      </c>
      <c r="C6412" s="6"/>
      <c r="D6412" s="6" t="s">
        <v>6485</v>
      </c>
      <c r="E6412" s="7" t="s">
        <v>6486</v>
      </c>
    </row>
    <row r="6413">
      <c r="A6413" s="4" t="s">
        <v>6503</v>
      </c>
      <c r="B6413" s="5" t="str">
        <f>IFERROR(__xludf.DUMMYFUNCTION("IF(A6413="""","""",INDEX(SPLIT(A6413,"" ""),COUNTA(SPLIT(A6413,"" ""))))"),"Valfortore")</f>
        <v>Valfortore</v>
      </c>
      <c r="C6413" s="6"/>
      <c r="D6413" s="6" t="s">
        <v>6485</v>
      </c>
      <c r="E6413" s="7" t="s">
        <v>6486</v>
      </c>
    </row>
    <row r="6414">
      <c r="A6414" s="4" t="s">
        <v>6504</v>
      </c>
      <c r="B6414" s="5" t="str">
        <f>IFERROR(__xludf.DUMMYFUNCTION("IF(A6414="""","""",INDEX(SPLIT(A6414,"" ""),COUNTA(SPLIT(A6414,"" ""))))"),"Vito")</f>
        <v>Vito</v>
      </c>
      <c r="C6414" s="6"/>
      <c r="D6414" s="6" t="s">
        <v>6485</v>
      </c>
      <c r="E6414" s="7" t="s">
        <v>6486</v>
      </c>
    </row>
    <row r="6415">
      <c r="A6415" s="4" t="s">
        <v>6505</v>
      </c>
      <c r="B6415" s="5" t="str">
        <f>IFERROR(__xludf.DUMMYFUNCTION("IF(A6415="""","""",INDEX(SPLIT(A6415,"" ""),COUNTA(SPLIT(A6415,"" ""))))"),"Cerignola")</f>
        <v>Cerignola</v>
      </c>
      <c r="C6415" s="6"/>
      <c r="D6415" s="6" t="s">
        <v>6485</v>
      </c>
      <c r="E6415" s="7" t="s">
        <v>6486</v>
      </c>
    </row>
    <row r="6416">
      <c r="A6416" s="4" t="s">
        <v>6506</v>
      </c>
      <c r="B6416" s="5" t="str">
        <f>IFERROR(__xludf.DUMMYFUNCTION("IF(A6416="""","""",INDEX(SPLIT(A6416,"" ""),COUNTA(SPLIT(A6416,"" ""))))"),"Chieuti")</f>
        <v>Chieuti</v>
      </c>
      <c r="C6416" s="6"/>
      <c r="D6416" s="6" t="s">
        <v>6485</v>
      </c>
      <c r="E6416" s="7" t="s">
        <v>6486</v>
      </c>
    </row>
    <row r="6417">
      <c r="A6417" s="4" t="s">
        <v>6507</v>
      </c>
      <c r="B6417" s="5" t="str">
        <f>IFERROR(__xludf.DUMMYFUNCTION("IF(A6417="""","""",INDEX(SPLIT(A6417,"" ""),COUNTA(SPLIT(A6417,"" ""))))"),"Deliceto")</f>
        <v>Deliceto</v>
      </c>
      <c r="C6417" s="6"/>
      <c r="D6417" s="6" t="s">
        <v>6485</v>
      </c>
      <c r="E6417" s="7" t="s">
        <v>6486</v>
      </c>
    </row>
    <row r="6418">
      <c r="A6418" s="4" t="s">
        <v>6508</v>
      </c>
      <c r="B6418" s="5" t="str">
        <f>IFERROR(__xludf.DUMMYFUNCTION("IF(A6418="""","""",INDEX(SPLIT(A6418,"" ""),COUNTA(SPLIT(A6418,"" ""))))"),"Faeto")</f>
        <v>Faeto</v>
      </c>
      <c r="C6418" s="6"/>
      <c r="D6418" s="6" t="s">
        <v>6485</v>
      </c>
      <c r="E6418" s="7" t="s">
        <v>6486</v>
      </c>
    </row>
    <row r="6419">
      <c r="A6419" s="4" t="s">
        <v>6485</v>
      </c>
      <c r="B6419" s="5" t="str">
        <f>IFERROR(__xludf.DUMMYFUNCTION("IF(A6419="""","""",INDEX(SPLIT(A6419,"" ""),COUNTA(SPLIT(A6419,"" ""))))"),"Foggia")</f>
        <v>Foggia</v>
      </c>
      <c r="C6419" s="6"/>
      <c r="D6419" s="6" t="s">
        <v>6485</v>
      </c>
      <c r="E6419" s="7" t="s">
        <v>6486</v>
      </c>
    </row>
    <row r="6420">
      <c r="A6420" s="4" t="s">
        <v>6509</v>
      </c>
      <c r="B6420" s="5" t="str">
        <f>IFERROR(__xludf.DUMMYFUNCTION("IF(A6420="""","""",INDEX(SPLIT(A6420,"" ""),COUNTA(SPLIT(A6420,"" ""))))"),"Ischitella")</f>
        <v>Ischitella</v>
      </c>
      <c r="C6420" s="6"/>
      <c r="D6420" s="6" t="s">
        <v>6485</v>
      </c>
      <c r="E6420" s="7" t="s">
        <v>6486</v>
      </c>
    </row>
    <row r="6421">
      <c r="A6421" s="4" t="s">
        <v>6510</v>
      </c>
      <c r="B6421" s="5" t="str">
        <f>IFERROR(__xludf.DUMMYFUNCTION("IF(A6421="""","""",INDEX(SPLIT(A6421,"" ""),COUNTA(SPLIT(A6421,"" ""))))"),"Tremiti")</f>
        <v>Tremiti</v>
      </c>
      <c r="C6421" s="6"/>
      <c r="D6421" s="6" t="s">
        <v>6485</v>
      </c>
      <c r="E6421" s="7" t="s">
        <v>6486</v>
      </c>
    </row>
    <row r="6422">
      <c r="A6422" s="4" t="s">
        <v>6511</v>
      </c>
      <c r="B6422" s="5" t="str">
        <f>IFERROR(__xludf.DUMMYFUNCTION("IF(A6422="""","""",INDEX(SPLIT(A6422,"" ""),COUNTA(SPLIT(A6422,"" ""))))"),"Lesina")</f>
        <v>Lesina</v>
      </c>
      <c r="C6422" s="6"/>
      <c r="D6422" s="6" t="s">
        <v>6485</v>
      </c>
      <c r="E6422" s="7" t="s">
        <v>6486</v>
      </c>
    </row>
    <row r="6423">
      <c r="A6423" s="4" t="s">
        <v>6512</v>
      </c>
      <c r="B6423" s="5" t="str">
        <f>IFERROR(__xludf.DUMMYFUNCTION("IF(A6423="""","""",INDEX(SPLIT(A6423,"" ""),COUNTA(SPLIT(A6423,"" ""))))"),"Lucera")</f>
        <v>Lucera</v>
      </c>
      <c r="C6423" s="6"/>
      <c r="D6423" s="6" t="s">
        <v>6485</v>
      </c>
      <c r="E6423" s="7" t="s">
        <v>6486</v>
      </c>
    </row>
    <row r="6424">
      <c r="A6424" s="4" t="s">
        <v>6513</v>
      </c>
      <c r="B6424" s="5" t="str">
        <f>IFERROR(__xludf.DUMMYFUNCTION("IF(A6424="""","""",INDEX(SPLIT(A6424,"" ""),COUNTA(SPLIT(A6424,"" ""))))"),"Manfredonia")</f>
        <v>Manfredonia</v>
      </c>
      <c r="C6424" s="6"/>
      <c r="D6424" s="6" t="s">
        <v>6485</v>
      </c>
      <c r="E6424" s="7" t="s">
        <v>6486</v>
      </c>
    </row>
    <row r="6425">
      <c r="A6425" s="4" t="s">
        <v>6514</v>
      </c>
      <c r="B6425" s="5" t="str">
        <f>IFERROR(__xludf.DUMMYFUNCTION("IF(A6425="""","""",INDEX(SPLIT(A6425,"" ""),COUNTA(SPLIT(A6425,"" ""))))"),"Mattinata")</f>
        <v>Mattinata</v>
      </c>
      <c r="C6425" s="6"/>
      <c r="D6425" s="6" t="s">
        <v>6485</v>
      </c>
      <c r="E6425" s="7" t="s">
        <v>6486</v>
      </c>
    </row>
    <row r="6426">
      <c r="A6426" s="4" t="s">
        <v>6515</v>
      </c>
      <c r="B6426" s="5" t="str">
        <f>IFERROR(__xludf.DUMMYFUNCTION("IF(A6426="""","""",INDEX(SPLIT(A6426,"" ""),COUNTA(SPLIT(A6426,"" ""))))"),"Puglia")</f>
        <v>Puglia</v>
      </c>
      <c r="C6426" s="6"/>
      <c r="D6426" s="6" t="s">
        <v>6485</v>
      </c>
      <c r="E6426" s="7" t="s">
        <v>6486</v>
      </c>
    </row>
    <row r="6427">
      <c r="A6427" s="4" t="s">
        <v>6516</v>
      </c>
      <c r="B6427" s="5" t="str">
        <f>IFERROR(__xludf.DUMMYFUNCTION("IF(A6427="""","""",INDEX(SPLIT(A6427,"" ""),COUNTA(SPLIT(A6427,"" ""))))"),"Sant'Angelo")</f>
        <v>Sant'Angelo</v>
      </c>
      <c r="C6427" s="6"/>
      <c r="D6427" s="6" t="s">
        <v>6485</v>
      </c>
      <c r="E6427" s="7" t="s">
        <v>6486</v>
      </c>
    </row>
    <row r="6428">
      <c r="A6428" s="4" t="s">
        <v>6517</v>
      </c>
      <c r="B6428" s="5" t="str">
        <f>IFERROR(__xludf.DUMMYFUNCTION("IF(A6428="""","""",INDEX(SPLIT(A6428,"" ""),COUNTA(SPLIT(A6428,"" ""))))"),"Montecorvino")</f>
        <v>Montecorvino</v>
      </c>
      <c r="C6428" s="6"/>
      <c r="D6428" s="6" t="s">
        <v>6485</v>
      </c>
      <c r="E6428" s="7" t="s">
        <v>6486</v>
      </c>
    </row>
    <row r="6429">
      <c r="A6429" s="4" t="s">
        <v>6518</v>
      </c>
      <c r="B6429" s="5" t="str">
        <f>IFERROR(__xludf.DUMMYFUNCTION("IF(A6429="""","""",INDEX(SPLIT(A6429,"" ""),COUNTA(SPLIT(A6429,"" ""))))"),"Puglia")</f>
        <v>Puglia</v>
      </c>
      <c r="C6429" s="6"/>
      <c r="D6429" s="6" t="s">
        <v>6485</v>
      </c>
      <c r="E6429" s="7" t="s">
        <v>6486</v>
      </c>
    </row>
    <row r="6430">
      <c r="A6430" s="4" t="s">
        <v>6519</v>
      </c>
      <c r="B6430" s="5" t="str">
        <f>IFERROR(__xludf.DUMMYFUNCTION("IF(A6430="""","""",INDEX(SPLIT(A6430,"" ""),COUNTA(SPLIT(A6430,"" ""))))"),"Nova")</f>
        <v>Nova</v>
      </c>
      <c r="C6430" s="6"/>
      <c r="D6430" s="6" t="s">
        <v>6485</v>
      </c>
      <c r="E6430" s="7" t="s">
        <v>6486</v>
      </c>
    </row>
    <row r="6431">
      <c r="A6431" s="4" t="s">
        <v>6520</v>
      </c>
      <c r="B6431" s="5" t="str">
        <f>IFERROR(__xludf.DUMMYFUNCTION("IF(A6431="""","""",INDEX(SPLIT(A6431,"" ""),COUNTA(SPLIT(A6431,"" ""))))"),"Panni")</f>
        <v>Panni</v>
      </c>
      <c r="C6431" s="6"/>
      <c r="D6431" s="6" t="s">
        <v>6485</v>
      </c>
      <c r="E6431" s="7" t="s">
        <v>6486</v>
      </c>
    </row>
    <row r="6432">
      <c r="A6432" s="4" t="s">
        <v>6521</v>
      </c>
      <c r="B6432" s="5" t="str">
        <f>IFERROR(__xludf.DUMMYFUNCTION("IF(A6432="""","""",INDEX(SPLIT(A6432,"" ""),COUNTA(SPLIT(A6432,"" ""))))"),"Peschici")</f>
        <v>Peschici</v>
      </c>
      <c r="C6432" s="6"/>
      <c r="D6432" s="6" t="s">
        <v>6485</v>
      </c>
      <c r="E6432" s="7" t="s">
        <v>6486</v>
      </c>
    </row>
    <row r="6433">
      <c r="A6433" s="4" t="s">
        <v>6522</v>
      </c>
      <c r="B6433" s="5" t="str">
        <f>IFERROR(__xludf.DUMMYFUNCTION("IF(A6433="""","""",INDEX(SPLIT(A6433,"" ""),COUNTA(SPLIT(A6433,"" ""))))"),"Pietramontecorvino")</f>
        <v>Pietramontecorvino</v>
      </c>
      <c r="C6433" s="6"/>
      <c r="D6433" s="6" t="s">
        <v>6485</v>
      </c>
      <c r="E6433" s="7" t="s">
        <v>6486</v>
      </c>
    </row>
    <row r="6434">
      <c r="A6434" s="4" t="s">
        <v>6523</v>
      </c>
      <c r="B6434" s="5" t="str">
        <f>IFERROR(__xludf.DUMMYFUNCTION("IF(A6434="""","""",INDEX(SPLIT(A6434,"" ""),COUNTA(SPLIT(A6434,"" ""))))"),"Imperiale")</f>
        <v>Imperiale</v>
      </c>
      <c r="C6434" s="6"/>
      <c r="D6434" s="6" t="s">
        <v>6485</v>
      </c>
      <c r="E6434" s="7" t="s">
        <v>6486</v>
      </c>
    </row>
    <row r="6435">
      <c r="A6435" s="4" t="s">
        <v>6524</v>
      </c>
      <c r="B6435" s="5" t="str">
        <f>IFERROR(__xludf.DUMMYFUNCTION("IF(A6435="""","""",INDEX(SPLIT(A6435,"" ""),COUNTA(SPLIT(A6435,"" ""))))"),"Garganico")</f>
        <v>Garganico</v>
      </c>
      <c r="C6435" s="6"/>
      <c r="D6435" s="6" t="s">
        <v>6485</v>
      </c>
      <c r="E6435" s="7" t="s">
        <v>6486</v>
      </c>
    </row>
    <row r="6436">
      <c r="A6436" s="4" t="s">
        <v>6525</v>
      </c>
      <c r="B6436" s="5" t="str">
        <f>IFERROR(__xludf.DUMMYFUNCTION("IF(A6436="""","""",INDEX(SPLIT(A6436,"" ""),COUNTA(SPLIT(A6436,"" ""))))"),"Sant'Antonio")</f>
        <v>Sant'Antonio</v>
      </c>
      <c r="C6436" s="6"/>
      <c r="D6436" s="6" t="s">
        <v>6485</v>
      </c>
      <c r="E6436" s="7" t="s">
        <v>6486</v>
      </c>
    </row>
    <row r="6437">
      <c r="A6437" s="4" t="s">
        <v>6526</v>
      </c>
      <c r="B6437" s="5" t="str">
        <f>IFERROR(__xludf.DUMMYFUNCTION("IF(A6437="""","""",INDEX(SPLIT(A6437,"" ""),COUNTA(SPLIT(A6437,"" ""))))"),"Garganico")</f>
        <v>Garganico</v>
      </c>
      <c r="C6437" s="6"/>
      <c r="D6437" s="6" t="s">
        <v>6485</v>
      </c>
      <c r="E6437" s="7" t="s">
        <v>6486</v>
      </c>
    </row>
    <row r="6438">
      <c r="A6438" s="4" t="s">
        <v>6527</v>
      </c>
      <c r="B6438" s="5" t="str">
        <f>IFERROR(__xludf.DUMMYFUNCTION("IF(A6438="""","""",INDEX(SPLIT(A6438,"" ""),COUNTA(SPLIT(A6438,"" ""))))"),"Valfortore")</f>
        <v>Valfortore</v>
      </c>
      <c r="C6438" s="6"/>
      <c r="D6438" s="6" t="s">
        <v>6485</v>
      </c>
      <c r="E6438" s="7" t="s">
        <v>6486</v>
      </c>
    </row>
    <row r="6439">
      <c r="A6439" s="4" t="s">
        <v>6528</v>
      </c>
      <c r="B6439" s="5" t="str">
        <f>IFERROR(__xludf.DUMMYFUNCTION("IF(A6439="""","""",INDEX(SPLIT(A6439,"" ""),COUNTA(SPLIT(A6439,"" ""))))"),"Rotondo")</f>
        <v>Rotondo</v>
      </c>
      <c r="C6439" s="6"/>
      <c r="D6439" s="6" t="s">
        <v>6485</v>
      </c>
      <c r="E6439" s="7" t="s">
        <v>6486</v>
      </c>
    </row>
    <row r="6440">
      <c r="A6440" s="4" t="s">
        <v>6529</v>
      </c>
      <c r="B6440" s="5" t="str">
        <f>IFERROR(__xludf.DUMMYFUNCTION("IF(A6440="""","""",INDEX(SPLIT(A6440,"" ""),COUNTA(SPLIT(A6440,"" ""))))"),"Lamis")</f>
        <v>Lamis</v>
      </c>
      <c r="C6440" s="6"/>
      <c r="D6440" s="6" t="s">
        <v>6485</v>
      </c>
      <c r="E6440" s="7" t="s">
        <v>6486</v>
      </c>
    </row>
    <row r="6441">
      <c r="A6441" s="4" t="s">
        <v>6530</v>
      </c>
      <c r="B6441" s="5" t="str">
        <f>IFERROR(__xludf.DUMMYFUNCTION("IF(A6441="""","""",INDEX(SPLIT(A6441,"" ""),COUNTA(SPLIT(A6441,"" ""))))"),"Catola")</f>
        <v>Catola</v>
      </c>
      <c r="C6441" s="6"/>
      <c r="D6441" s="6" t="s">
        <v>6485</v>
      </c>
      <c r="E6441" s="7" t="s">
        <v>6486</v>
      </c>
    </row>
    <row r="6442">
      <c r="A6442" s="4" t="s">
        <v>6531</v>
      </c>
      <c r="B6442" s="5" t="str">
        <f>IFERROR(__xludf.DUMMYFUNCTION("IF(A6442="""","""",INDEX(SPLIT(A6442,"" ""),COUNTA(SPLIT(A6442,"" ""))))"),"Garganico")</f>
        <v>Garganico</v>
      </c>
      <c r="C6442" s="6"/>
      <c r="D6442" s="6" t="s">
        <v>6485</v>
      </c>
      <c r="E6442" s="7" t="s">
        <v>6486</v>
      </c>
    </row>
    <row r="6443">
      <c r="A6443" s="4" t="s">
        <v>6532</v>
      </c>
      <c r="B6443" s="5" t="str">
        <f>IFERROR(__xludf.DUMMYFUNCTION("IF(A6443="""","""",INDEX(SPLIT(A6443,"" ""),COUNTA(SPLIT(A6443,"" ""))))"),"Civitate")</f>
        <v>Civitate</v>
      </c>
      <c r="C6443" s="6"/>
      <c r="D6443" s="6" t="s">
        <v>6485</v>
      </c>
      <c r="E6443" s="7" t="s">
        <v>6486</v>
      </c>
    </row>
    <row r="6444">
      <c r="A6444" s="4" t="s">
        <v>6533</v>
      </c>
      <c r="B6444" s="5" t="str">
        <f>IFERROR(__xludf.DUMMYFUNCTION("IF(A6444="""","""",INDEX(SPLIT(A6444,"" ""),COUNTA(SPLIT(A6444,"" ""))))"),"Severo")</f>
        <v>Severo</v>
      </c>
      <c r="C6444" s="6"/>
      <c r="D6444" s="6" t="s">
        <v>6485</v>
      </c>
      <c r="E6444" s="7" t="s">
        <v>6486</v>
      </c>
    </row>
    <row r="6445">
      <c r="A6445" s="4" t="s">
        <v>6534</v>
      </c>
      <c r="B6445" s="5" t="str">
        <f>IFERROR(__xludf.DUMMYFUNCTION("IF(A6445="""","""",INDEX(SPLIT(A6445,"" ""),COUNTA(SPLIT(A6445,"" ""))))"),"Puglia")</f>
        <v>Puglia</v>
      </c>
      <c r="C6445" s="6"/>
      <c r="D6445" s="6" t="s">
        <v>6485</v>
      </c>
      <c r="E6445" s="7" t="s">
        <v>6486</v>
      </c>
    </row>
    <row r="6446">
      <c r="A6446" s="4" t="s">
        <v>6535</v>
      </c>
      <c r="B6446" s="5" t="str">
        <f>IFERROR(__xludf.DUMMYFUNCTION("IF(A6446="""","""",INDEX(SPLIT(A6446,"" ""),COUNTA(SPLIT(A6446,"" ""))))"),"Serracapriola")</f>
        <v>Serracapriola</v>
      </c>
      <c r="C6446" s="6"/>
      <c r="D6446" s="6" t="s">
        <v>6485</v>
      </c>
      <c r="E6446" s="7" t="s">
        <v>6486</v>
      </c>
    </row>
    <row r="6447">
      <c r="A6447" s="4" t="s">
        <v>6536</v>
      </c>
      <c r="B6447" s="5" t="str">
        <f>IFERROR(__xludf.DUMMYFUNCTION("IF(A6447="""","""",INDEX(SPLIT(A6447,"" ""),COUNTA(SPLIT(A6447,"" ""))))"),"Stornara")</f>
        <v>Stornara</v>
      </c>
      <c r="C6447" s="6"/>
      <c r="D6447" s="6" t="s">
        <v>6485</v>
      </c>
      <c r="E6447" s="7" t="s">
        <v>6486</v>
      </c>
    </row>
    <row r="6448">
      <c r="A6448" s="4" t="s">
        <v>6537</v>
      </c>
      <c r="B6448" s="5" t="str">
        <f>IFERROR(__xludf.DUMMYFUNCTION("IF(A6448="""","""",INDEX(SPLIT(A6448,"" ""),COUNTA(SPLIT(A6448,"" ""))))"),"Stornarella")</f>
        <v>Stornarella</v>
      </c>
      <c r="C6448" s="6"/>
      <c r="D6448" s="6" t="s">
        <v>6485</v>
      </c>
      <c r="E6448" s="7" t="s">
        <v>6486</v>
      </c>
    </row>
    <row r="6449">
      <c r="A6449" s="4" t="s">
        <v>6538</v>
      </c>
      <c r="B6449" s="5" t="str">
        <f>IFERROR(__xludf.DUMMYFUNCTION("IF(A6449="""","""",INDEX(SPLIT(A6449,"" ""),COUNTA(SPLIT(A6449,"" ""))))"),"Torremaggiore")</f>
        <v>Torremaggiore</v>
      </c>
      <c r="C6449" s="6"/>
      <c r="D6449" s="6" t="s">
        <v>6485</v>
      </c>
      <c r="E6449" s="7" t="s">
        <v>6486</v>
      </c>
    </row>
    <row r="6450">
      <c r="A6450" s="4" t="s">
        <v>6539</v>
      </c>
      <c r="B6450" s="5" t="str">
        <f>IFERROR(__xludf.DUMMYFUNCTION("IF(A6450="""","""",INDEX(SPLIT(A6450,"" ""),COUNTA(SPLIT(A6450,"" ""))))"),"Troia")</f>
        <v>Troia</v>
      </c>
      <c r="C6450" s="6"/>
      <c r="D6450" s="6" t="s">
        <v>6485</v>
      </c>
      <c r="E6450" s="7" t="s">
        <v>6486</v>
      </c>
    </row>
    <row r="6451">
      <c r="A6451" s="4" t="s">
        <v>6540</v>
      </c>
      <c r="B6451" s="5" t="str">
        <f>IFERROR(__xludf.DUMMYFUNCTION("IF(A6451="""","""",INDEX(SPLIT(A6451,"" ""),COUNTA(SPLIT(A6451,"" ""))))"),"Gargano")</f>
        <v>Gargano</v>
      </c>
      <c r="C6451" s="6"/>
      <c r="D6451" s="6" t="s">
        <v>6485</v>
      </c>
      <c r="E6451" s="7" t="s">
        <v>6486</v>
      </c>
    </row>
    <row r="6452">
      <c r="A6452" s="4" t="s">
        <v>6541</v>
      </c>
      <c r="B6452" s="5" t="str">
        <f>IFERROR(__xludf.DUMMYFUNCTION("IF(A6452="""","""",INDEX(SPLIT(A6452,"" ""),COUNTA(SPLIT(A6452,"" ""))))"),"Vieste")</f>
        <v>Vieste</v>
      </c>
      <c r="C6452" s="6"/>
      <c r="D6452" s="6" t="s">
        <v>6485</v>
      </c>
      <c r="E6452" s="7" t="s">
        <v>6486</v>
      </c>
    </row>
    <row r="6453">
      <c r="A6453" s="4" t="s">
        <v>6542</v>
      </c>
      <c r="B6453" s="5" t="str">
        <f>IFERROR(__xludf.DUMMYFUNCTION("IF(A6453="""","""",INDEX(SPLIT(A6453,"" ""),COUNTA(SPLIT(A6453,"" ""))))"),"Appula")</f>
        <v>Appula</v>
      </c>
      <c r="C6453" s="6"/>
      <c r="D6453" s="6" t="s">
        <v>6485</v>
      </c>
      <c r="E6453" s="7" t="s">
        <v>6486</v>
      </c>
    </row>
    <row r="6454">
      <c r="A6454" s="4" t="s">
        <v>6543</v>
      </c>
      <c r="B6454" s="5" t="str">
        <f>IFERROR(__xludf.DUMMYFUNCTION("IF(A6454="""","""",INDEX(SPLIT(A6454,"" ""),COUNTA(SPLIT(A6454,"" ""))))"),"Volturino")</f>
        <v>Volturino</v>
      </c>
      <c r="C6454" s="6"/>
      <c r="D6454" s="6" t="s">
        <v>6485</v>
      </c>
      <c r="E6454" s="7" t="s">
        <v>6486</v>
      </c>
    </row>
    <row r="6455">
      <c r="A6455" s="4" t="s">
        <v>6544</v>
      </c>
      <c r="B6455" s="5" t="str">
        <f>IFERROR(__xludf.DUMMYFUNCTION("IF(A6455="""","""",INDEX(SPLIT(A6455,"" ""),COUNTA(SPLIT(A6455,"" ""))))"),"Ordona")</f>
        <v>Ordona</v>
      </c>
      <c r="C6455" s="6"/>
      <c r="D6455" s="6" t="s">
        <v>6485</v>
      </c>
      <c r="E6455" s="7" t="s">
        <v>6486</v>
      </c>
    </row>
    <row r="6456">
      <c r="A6456" s="4" t="s">
        <v>6545</v>
      </c>
      <c r="B6456" s="5" t="str">
        <f>IFERROR(__xludf.DUMMYFUNCTION("IF(A6456="""","""",INDEX(SPLIT(A6456,"" ""),COUNTA(SPLIT(A6456,"" ""))))"),"Zapponeta")</f>
        <v>Zapponeta</v>
      </c>
      <c r="C6456" s="6"/>
      <c r="D6456" s="6" t="s">
        <v>6485</v>
      </c>
      <c r="E6456" s="7" t="s">
        <v>6486</v>
      </c>
    </row>
    <row r="6457">
      <c r="A6457" s="4" t="s">
        <v>6546</v>
      </c>
      <c r="B6457" s="5" t="str">
        <f>IFERROR(__xludf.DUMMYFUNCTION("IF(A6457="""","""",INDEX(SPLIT(A6457,"" ""),COUNTA(SPLIT(A6457,"" ""))))"),"Fonti")</f>
        <v>Fonti</v>
      </c>
      <c r="C6457" s="6" t="s">
        <v>6547</v>
      </c>
      <c r="D6457" s="6"/>
      <c r="E6457" s="7" t="s">
        <v>6548</v>
      </c>
    </row>
    <row r="6458">
      <c r="A6458" s="4" t="s">
        <v>6549</v>
      </c>
      <c r="B6458" s="5" t="str">
        <f>IFERROR(__xludf.DUMMYFUNCTION("IF(A6458="""","""",INDEX(SPLIT(A6458,"" ""),COUNTA(SPLIT(A6458,"" ""))))"),"Adelfia")</f>
        <v>Adelfia</v>
      </c>
      <c r="C6458" s="6" t="s">
        <v>6547</v>
      </c>
      <c r="D6458" s="6"/>
      <c r="E6458" s="7" t="s">
        <v>6548</v>
      </c>
    </row>
    <row r="6459">
      <c r="A6459" s="4" t="s">
        <v>6550</v>
      </c>
      <c r="B6459" s="5" t="str">
        <f>IFERROR(__xludf.DUMMYFUNCTION("IF(A6459="""","""",INDEX(SPLIT(A6459,"" ""),COUNTA(SPLIT(A6459,"" ""))))"),"Alberobello")</f>
        <v>Alberobello</v>
      </c>
      <c r="C6459" s="6" t="s">
        <v>6547</v>
      </c>
      <c r="D6459" s="6"/>
      <c r="E6459" s="7" t="s">
        <v>6548</v>
      </c>
    </row>
    <row r="6460">
      <c r="A6460" s="4" t="s">
        <v>6551</v>
      </c>
      <c r="B6460" s="5" t="str">
        <f>IFERROR(__xludf.DUMMYFUNCTION("IF(A6460="""","""",INDEX(SPLIT(A6460,"" ""),COUNTA(SPLIT(A6460,"" ""))))"),"Altamura")</f>
        <v>Altamura</v>
      </c>
      <c r="C6460" s="6" t="s">
        <v>6547</v>
      </c>
      <c r="D6460" s="6"/>
      <c r="E6460" s="7" t="s">
        <v>6548</v>
      </c>
    </row>
    <row r="6461">
      <c r="A6461" s="4" t="s">
        <v>6547</v>
      </c>
      <c r="B6461" s="5" t="str">
        <f>IFERROR(__xludf.DUMMYFUNCTION("IF(A6461="""","""",INDEX(SPLIT(A6461,"" ""),COUNTA(SPLIT(A6461,"" ""))))"),"Bari")</f>
        <v>Bari</v>
      </c>
      <c r="C6461" s="6" t="s">
        <v>6547</v>
      </c>
      <c r="D6461" s="6"/>
      <c r="E6461" s="7" t="s">
        <v>6548</v>
      </c>
    </row>
    <row r="6462">
      <c r="A6462" s="4" t="s">
        <v>6552</v>
      </c>
      <c r="B6462" s="5" t="str">
        <f>IFERROR(__xludf.DUMMYFUNCTION("IF(A6462="""","""",INDEX(SPLIT(A6462,"" ""),COUNTA(SPLIT(A6462,"" ""))))"),"Binetto")</f>
        <v>Binetto</v>
      </c>
      <c r="C6462" s="6" t="s">
        <v>6547</v>
      </c>
      <c r="D6462" s="6"/>
      <c r="E6462" s="7" t="s">
        <v>6548</v>
      </c>
    </row>
    <row r="6463">
      <c r="A6463" s="4" t="s">
        <v>6553</v>
      </c>
      <c r="B6463" s="5" t="str">
        <f>IFERROR(__xludf.DUMMYFUNCTION("IF(A6463="""","""",INDEX(SPLIT(A6463,"" ""),COUNTA(SPLIT(A6463,"" ""))))"),"Bitetto")</f>
        <v>Bitetto</v>
      </c>
      <c r="C6463" s="6" t="s">
        <v>6547</v>
      </c>
      <c r="D6463" s="6"/>
      <c r="E6463" s="7" t="s">
        <v>6548</v>
      </c>
    </row>
    <row r="6464">
      <c r="A6464" s="4" t="s">
        <v>6554</v>
      </c>
      <c r="B6464" s="5" t="str">
        <f>IFERROR(__xludf.DUMMYFUNCTION("IF(A6464="""","""",INDEX(SPLIT(A6464,"" ""),COUNTA(SPLIT(A6464,"" ""))))"),"Bitonto")</f>
        <v>Bitonto</v>
      </c>
      <c r="C6464" s="6" t="s">
        <v>6547</v>
      </c>
      <c r="D6464" s="6"/>
      <c r="E6464" s="7" t="s">
        <v>6548</v>
      </c>
    </row>
    <row r="6465">
      <c r="A6465" s="4" t="s">
        <v>6555</v>
      </c>
      <c r="B6465" s="5" t="str">
        <f>IFERROR(__xludf.DUMMYFUNCTION("IF(A6465="""","""",INDEX(SPLIT(A6465,"" ""),COUNTA(SPLIT(A6465,"" ""))))"),"Bitritto")</f>
        <v>Bitritto</v>
      </c>
      <c r="C6465" s="6" t="s">
        <v>6547</v>
      </c>
      <c r="D6465" s="6"/>
      <c r="E6465" s="7" t="s">
        <v>6548</v>
      </c>
    </row>
    <row r="6466">
      <c r="A6466" s="4" t="s">
        <v>6556</v>
      </c>
      <c r="B6466" s="5" t="str">
        <f>IFERROR(__xludf.DUMMYFUNCTION("IF(A6466="""","""",INDEX(SPLIT(A6466,"" ""),COUNTA(SPLIT(A6466,"" ""))))"),"Capurso")</f>
        <v>Capurso</v>
      </c>
      <c r="C6466" s="6" t="s">
        <v>6547</v>
      </c>
      <c r="D6466" s="6"/>
      <c r="E6466" s="7" t="s">
        <v>6548</v>
      </c>
    </row>
    <row r="6467">
      <c r="A6467" s="4" t="s">
        <v>6557</v>
      </c>
      <c r="B6467" s="5" t="str">
        <f>IFERROR(__xludf.DUMMYFUNCTION("IF(A6467="""","""",INDEX(SPLIT(A6467,"" ""),COUNTA(SPLIT(A6467,"" ""))))"),"Casamassima")</f>
        <v>Casamassima</v>
      </c>
      <c r="C6467" s="6" t="s">
        <v>6547</v>
      </c>
      <c r="D6467" s="6"/>
      <c r="E6467" s="7" t="s">
        <v>6548</v>
      </c>
    </row>
    <row r="6468">
      <c r="A6468" s="4" t="s">
        <v>6558</v>
      </c>
      <c r="B6468" s="5" t="str">
        <f>IFERROR(__xludf.DUMMYFUNCTION("IF(A6468="""","""",INDEX(SPLIT(A6468,"" ""),COUNTA(SPLIT(A6468,"" ""))))"),"Murge")</f>
        <v>Murge</v>
      </c>
      <c r="C6468" s="6" t="s">
        <v>6547</v>
      </c>
      <c r="D6468" s="6"/>
      <c r="E6468" s="7" t="s">
        <v>6548</v>
      </c>
    </row>
    <row r="6469">
      <c r="A6469" s="4" t="s">
        <v>6559</v>
      </c>
      <c r="B6469" s="5" t="str">
        <f>IFERROR(__xludf.DUMMYFUNCTION("IF(A6469="""","""",INDEX(SPLIT(A6469,"" ""),COUNTA(SPLIT(A6469,"" ""))))"),"Grotte")</f>
        <v>Grotte</v>
      </c>
      <c r="C6469" s="6" t="s">
        <v>6547</v>
      </c>
      <c r="D6469" s="6"/>
      <c r="E6469" s="7" t="s">
        <v>6548</v>
      </c>
    </row>
    <row r="6470">
      <c r="A6470" s="4" t="s">
        <v>6560</v>
      </c>
      <c r="B6470" s="5" t="str">
        <f>IFERROR(__xludf.DUMMYFUNCTION("IF(A6470="""","""",INDEX(SPLIT(A6470,"" ""),COUNTA(SPLIT(A6470,"" ""))))"),"Cellamare")</f>
        <v>Cellamare</v>
      </c>
      <c r="C6470" s="6" t="s">
        <v>6547</v>
      </c>
      <c r="D6470" s="6"/>
      <c r="E6470" s="7" t="s">
        <v>6548</v>
      </c>
    </row>
    <row r="6471">
      <c r="A6471" s="4" t="s">
        <v>6561</v>
      </c>
      <c r="B6471" s="5" t="str">
        <f>IFERROR(__xludf.DUMMYFUNCTION("IF(A6471="""","""",INDEX(SPLIT(A6471,"" ""),COUNTA(SPLIT(A6471,"" ""))))"),"Conversano")</f>
        <v>Conversano</v>
      </c>
      <c r="C6471" s="6" t="s">
        <v>6547</v>
      </c>
      <c r="D6471" s="6"/>
      <c r="E6471" s="7" t="s">
        <v>6548</v>
      </c>
    </row>
    <row r="6472">
      <c r="A6472" s="4" t="s">
        <v>6562</v>
      </c>
      <c r="B6472" s="5" t="str">
        <f>IFERROR(__xludf.DUMMYFUNCTION("IF(A6472="""","""",INDEX(SPLIT(A6472,"" ""),COUNTA(SPLIT(A6472,"" ""))))"),"Corato")</f>
        <v>Corato</v>
      </c>
      <c r="C6472" s="6" t="s">
        <v>6547</v>
      </c>
      <c r="D6472" s="6"/>
      <c r="E6472" s="7" t="s">
        <v>6548</v>
      </c>
    </row>
    <row r="6473">
      <c r="A6473" s="4" t="s">
        <v>6563</v>
      </c>
      <c r="B6473" s="5" t="str">
        <f>IFERROR(__xludf.DUMMYFUNCTION("IF(A6473="""","""",INDEX(SPLIT(A6473,"" ""),COUNTA(SPLIT(A6473,"" ""))))"),"Colle")</f>
        <v>Colle</v>
      </c>
      <c r="C6473" s="6" t="s">
        <v>6547</v>
      </c>
      <c r="D6473" s="6"/>
      <c r="E6473" s="7" t="s">
        <v>6548</v>
      </c>
    </row>
    <row r="6474">
      <c r="A6474" s="4" t="s">
        <v>6564</v>
      </c>
      <c r="B6474" s="5" t="str">
        <f>IFERROR(__xludf.DUMMYFUNCTION("IF(A6474="""","""",INDEX(SPLIT(A6474,"" ""),COUNTA(SPLIT(A6474,"" ""))))"),"Giovinazzo")</f>
        <v>Giovinazzo</v>
      </c>
      <c r="C6474" s="6" t="s">
        <v>6547</v>
      </c>
      <c r="D6474" s="6"/>
      <c r="E6474" s="7" t="s">
        <v>6548</v>
      </c>
    </row>
    <row r="6475">
      <c r="A6475" s="4" t="s">
        <v>6565</v>
      </c>
      <c r="B6475" s="5" t="str">
        <f>IFERROR(__xludf.DUMMYFUNCTION("IF(A6475="""","""",INDEX(SPLIT(A6475,"" ""),COUNTA(SPLIT(A6475,"" ""))))"),"Puglia")</f>
        <v>Puglia</v>
      </c>
      <c r="C6475" s="6" t="s">
        <v>6547</v>
      </c>
      <c r="D6475" s="6"/>
      <c r="E6475" s="7" t="s">
        <v>6548</v>
      </c>
    </row>
    <row r="6476">
      <c r="A6476" s="4" t="s">
        <v>6566</v>
      </c>
      <c r="B6476" s="5" t="str">
        <f>IFERROR(__xludf.DUMMYFUNCTION("IF(A6476="""","""",INDEX(SPLIT(A6476,"" ""),COUNTA(SPLIT(A6476,"" ""))))"),"Appula")</f>
        <v>Appula</v>
      </c>
      <c r="C6476" s="6" t="s">
        <v>6547</v>
      </c>
      <c r="D6476" s="6"/>
      <c r="E6476" s="7" t="s">
        <v>6548</v>
      </c>
    </row>
    <row r="6477">
      <c r="A6477" s="4" t="s">
        <v>6567</v>
      </c>
      <c r="B6477" s="5" t="str">
        <f>IFERROR(__xludf.DUMMYFUNCTION("IF(A6477="""","""",INDEX(SPLIT(A6477,"" ""),COUNTA(SPLIT(A6477,"" ""))))"),"Locorotondo")</f>
        <v>Locorotondo</v>
      </c>
      <c r="C6477" s="6" t="s">
        <v>6547</v>
      </c>
      <c r="D6477" s="6"/>
      <c r="E6477" s="7" t="s">
        <v>6548</v>
      </c>
    </row>
    <row r="6478">
      <c r="A6478" s="4" t="s">
        <v>6568</v>
      </c>
      <c r="B6478" s="5" t="str">
        <f>IFERROR(__xludf.DUMMYFUNCTION("IF(A6478="""","""",INDEX(SPLIT(A6478,"" ""),COUNTA(SPLIT(A6478,"" ""))))"),"Modugno")</f>
        <v>Modugno</v>
      </c>
      <c r="C6478" s="6" t="s">
        <v>6547</v>
      </c>
      <c r="D6478" s="6"/>
      <c r="E6478" s="7" t="s">
        <v>6548</v>
      </c>
    </row>
    <row r="6479">
      <c r="A6479" s="4" t="s">
        <v>6569</v>
      </c>
      <c r="B6479" s="5" t="str">
        <f>IFERROR(__xludf.DUMMYFUNCTION("IF(A6479="""","""",INDEX(SPLIT(A6479,"" ""),COUNTA(SPLIT(A6479,"" ""))))"),"Bari")</f>
        <v>Bari</v>
      </c>
      <c r="C6479" s="6" t="s">
        <v>6547</v>
      </c>
      <c r="D6479" s="6"/>
      <c r="E6479" s="7" t="s">
        <v>6548</v>
      </c>
    </row>
    <row r="6480">
      <c r="A6480" s="4" t="s">
        <v>6570</v>
      </c>
      <c r="B6480" s="5" t="str">
        <f>IFERROR(__xludf.DUMMYFUNCTION("IF(A6480="""","""",INDEX(SPLIT(A6480,"" ""),COUNTA(SPLIT(A6480,"" ""))))"),"Molfetta")</f>
        <v>Molfetta</v>
      </c>
      <c r="C6480" s="6" t="s">
        <v>6547</v>
      </c>
      <c r="D6480" s="6"/>
      <c r="E6480" s="7" t="s">
        <v>6548</v>
      </c>
    </row>
    <row r="6481">
      <c r="A6481" s="4" t="s">
        <v>6571</v>
      </c>
      <c r="B6481" s="5" t="str">
        <f>IFERROR(__xludf.DUMMYFUNCTION("IF(A6481="""","""",INDEX(SPLIT(A6481,"" ""),COUNTA(SPLIT(A6481,"" ""))))"),"Monopoli")</f>
        <v>Monopoli</v>
      </c>
      <c r="C6481" s="6" t="s">
        <v>6547</v>
      </c>
      <c r="D6481" s="6"/>
      <c r="E6481" s="7" t="s">
        <v>6548</v>
      </c>
    </row>
    <row r="6482">
      <c r="A6482" s="4" t="s">
        <v>6572</v>
      </c>
      <c r="B6482" s="5" t="str">
        <f>IFERROR(__xludf.DUMMYFUNCTION("IF(A6482="""","""",INDEX(SPLIT(A6482,"" ""),COUNTA(SPLIT(A6482,"" ""))))"),"Noci")</f>
        <v>Noci</v>
      </c>
      <c r="C6482" s="6" t="s">
        <v>6547</v>
      </c>
      <c r="D6482" s="6"/>
      <c r="E6482" s="7" t="s">
        <v>6548</v>
      </c>
    </row>
    <row r="6483">
      <c r="A6483" s="4" t="s">
        <v>6573</v>
      </c>
      <c r="B6483" s="5" t="str">
        <f>IFERROR(__xludf.DUMMYFUNCTION("IF(A6483="""","""",INDEX(SPLIT(A6483,"" ""),COUNTA(SPLIT(A6483,"" ""))))"),"Noicattaro")</f>
        <v>Noicattaro</v>
      </c>
      <c r="C6483" s="6" t="s">
        <v>6547</v>
      </c>
      <c r="D6483" s="6"/>
      <c r="E6483" s="7" t="s">
        <v>6548</v>
      </c>
    </row>
    <row r="6484">
      <c r="A6484" s="4" t="s">
        <v>6574</v>
      </c>
      <c r="B6484" s="5" t="str">
        <f>IFERROR(__xludf.DUMMYFUNCTION("IF(A6484="""","""",INDEX(SPLIT(A6484,"" ""),COUNTA(SPLIT(A6484,"" ""))))"),"Colle")</f>
        <v>Colle</v>
      </c>
      <c r="C6484" s="6" t="s">
        <v>6547</v>
      </c>
      <c r="D6484" s="6"/>
      <c r="E6484" s="7" t="s">
        <v>6548</v>
      </c>
    </row>
    <row r="6485">
      <c r="A6485" s="4" t="s">
        <v>6575</v>
      </c>
      <c r="B6485" s="5" t="str">
        <f>IFERROR(__xludf.DUMMYFUNCTION("IF(A6485="""","""",INDEX(SPLIT(A6485,"" ""),COUNTA(SPLIT(A6485,"" ""))))"),"Poggiorsini")</f>
        <v>Poggiorsini</v>
      </c>
      <c r="C6485" s="6" t="s">
        <v>6547</v>
      </c>
      <c r="D6485" s="6"/>
      <c r="E6485" s="7" t="s">
        <v>6548</v>
      </c>
    </row>
    <row r="6486">
      <c r="A6486" s="4" t="s">
        <v>6576</v>
      </c>
      <c r="B6486" s="5" t="str">
        <f>IFERROR(__xludf.DUMMYFUNCTION("IF(A6486="""","""",INDEX(SPLIT(A6486,"" ""),COUNTA(SPLIT(A6486,"" ""))))"),"Mare")</f>
        <v>Mare</v>
      </c>
      <c r="C6486" s="6" t="s">
        <v>6547</v>
      </c>
      <c r="D6486" s="6"/>
      <c r="E6486" s="7" t="s">
        <v>6548</v>
      </c>
    </row>
    <row r="6487">
      <c r="A6487" s="4" t="s">
        <v>6577</v>
      </c>
      <c r="B6487" s="5" t="str">
        <f>IFERROR(__xludf.DUMMYFUNCTION("IF(A6487="""","""",INDEX(SPLIT(A6487,"" ""),COUNTA(SPLIT(A6487,"" ""))))"),"Putignano")</f>
        <v>Putignano</v>
      </c>
      <c r="C6487" s="6" t="s">
        <v>6547</v>
      </c>
      <c r="D6487" s="6"/>
      <c r="E6487" s="7" t="s">
        <v>6548</v>
      </c>
    </row>
    <row r="6488">
      <c r="A6488" s="4" t="s">
        <v>6578</v>
      </c>
      <c r="B6488" s="5" t="str">
        <f>IFERROR(__xludf.DUMMYFUNCTION("IF(A6488="""","""",INDEX(SPLIT(A6488,"" ""),COUNTA(SPLIT(A6488,"" ""))))"),"Rutigliano")</f>
        <v>Rutigliano</v>
      </c>
      <c r="C6488" s="6" t="s">
        <v>6547</v>
      </c>
      <c r="D6488" s="6"/>
      <c r="E6488" s="7" t="s">
        <v>6548</v>
      </c>
    </row>
    <row r="6489">
      <c r="A6489" s="4" t="s">
        <v>6579</v>
      </c>
      <c r="B6489" s="5" t="str">
        <f>IFERROR(__xludf.DUMMYFUNCTION("IF(A6489="""","""",INDEX(SPLIT(A6489,"" ""),COUNTA(SPLIT(A6489,"" ""))))"),"Puglia")</f>
        <v>Puglia</v>
      </c>
      <c r="C6489" s="6" t="s">
        <v>6547</v>
      </c>
      <c r="D6489" s="6"/>
      <c r="E6489" s="7" t="s">
        <v>6548</v>
      </c>
    </row>
    <row r="6490">
      <c r="A6490" s="4" t="s">
        <v>6580</v>
      </c>
      <c r="B6490" s="5" t="str">
        <f>IFERROR(__xludf.DUMMYFUNCTION("IF(A6490="""","""",INDEX(SPLIT(A6490,"" ""),COUNTA(SPLIT(A6490,"" ""))))"),"Bari")</f>
        <v>Bari</v>
      </c>
      <c r="C6490" s="6" t="s">
        <v>6547</v>
      </c>
      <c r="D6490" s="6"/>
      <c r="E6490" s="7" t="s">
        <v>6548</v>
      </c>
    </row>
    <row r="6491">
      <c r="A6491" s="4" t="s">
        <v>6581</v>
      </c>
      <c r="B6491" s="5" t="str">
        <f>IFERROR(__xludf.DUMMYFUNCTION("IF(A6491="""","""",INDEX(SPLIT(A6491,"" ""),COUNTA(SPLIT(A6491,"" ""))))"),"Bari")</f>
        <v>Bari</v>
      </c>
      <c r="C6491" s="6" t="s">
        <v>6547</v>
      </c>
      <c r="D6491" s="6"/>
      <c r="E6491" s="7" t="s">
        <v>6548</v>
      </c>
    </row>
    <row r="6492">
      <c r="A6492" s="4" t="s">
        <v>6582</v>
      </c>
      <c r="B6492" s="5" t="str">
        <f>IFERROR(__xludf.DUMMYFUNCTION("IF(A6492="""","""",INDEX(SPLIT(A6492,"" ""),COUNTA(SPLIT(A6492,"" ""))))"),"Colle")</f>
        <v>Colle</v>
      </c>
      <c r="C6492" s="6" t="s">
        <v>6547</v>
      </c>
      <c r="D6492" s="6"/>
      <c r="E6492" s="7" t="s">
        <v>6548</v>
      </c>
    </row>
    <row r="6493">
      <c r="A6493" s="4" t="s">
        <v>6583</v>
      </c>
      <c r="B6493" s="5" t="str">
        <f>IFERROR(__xludf.DUMMYFUNCTION("IF(A6493="""","""",INDEX(SPLIT(A6493,"" ""),COUNTA(SPLIT(A6493,"" ""))))"),"Terlizzi")</f>
        <v>Terlizzi</v>
      </c>
      <c r="C6493" s="6" t="s">
        <v>6547</v>
      </c>
      <c r="D6493" s="6"/>
      <c r="E6493" s="7" t="s">
        <v>6548</v>
      </c>
    </row>
    <row r="6494">
      <c r="A6494" s="4" t="s">
        <v>6584</v>
      </c>
      <c r="B6494" s="5" t="str">
        <f>IFERROR(__xludf.DUMMYFUNCTION("IF(A6494="""","""",INDEX(SPLIT(A6494,"" ""),COUNTA(SPLIT(A6494,"" ""))))"),"Toritto")</f>
        <v>Toritto</v>
      </c>
      <c r="C6494" s="6" t="s">
        <v>6547</v>
      </c>
      <c r="D6494" s="6"/>
      <c r="E6494" s="7" t="s">
        <v>6548</v>
      </c>
    </row>
    <row r="6495">
      <c r="A6495" s="4" t="s">
        <v>6585</v>
      </c>
      <c r="B6495" s="5" t="str">
        <f>IFERROR(__xludf.DUMMYFUNCTION("IF(A6495="""","""",INDEX(SPLIT(A6495,"" ""),COUNTA(SPLIT(A6495,"" ""))))"),"Triggiano")</f>
        <v>Triggiano</v>
      </c>
      <c r="C6495" s="6" t="s">
        <v>6547</v>
      </c>
      <c r="D6495" s="6"/>
      <c r="E6495" s="7" t="s">
        <v>6548</v>
      </c>
    </row>
    <row r="6496">
      <c r="A6496" s="4" t="s">
        <v>6586</v>
      </c>
      <c r="B6496" s="5" t="str">
        <f>IFERROR(__xludf.DUMMYFUNCTION("IF(A6496="""","""",INDEX(SPLIT(A6496,"" ""),COUNTA(SPLIT(A6496,"" ""))))"),"Turi")</f>
        <v>Turi</v>
      </c>
      <c r="C6496" s="6" t="s">
        <v>6547</v>
      </c>
      <c r="D6496" s="6"/>
      <c r="E6496" s="7" t="s">
        <v>6548</v>
      </c>
    </row>
    <row r="6497">
      <c r="A6497" s="4" t="s">
        <v>6587</v>
      </c>
      <c r="B6497" s="5" t="str">
        <f>IFERROR(__xludf.DUMMYFUNCTION("IF(A6497="""","""",INDEX(SPLIT(A6497,"" ""),COUNTA(SPLIT(A6497,"" ""))))"),"Valenzano")</f>
        <v>Valenzano</v>
      </c>
      <c r="C6497" s="6" t="s">
        <v>6547</v>
      </c>
      <c r="D6497" s="6"/>
      <c r="E6497" s="7" t="s">
        <v>6548</v>
      </c>
    </row>
    <row r="6498">
      <c r="A6498" s="4" t="s">
        <v>6588</v>
      </c>
      <c r="B6498" s="5" t="str">
        <f>IFERROR(__xludf.DUMMYFUNCTION("IF(A6498="""","""",INDEX(SPLIT(A6498,"" ""),COUNTA(SPLIT(A6498,"" ""))))"),"Avetrana")</f>
        <v>Avetrana</v>
      </c>
      <c r="C6498" s="6"/>
      <c r="D6498" s="6" t="s">
        <v>6589</v>
      </c>
      <c r="E6498" s="7" t="s">
        <v>6590</v>
      </c>
    </row>
    <row r="6499">
      <c r="A6499" s="4" t="s">
        <v>6591</v>
      </c>
      <c r="B6499" s="5" t="str">
        <f>IFERROR(__xludf.DUMMYFUNCTION("IF(A6499="""","""",INDEX(SPLIT(A6499,"" ""),COUNTA(SPLIT(A6499,"" ""))))"),"Carosino")</f>
        <v>Carosino</v>
      </c>
      <c r="C6499" s="6"/>
      <c r="D6499" s="6" t="s">
        <v>6589</v>
      </c>
      <c r="E6499" s="7" t="s">
        <v>6590</v>
      </c>
    </row>
    <row r="6500">
      <c r="A6500" s="4" t="s">
        <v>6592</v>
      </c>
      <c r="B6500" s="5" t="str">
        <f>IFERROR(__xludf.DUMMYFUNCTION("IF(A6500="""","""",INDEX(SPLIT(A6500,"" ""),COUNTA(SPLIT(A6500,"" ""))))"),"Castellaneta")</f>
        <v>Castellaneta</v>
      </c>
      <c r="C6500" s="6"/>
      <c r="D6500" s="6" t="s">
        <v>6589</v>
      </c>
      <c r="E6500" s="7" t="s">
        <v>6590</v>
      </c>
    </row>
    <row r="6501">
      <c r="A6501" s="4" t="s">
        <v>6593</v>
      </c>
      <c r="B6501" s="5" t="str">
        <f>IFERROR(__xludf.DUMMYFUNCTION("IF(A6501="""","""",INDEX(SPLIT(A6501,"" ""),COUNTA(SPLIT(A6501,"" ""))))"),"Crispiano")</f>
        <v>Crispiano</v>
      </c>
      <c r="C6501" s="6"/>
      <c r="D6501" s="6" t="s">
        <v>6589</v>
      </c>
      <c r="E6501" s="7" t="s">
        <v>6590</v>
      </c>
    </row>
    <row r="6502">
      <c r="A6502" s="4" t="s">
        <v>6594</v>
      </c>
      <c r="B6502" s="5" t="str">
        <f>IFERROR(__xludf.DUMMYFUNCTION("IF(A6502="""","""",INDEX(SPLIT(A6502,"" ""),COUNTA(SPLIT(A6502,"" ""))))"),"Faggiano")</f>
        <v>Faggiano</v>
      </c>
      <c r="C6502" s="6"/>
      <c r="D6502" s="6" t="s">
        <v>6589</v>
      </c>
      <c r="E6502" s="7" t="s">
        <v>6590</v>
      </c>
    </row>
    <row r="6503">
      <c r="A6503" s="4" t="s">
        <v>6595</v>
      </c>
      <c r="B6503" s="5" t="str">
        <f>IFERROR(__xludf.DUMMYFUNCTION("IF(A6503="""","""",INDEX(SPLIT(A6503,"" ""),COUNTA(SPLIT(A6503,"" ""))))"),"Fragagnano")</f>
        <v>Fragagnano</v>
      </c>
      <c r="C6503" s="6"/>
      <c r="D6503" s="6" t="s">
        <v>6589</v>
      </c>
      <c r="E6503" s="7" t="s">
        <v>6590</v>
      </c>
    </row>
    <row r="6504">
      <c r="A6504" s="4" t="s">
        <v>6596</v>
      </c>
      <c r="B6504" s="5" t="str">
        <f>IFERROR(__xludf.DUMMYFUNCTION("IF(A6504="""","""",INDEX(SPLIT(A6504,"" ""),COUNTA(SPLIT(A6504,"" ""))))"),"Ginosa")</f>
        <v>Ginosa</v>
      </c>
      <c r="C6504" s="6"/>
      <c r="D6504" s="6" t="s">
        <v>6589</v>
      </c>
      <c r="E6504" s="7" t="s">
        <v>6590</v>
      </c>
    </row>
    <row r="6505">
      <c r="A6505" s="4" t="s">
        <v>6597</v>
      </c>
      <c r="B6505" s="5" t="str">
        <f>IFERROR(__xludf.DUMMYFUNCTION("IF(A6505="""","""",INDEX(SPLIT(A6505,"" ""),COUNTA(SPLIT(A6505,"" ""))))"),"Grottaglie")</f>
        <v>Grottaglie</v>
      </c>
      <c r="C6505" s="6"/>
      <c r="D6505" s="6" t="s">
        <v>6589</v>
      </c>
      <c r="E6505" s="7" t="s">
        <v>6590</v>
      </c>
    </row>
    <row r="6506">
      <c r="A6506" s="4" t="s">
        <v>6598</v>
      </c>
      <c r="B6506" s="5" t="str">
        <f>IFERROR(__xludf.DUMMYFUNCTION("IF(A6506="""","""",INDEX(SPLIT(A6506,"" ""),COUNTA(SPLIT(A6506,"" ""))))"),"Laterza")</f>
        <v>Laterza</v>
      </c>
      <c r="C6506" s="6"/>
      <c r="D6506" s="6" t="s">
        <v>6589</v>
      </c>
      <c r="E6506" s="7" t="s">
        <v>6590</v>
      </c>
    </row>
    <row r="6507">
      <c r="A6507" s="4" t="s">
        <v>6599</v>
      </c>
      <c r="B6507" s="5" t="str">
        <f>IFERROR(__xludf.DUMMYFUNCTION("IF(A6507="""","""",INDEX(SPLIT(A6507,"" ""),COUNTA(SPLIT(A6507,"" ""))))"),"Leporano")</f>
        <v>Leporano</v>
      </c>
      <c r="C6507" s="6"/>
      <c r="D6507" s="6" t="s">
        <v>6589</v>
      </c>
      <c r="E6507" s="7" t="s">
        <v>6590</v>
      </c>
    </row>
    <row r="6508">
      <c r="A6508" s="4" t="s">
        <v>6600</v>
      </c>
      <c r="B6508" s="5" t="str">
        <f>IFERROR(__xludf.DUMMYFUNCTION("IF(A6508="""","""",INDEX(SPLIT(A6508,"" ""),COUNTA(SPLIT(A6508,"" ""))))"),"Lizzano")</f>
        <v>Lizzano</v>
      </c>
      <c r="C6508" s="6"/>
      <c r="D6508" s="6" t="s">
        <v>6589</v>
      </c>
      <c r="E6508" s="7" t="s">
        <v>6590</v>
      </c>
    </row>
    <row r="6509">
      <c r="A6509" s="4" t="s">
        <v>6601</v>
      </c>
      <c r="B6509" s="5" t="str">
        <f>IFERROR(__xludf.DUMMYFUNCTION("IF(A6509="""","""",INDEX(SPLIT(A6509,"" ""),COUNTA(SPLIT(A6509,"" ""))))"),"Manduria")</f>
        <v>Manduria</v>
      </c>
      <c r="C6509" s="6"/>
      <c r="D6509" s="6" t="s">
        <v>6589</v>
      </c>
      <c r="E6509" s="7" t="s">
        <v>6590</v>
      </c>
    </row>
    <row r="6510">
      <c r="A6510" s="4" t="s">
        <v>6602</v>
      </c>
      <c r="B6510" s="5" t="str">
        <f>IFERROR(__xludf.DUMMYFUNCTION("IF(A6510="""","""",INDEX(SPLIT(A6510,"" ""),COUNTA(SPLIT(A6510,"" ""))))"),"Franca")</f>
        <v>Franca</v>
      </c>
      <c r="C6510" s="6"/>
      <c r="D6510" s="6" t="s">
        <v>6589</v>
      </c>
      <c r="E6510" s="7" t="s">
        <v>6590</v>
      </c>
    </row>
    <row r="6511">
      <c r="A6511" s="4" t="s">
        <v>6603</v>
      </c>
      <c r="B6511" s="5" t="str">
        <f>IFERROR(__xludf.DUMMYFUNCTION("IF(A6511="""","""",INDEX(SPLIT(A6511,"" ""),COUNTA(SPLIT(A6511,"" ""))))"),"Maruggio")</f>
        <v>Maruggio</v>
      </c>
      <c r="C6511" s="6"/>
      <c r="D6511" s="6" t="s">
        <v>6589</v>
      </c>
      <c r="E6511" s="7" t="s">
        <v>6590</v>
      </c>
    </row>
    <row r="6512">
      <c r="A6512" s="4" t="s">
        <v>6604</v>
      </c>
      <c r="B6512" s="5" t="str">
        <f>IFERROR(__xludf.DUMMYFUNCTION("IF(A6512="""","""",INDEX(SPLIT(A6512,"" ""),COUNTA(SPLIT(A6512,"" ""))))"),"Massafra")</f>
        <v>Massafra</v>
      </c>
      <c r="C6512" s="6"/>
      <c r="D6512" s="6" t="s">
        <v>6589</v>
      </c>
      <c r="E6512" s="7" t="s">
        <v>6590</v>
      </c>
    </row>
    <row r="6513">
      <c r="A6513" s="4" t="s">
        <v>6605</v>
      </c>
      <c r="B6513" s="5" t="str">
        <f>IFERROR(__xludf.DUMMYFUNCTION("IF(A6513="""","""",INDEX(SPLIT(A6513,"" ""),COUNTA(SPLIT(A6513,"" ""))))"),"Monteiasi")</f>
        <v>Monteiasi</v>
      </c>
      <c r="C6513" s="6"/>
      <c r="D6513" s="6" t="s">
        <v>6589</v>
      </c>
      <c r="E6513" s="7" t="s">
        <v>6590</v>
      </c>
    </row>
    <row r="6514">
      <c r="A6514" s="4" t="s">
        <v>6606</v>
      </c>
      <c r="B6514" s="5" t="str">
        <f>IFERROR(__xludf.DUMMYFUNCTION("IF(A6514="""","""",INDEX(SPLIT(A6514,"" ""),COUNTA(SPLIT(A6514,"" ""))))"),"Montemesola")</f>
        <v>Montemesola</v>
      </c>
      <c r="C6514" s="6"/>
      <c r="D6514" s="6" t="s">
        <v>6589</v>
      </c>
      <c r="E6514" s="7" t="s">
        <v>6590</v>
      </c>
    </row>
    <row r="6515">
      <c r="A6515" s="4" t="s">
        <v>6607</v>
      </c>
      <c r="B6515" s="5" t="str">
        <f>IFERROR(__xludf.DUMMYFUNCTION("IF(A6515="""","""",INDEX(SPLIT(A6515,"" ""),COUNTA(SPLIT(A6515,"" ""))))"),"Monteparano")</f>
        <v>Monteparano</v>
      </c>
      <c r="C6515" s="6"/>
      <c r="D6515" s="6" t="s">
        <v>6589</v>
      </c>
      <c r="E6515" s="7" t="s">
        <v>6590</v>
      </c>
    </row>
    <row r="6516">
      <c r="A6516" s="4" t="s">
        <v>6608</v>
      </c>
      <c r="B6516" s="5" t="str">
        <f>IFERROR(__xludf.DUMMYFUNCTION("IF(A6516="""","""",INDEX(SPLIT(A6516,"" ""),COUNTA(SPLIT(A6516,"" ""))))"),"Mottola")</f>
        <v>Mottola</v>
      </c>
      <c r="C6516" s="6"/>
      <c r="D6516" s="6" t="s">
        <v>6589</v>
      </c>
      <c r="E6516" s="7" t="s">
        <v>6590</v>
      </c>
    </row>
    <row r="6517">
      <c r="A6517" s="4" t="s">
        <v>6609</v>
      </c>
      <c r="B6517" s="5" t="str">
        <f>IFERROR(__xludf.DUMMYFUNCTION("IF(A6517="""","""",INDEX(SPLIT(A6517,"" ""),COUNTA(SPLIT(A6517,"" ""))))"),"Palagianello")</f>
        <v>Palagianello</v>
      </c>
      <c r="C6517" s="6"/>
      <c r="D6517" s="6" t="s">
        <v>6589</v>
      </c>
      <c r="E6517" s="7" t="s">
        <v>6590</v>
      </c>
    </row>
    <row r="6518">
      <c r="A6518" s="4" t="s">
        <v>6610</v>
      </c>
      <c r="B6518" s="5" t="str">
        <f>IFERROR(__xludf.DUMMYFUNCTION("IF(A6518="""","""",INDEX(SPLIT(A6518,"" ""),COUNTA(SPLIT(A6518,"" ""))))"),"Palagiano")</f>
        <v>Palagiano</v>
      </c>
      <c r="C6518" s="6"/>
      <c r="D6518" s="6" t="s">
        <v>6589</v>
      </c>
      <c r="E6518" s="7" t="s">
        <v>6590</v>
      </c>
    </row>
    <row r="6519">
      <c r="A6519" s="4" t="s">
        <v>6611</v>
      </c>
      <c r="B6519" s="5" t="str">
        <f>IFERROR(__xludf.DUMMYFUNCTION("IF(A6519="""","""",INDEX(SPLIT(A6519,"" ""),COUNTA(SPLIT(A6519,"" ""))))"),"Pulsano")</f>
        <v>Pulsano</v>
      </c>
      <c r="C6519" s="6"/>
      <c r="D6519" s="6" t="s">
        <v>6589</v>
      </c>
      <c r="E6519" s="7" t="s">
        <v>6590</v>
      </c>
    </row>
    <row r="6520">
      <c r="A6520" s="4" t="s">
        <v>6612</v>
      </c>
      <c r="B6520" s="5" t="str">
        <f>IFERROR(__xludf.DUMMYFUNCTION("IF(A6520="""","""",INDEX(SPLIT(A6520,"" ""),COUNTA(SPLIT(A6520,"" ""))))"),"Roccaforzata")</f>
        <v>Roccaforzata</v>
      </c>
      <c r="C6520" s="6"/>
      <c r="D6520" s="6" t="s">
        <v>6589</v>
      </c>
      <c r="E6520" s="7" t="s">
        <v>6590</v>
      </c>
    </row>
    <row r="6521">
      <c r="A6521" s="4" t="s">
        <v>6613</v>
      </c>
      <c r="B6521" s="5" t="str">
        <f>IFERROR(__xludf.DUMMYFUNCTION("IF(A6521="""","""",INDEX(SPLIT(A6521,"" ""),COUNTA(SPLIT(A6521,"" ""))))"),"Ionico")</f>
        <v>Ionico</v>
      </c>
      <c r="C6521" s="6"/>
      <c r="D6521" s="6" t="s">
        <v>6589</v>
      </c>
      <c r="E6521" s="7" t="s">
        <v>6590</v>
      </c>
    </row>
    <row r="6522">
      <c r="A6522" s="4" t="s">
        <v>6614</v>
      </c>
      <c r="B6522" s="5" t="str">
        <f>IFERROR(__xludf.DUMMYFUNCTION("IF(A6522="""","""",INDEX(SPLIT(A6522,"" ""),COUNTA(SPLIT(A6522,"" ""))))"),"Giuseppe")</f>
        <v>Giuseppe</v>
      </c>
      <c r="C6522" s="6"/>
      <c r="D6522" s="6" t="s">
        <v>6589</v>
      </c>
      <c r="E6522" s="7" t="s">
        <v>6590</v>
      </c>
    </row>
    <row r="6523">
      <c r="A6523" s="4" t="s">
        <v>6615</v>
      </c>
      <c r="B6523" s="5" t="str">
        <f>IFERROR(__xludf.DUMMYFUNCTION("IF(A6523="""","""",INDEX(SPLIT(A6523,"" ""),COUNTA(SPLIT(A6523,"" ""))))"),"Sava")</f>
        <v>Sava</v>
      </c>
      <c r="C6523" s="6"/>
      <c r="D6523" s="6" t="s">
        <v>6589</v>
      </c>
      <c r="E6523" s="7" t="s">
        <v>6590</v>
      </c>
    </row>
    <row r="6524">
      <c r="A6524" s="4" t="s">
        <v>6589</v>
      </c>
      <c r="B6524" s="5" t="str">
        <f>IFERROR(__xludf.DUMMYFUNCTION("IF(A6524="""","""",INDEX(SPLIT(A6524,"" ""),COUNTA(SPLIT(A6524,"" ""))))"),"Taranto")</f>
        <v>Taranto</v>
      </c>
      <c r="C6524" s="6"/>
      <c r="D6524" s="6" t="s">
        <v>6589</v>
      </c>
      <c r="E6524" s="7" t="s">
        <v>6590</v>
      </c>
    </row>
    <row r="6525">
      <c r="A6525" s="4" t="s">
        <v>6616</v>
      </c>
      <c r="B6525" s="5" t="str">
        <f>IFERROR(__xludf.DUMMYFUNCTION("IF(A6525="""","""",INDEX(SPLIT(A6525,"" ""),COUNTA(SPLIT(A6525,"" ""))))"),"Torricella")</f>
        <v>Torricella</v>
      </c>
      <c r="C6525" s="6"/>
      <c r="D6525" s="6" t="s">
        <v>6589</v>
      </c>
      <c r="E6525" s="7" t="s">
        <v>6590</v>
      </c>
    </row>
    <row r="6526">
      <c r="A6526" s="4" t="s">
        <v>6617</v>
      </c>
      <c r="B6526" s="5" t="str">
        <f>IFERROR(__xludf.DUMMYFUNCTION("IF(A6526="""","""",INDEX(SPLIT(A6526,"" ""),COUNTA(SPLIT(A6526,"" ""))))"),"Statte")</f>
        <v>Statte</v>
      </c>
      <c r="C6526" s="6"/>
      <c r="D6526" s="6" t="s">
        <v>6589</v>
      </c>
      <c r="E6526" s="7" t="s">
        <v>6590</v>
      </c>
    </row>
    <row r="6527">
      <c r="A6527" s="4" t="s">
        <v>6618</v>
      </c>
      <c r="B6527" s="5" t="str">
        <f>IFERROR(__xludf.DUMMYFUNCTION("IF(A6527="""","""",INDEX(SPLIT(A6527,"" ""),COUNTA(SPLIT(A6527,"" ""))))"),"Brindisi")</f>
        <v>Brindisi</v>
      </c>
      <c r="C6527" s="6"/>
      <c r="D6527" s="6" t="s">
        <v>6618</v>
      </c>
      <c r="E6527" s="7" t="s">
        <v>6619</v>
      </c>
    </row>
    <row r="6528">
      <c r="A6528" s="4" t="s">
        <v>6620</v>
      </c>
      <c r="B6528" s="5" t="str">
        <f>IFERROR(__xludf.DUMMYFUNCTION("IF(A6528="""","""",INDEX(SPLIT(A6528,"" ""),COUNTA(SPLIT(A6528,"" ""))))"),"Carovigno")</f>
        <v>Carovigno</v>
      </c>
      <c r="C6528" s="6"/>
      <c r="D6528" s="6" t="s">
        <v>6618</v>
      </c>
      <c r="E6528" s="7" t="s">
        <v>6619</v>
      </c>
    </row>
    <row r="6529">
      <c r="A6529" s="4" t="s">
        <v>6621</v>
      </c>
      <c r="B6529" s="5" t="str">
        <f>IFERROR(__xludf.DUMMYFUNCTION("IF(A6529="""","""",INDEX(SPLIT(A6529,"" ""),COUNTA(SPLIT(A6529,"" ""))))"),"Messapica")</f>
        <v>Messapica</v>
      </c>
      <c r="C6529" s="6"/>
      <c r="D6529" s="6" t="s">
        <v>6618</v>
      </c>
      <c r="E6529" s="7" t="s">
        <v>6619</v>
      </c>
    </row>
    <row r="6530">
      <c r="A6530" s="4" t="s">
        <v>6622</v>
      </c>
      <c r="B6530" s="5" t="str">
        <f>IFERROR(__xludf.DUMMYFUNCTION("IF(A6530="""","""",INDEX(SPLIT(A6530,"" ""),COUNTA(SPLIT(A6530,"" ""))))"),"Marco")</f>
        <v>Marco</v>
      </c>
      <c r="C6530" s="6"/>
      <c r="D6530" s="6" t="s">
        <v>6618</v>
      </c>
      <c r="E6530" s="7" t="s">
        <v>6619</v>
      </c>
    </row>
    <row r="6531">
      <c r="A6531" s="4" t="s">
        <v>6623</v>
      </c>
      <c r="B6531" s="5" t="str">
        <f>IFERROR(__xludf.DUMMYFUNCTION("IF(A6531="""","""",INDEX(SPLIT(A6531,"" ""),COUNTA(SPLIT(A6531,"" ""))))"),"Cisternino")</f>
        <v>Cisternino</v>
      </c>
      <c r="C6531" s="6"/>
      <c r="D6531" s="6" t="s">
        <v>6618</v>
      </c>
      <c r="E6531" s="7" t="s">
        <v>6619</v>
      </c>
    </row>
    <row r="6532">
      <c r="A6532" s="4" t="s">
        <v>6624</v>
      </c>
      <c r="B6532" s="5" t="str">
        <f>IFERROR(__xludf.DUMMYFUNCTION("IF(A6532="""","""",INDEX(SPLIT(A6532,"" ""),COUNTA(SPLIT(A6532,"" ""))))"),"Erchie")</f>
        <v>Erchie</v>
      </c>
      <c r="C6532" s="6"/>
      <c r="D6532" s="6" t="s">
        <v>6618</v>
      </c>
      <c r="E6532" s="7" t="s">
        <v>6619</v>
      </c>
    </row>
    <row r="6533">
      <c r="A6533" s="4" t="s">
        <v>6625</v>
      </c>
      <c r="B6533" s="5" t="str">
        <f>IFERROR(__xludf.DUMMYFUNCTION("IF(A6533="""","""",INDEX(SPLIT(A6533,"" ""),COUNTA(SPLIT(A6533,"" ""))))"),"Fasano")</f>
        <v>Fasano</v>
      </c>
      <c r="C6533" s="6"/>
      <c r="D6533" s="6" t="s">
        <v>6618</v>
      </c>
      <c r="E6533" s="7" t="s">
        <v>6619</v>
      </c>
    </row>
    <row r="6534">
      <c r="A6534" s="4" t="s">
        <v>6626</v>
      </c>
      <c r="B6534" s="5" t="str">
        <f>IFERROR(__xludf.DUMMYFUNCTION("IF(A6534="""","""",INDEX(SPLIT(A6534,"" ""),COUNTA(SPLIT(A6534,"" ""))))"),"Fontana")</f>
        <v>Fontana</v>
      </c>
      <c r="C6534" s="6"/>
      <c r="D6534" s="6" t="s">
        <v>6618</v>
      </c>
      <c r="E6534" s="7" t="s">
        <v>6619</v>
      </c>
    </row>
    <row r="6535">
      <c r="A6535" s="4" t="s">
        <v>6627</v>
      </c>
      <c r="B6535" s="5" t="str">
        <f>IFERROR(__xludf.DUMMYFUNCTION("IF(A6535="""","""",INDEX(SPLIT(A6535,"" ""),COUNTA(SPLIT(A6535,"" ""))))"),"Latiano")</f>
        <v>Latiano</v>
      </c>
      <c r="C6535" s="6"/>
      <c r="D6535" s="6" t="s">
        <v>6618</v>
      </c>
      <c r="E6535" s="7" t="s">
        <v>6619</v>
      </c>
    </row>
    <row r="6536">
      <c r="A6536" s="4" t="s">
        <v>6628</v>
      </c>
      <c r="B6536" s="5" t="str">
        <f>IFERROR(__xludf.DUMMYFUNCTION("IF(A6536="""","""",INDEX(SPLIT(A6536,"" ""),COUNTA(SPLIT(A6536,"" ""))))"),"Mesagne")</f>
        <v>Mesagne</v>
      </c>
      <c r="C6536" s="6"/>
      <c r="D6536" s="6" t="s">
        <v>6618</v>
      </c>
      <c r="E6536" s="7" t="s">
        <v>6619</v>
      </c>
    </row>
    <row r="6537">
      <c r="A6537" s="4" t="s">
        <v>6629</v>
      </c>
      <c r="B6537" s="5" t="str">
        <f>IFERROR(__xludf.DUMMYFUNCTION("IF(A6537="""","""",INDEX(SPLIT(A6537,"" ""),COUNTA(SPLIT(A6537,"" ""))))"),"Oria")</f>
        <v>Oria</v>
      </c>
      <c r="C6537" s="6"/>
      <c r="D6537" s="6" t="s">
        <v>6618</v>
      </c>
      <c r="E6537" s="7" t="s">
        <v>6619</v>
      </c>
    </row>
    <row r="6538">
      <c r="A6538" s="4" t="s">
        <v>6630</v>
      </c>
      <c r="B6538" s="5" t="str">
        <f>IFERROR(__xludf.DUMMYFUNCTION("IF(A6538="""","""",INDEX(SPLIT(A6538,"" ""),COUNTA(SPLIT(A6538,"" ""))))"),"Ostuni")</f>
        <v>Ostuni</v>
      </c>
      <c r="C6538" s="6"/>
      <c r="D6538" s="6" t="s">
        <v>6618</v>
      </c>
      <c r="E6538" s="7" t="s">
        <v>6619</v>
      </c>
    </row>
    <row r="6539">
      <c r="A6539" s="4" t="s">
        <v>6631</v>
      </c>
      <c r="B6539" s="5" t="str">
        <f>IFERROR(__xludf.DUMMYFUNCTION("IF(A6539="""","""",INDEX(SPLIT(A6539,"" ""),COUNTA(SPLIT(A6539,"" ""))))"),"Donaci")</f>
        <v>Donaci</v>
      </c>
      <c r="C6539" s="6"/>
      <c r="D6539" s="6" t="s">
        <v>6618</v>
      </c>
      <c r="E6539" s="7" t="s">
        <v>6619</v>
      </c>
    </row>
    <row r="6540">
      <c r="A6540" s="4" t="s">
        <v>6632</v>
      </c>
      <c r="B6540" s="5" t="str">
        <f>IFERROR(__xludf.DUMMYFUNCTION("IF(A6540="""","""",INDEX(SPLIT(A6540,"" ""),COUNTA(SPLIT(A6540,"" ""))))"),"Salentino")</f>
        <v>Salentino</v>
      </c>
      <c r="C6540" s="6"/>
      <c r="D6540" s="6" t="s">
        <v>6618</v>
      </c>
      <c r="E6540" s="7" t="s">
        <v>6619</v>
      </c>
    </row>
    <row r="6541">
      <c r="A6541" s="4" t="s">
        <v>6633</v>
      </c>
      <c r="B6541" s="5" t="str">
        <f>IFERROR(__xludf.DUMMYFUNCTION("IF(A6541="""","""",INDEX(SPLIT(A6541,"" ""),COUNTA(SPLIT(A6541,"" ""))))"),"Salentino")</f>
        <v>Salentino</v>
      </c>
      <c r="C6541" s="6"/>
      <c r="D6541" s="6" t="s">
        <v>6618</v>
      </c>
      <c r="E6541" s="7" t="s">
        <v>6619</v>
      </c>
    </row>
    <row r="6542">
      <c r="A6542" s="4" t="s">
        <v>6634</v>
      </c>
      <c r="B6542" s="5" t="str">
        <f>IFERROR(__xludf.DUMMYFUNCTION("IF(A6542="""","""",INDEX(SPLIT(A6542,"" ""),COUNTA(SPLIT(A6542,"" ""))))"),"Vernotico")</f>
        <v>Vernotico</v>
      </c>
      <c r="C6542" s="6"/>
      <c r="D6542" s="6" t="s">
        <v>6618</v>
      </c>
      <c r="E6542" s="7" t="s">
        <v>6619</v>
      </c>
    </row>
    <row r="6543">
      <c r="A6543" s="4" t="s">
        <v>6635</v>
      </c>
      <c r="B6543" s="5" t="str">
        <f>IFERROR(__xludf.DUMMYFUNCTION("IF(A6543="""","""",INDEX(SPLIT(A6543,"" ""),COUNTA(SPLIT(A6543,"" ""))))"),"Normanni")</f>
        <v>Normanni</v>
      </c>
      <c r="C6543" s="6"/>
      <c r="D6543" s="6" t="s">
        <v>6618</v>
      </c>
      <c r="E6543" s="7" t="s">
        <v>6619</v>
      </c>
    </row>
    <row r="6544">
      <c r="A6544" s="4" t="s">
        <v>6636</v>
      </c>
      <c r="B6544" s="5" t="str">
        <f>IFERROR(__xludf.DUMMYFUNCTION("IF(A6544="""","""",INDEX(SPLIT(A6544,"" ""),COUNTA(SPLIT(A6544,"" ""))))"),"Torchiarolo")</f>
        <v>Torchiarolo</v>
      </c>
      <c r="C6544" s="6"/>
      <c r="D6544" s="6" t="s">
        <v>6618</v>
      </c>
      <c r="E6544" s="7" t="s">
        <v>6619</v>
      </c>
    </row>
    <row r="6545">
      <c r="A6545" s="4" t="s">
        <v>6637</v>
      </c>
      <c r="B6545" s="5" t="str">
        <f>IFERROR(__xludf.DUMMYFUNCTION("IF(A6545="""","""",INDEX(SPLIT(A6545,"" ""),COUNTA(SPLIT(A6545,"" ""))))"),"Susanna")</f>
        <v>Susanna</v>
      </c>
      <c r="C6545" s="6"/>
      <c r="D6545" s="6" t="s">
        <v>6618</v>
      </c>
      <c r="E6545" s="7" t="s">
        <v>6619</v>
      </c>
    </row>
    <row r="6546">
      <c r="A6546" s="4" t="s">
        <v>6638</v>
      </c>
      <c r="B6546" s="5" t="str">
        <f>IFERROR(__xludf.DUMMYFUNCTION("IF(A6546="""","""",INDEX(SPLIT(A6546,"" ""),COUNTA(SPLIT(A6546,"" ""))))"),"Castelli")</f>
        <v>Castelli</v>
      </c>
      <c r="C6546" s="6"/>
      <c r="D6546" s="6" t="s">
        <v>6618</v>
      </c>
      <c r="E6546" s="7" t="s">
        <v>6619</v>
      </c>
    </row>
    <row r="6547">
      <c r="A6547" s="4" t="s">
        <v>6639</v>
      </c>
      <c r="B6547" s="5" t="str">
        <f>IFERROR(__xludf.DUMMYFUNCTION("IF(A6547="""","""",INDEX(SPLIT(A6547,"" ""),COUNTA(SPLIT(A6547,"" ""))))"),"Capo")</f>
        <v>Capo</v>
      </c>
      <c r="C6547" s="6"/>
      <c r="D6547" s="6" t="s">
        <v>6640</v>
      </c>
      <c r="E6547" s="7" t="s">
        <v>6641</v>
      </c>
    </row>
    <row r="6548">
      <c r="A6548" s="4" t="s">
        <v>6642</v>
      </c>
      <c r="B6548" s="5" t="str">
        <f>IFERROR(__xludf.DUMMYFUNCTION("IF(A6548="""","""",INDEX(SPLIT(A6548,"" ""),COUNTA(SPLIT(A6548,"" ""))))"),"Alessano")</f>
        <v>Alessano</v>
      </c>
      <c r="C6548" s="6"/>
      <c r="D6548" s="6" t="s">
        <v>6640</v>
      </c>
      <c r="E6548" s="7" t="s">
        <v>6641</v>
      </c>
    </row>
    <row r="6549">
      <c r="A6549" s="4" t="s">
        <v>6643</v>
      </c>
      <c r="B6549" s="5" t="str">
        <f>IFERROR(__xludf.DUMMYFUNCTION("IF(A6549="""","""",INDEX(SPLIT(A6549,"" ""),COUNTA(SPLIT(A6549,"" ""))))"),"Alezio")</f>
        <v>Alezio</v>
      </c>
      <c r="C6549" s="6"/>
      <c r="D6549" s="6" t="s">
        <v>6640</v>
      </c>
      <c r="E6549" s="7" t="s">
        <v>6641</v>
      </c>
    </row>
    <row r="6550">
      <c r="A6550" s="4" t="s">
        <v>6644</v>
      </c>
      <c r="B6550" s="5" t="str">
        <f>IFERROR(__xludf.DUMMYFUNCTION("IF(A6550="""","""",INDEX(SPLIT(A6550,"" ""),COUNTA(SPLIT(A6550,"" ""))))"),"Alliste")</f>
        <v>Alliste</v>
      </c>
      <c r="C6550" s="6"/>
      <c r="D6550" s="6" t="s">
        <v>6640</v>
      </c>
      <c r="E6550" s="7" t="s">
        <v>6641</v>
      </c>
    </row>
    <row r="6551">
      <c r="A6551" s="4" t="s">
        <v>6645</v>
      </c>
      <c r="B6551" s="5" t="str">
        <f>IFERROR(__xludf.DUMMYFUNCTION("IF(A6551="""","""",INDEX(SPLIT(A6551,"" ""),COUNTA(SPLIT(A6551,"" ""))))"),"Andrano")</f>
        <v>Andrano</v>
      </c>
      <c r="C6551" s="6"/>
      <c r="D6551" s="6" t="s">
        <v>6640</v>
      </c>
      <c r="E6551" s="7" t="s">
        <v>6641</v>
      </c>
    </row>
    <row r="6552">
      <c r="A6552" s="4" t="s">
        <v>6646</v>
      </c>
      <c r="B6552" s="5" t="str">
        <f>IFERROR(__xludf.DUMMYFUNCTION("IF(A6552="""","""",INDEX(SPLIT(A6552,"" ""),COUNTA(SPLIT(A6552,"" ""))))"),"Aradeo")</f>
        <v>Aradeo</v>
      </c>
      <c r="C6552" s="6"/>
      <c r="D6552" s="6" t="s">
        <v>6640</v>
      </c>
      <c r="E6552" s="7" t="s">
        <v>6641</v>
      </c>
    </row>
    <row r="6553">
      <c r="A6553" s="4" t="s">
        <v>6647</v>
      </c>
      <c r="B6553" s="5" t="str">
        <f>IFERROR(__xludf.DUMMYFUNCTION("IF(A6553="""","""",INDEX(SPLIT(A6553,"" ""),COUNTA(SPLIT(A6553,"" ""))))"),"Arnesano")</f>
        <v>Arnesano</v>
      </c>
      <c r="C6553" s="6"/>
      <c r="D6553" s="6" t="s">
        <v>6640</v>
      </c>
      <c r="E6553" s="7" t="s">
        <v>6641</v>
      </c>
    </row>
    <row r="6554">
      <c r="A6554" s="4" t="s">
        <v>6648</v>
      </c>
      <c r="B6554" s="5" t="str">
        <f>IFERROR(__xludf.DUMMYFUNCTION("IF(A6554="""","""",INDEX(SPLIT(A6554,"" ""),COUNTA(SPLIT(A6554,"" ""))))"),"Salento")</f>
        <v>Salento</v>
      </c>
      <c r="C6554" s="6"/>
      <c r="D6554" s="6" t="s">
        <v>6640</v>
      </c>
      <c r="E6554" s="7" t="s">
        <v>6641</v>
      </c>
    </row>
    <row r="6555">
      <c r="A6555" s="4" t="s">
        <v>6649</v>
      </c>
      <c r="B6555" s="5" t="str">
        <f>IFERROR(__xludf.DUMMYFUNCTION("IF(A6555="""","""",INDEX(SPLIT(A6555,"" ""),COUNTA(SPLIT(A6555,"" ""))))"),"Botrugno")</f>
        <v>Botrugno</v>
      </c>
      <c r="C6555" s="6"/>
      <c r="D6555" s="6" t="s">
        <v>6640</v>
      </c>
      <c r="E6555" s="7" t="s">
        <v>6641</v>
      </c>
    </row>
    <row r="6556">
      <c r="A6556" s="4" t="s">
        <v>6650</v>
      </c>
      <c r="B6556" s="5" t="str">
        <f>IFERROR(__xludf.DUMMYFUNCTION("IF(A6556="""","""",INDEX(SPLIT(A6556,"" ""),COUNTA(SPLIT(A6556,"" ""))))"),"Calimera")</f>
        <v>Calimera</v>
      </c>
      <c r="C6556" s="6"/>
      <c r="D6556" s="6" t="s">
        <v>6640</v>
      </c>
      <c r="E6556" s="7" t="s">
        <v>6641</v>
      </c>
    </row>
    <row r="6557">
      <c r="A6557" s="4" t="s">
        <v>6651</v>
      </c>
      <c r="B6557" s="5" t="str">
        <f>IFERROR(__xludf.DUMMYFUNCTION("IF(A6557="""","""",INDEX(SPLIT(A6557,"" ""),COUNTA(SPLIT(A6557,"" ""))))"),"Salentina")</f>
        <v>Salentina</v>
      </c>
      <c r="C6557" s="6"/>
      <c r="D6557" s="6" t="s">
        <v>6640</v>
      </c>
      <c r="E6557" s="7" t="s">
        <v>6641</v>
      </c>
    </row>
    <row r="6558">
      <c r="A6558" s="4" t="s">
        <v>6652</v>
      </c>
      <c r="B6558" s="5" t="str">
        <f>IFERROR(__xludf.DUMMYFUNCTION("IF(A6558="""","""",INDEX(SPLIT(A6558,"" ""),COUNTA(SPLIT(A6558,"" ""))))"),"Cannole")</f>
        <v>Cannole</v>
      </c>
      <c r="C6558" s="6"/>
      <c r="D6558" s="6" t="s">
        <v>6640</v>
      </c>
      <c r="E6558" s="7" t="s">
        <v>6641</v>
      </c>
    </row>
    <row r="6559">
      <c r="A6559" s="4" t="s">
        <v>6653</v>
      </c>
      <c r="B6559" s="5" t="str">
        <f>IFERROR(__xludf.DUMMYFUNCTION("IF(A6559="""","""",INDEX(SPLIT(A6559,"" ""),COUNTA(SPLIT(A6559,"" ""))))"),"Lecce")</f>
        <v>Lecce</v>
      </c>
      <c r="C6559" s="6"/>
      <c r="D6559" s="6" t="s">
        <v>6640</v>
      </c>
      <c r="E6559" s="7" t="s">
        <v>6641</v>
      </c>
    </row>
    <row r="6560">
      <c r="A6560" s="4" t="s">
        <v>6654</v>
      </c>
      <c r="B6560" s="5" t="str">
        <f>IFERROR(__xludf.DUMMYFUNCTION("IF(A6560="""","""",INDEX(SPLIT(A6560,"" ""),COUNTA(SPLIT(A6560,"" ""))))"),"Carmiano")</f>
        <v>Carmiano</v>
      </c>
      <c r="C6560" s="6"/>
      <c r="D6560" s="6" t="s">
        <v>6640</v>
      </c>
      <c r="E6560" s="7" t="s">
        <v>6641</v>
      </c>
    </row>
    <row r="6561">
      <c r="A6561" s="4" t="s">
        <v>6655</v>
      </c>
      <c r="B6561" s="5" t="str">
        <f>IFERROR(__xludf.DUMMYFUNCTION("IF(A6561="""","""",INDEX(SPLIT(A6561,"" ""),COUNTA(SPLIT(A6561,"" ""))))"),"Salentino")</f>
        <v>Salentino</v>
      </c>
      <c r="C6561" s="6"/>
      <c r="D6561" s="6" t="s">
        <v>6640</v>
      </c>
      <c r="E6561" s="7" t="s">
        <v>6641</v>
      </c>
    </row>
    <row r="6562">
      <c r="A6562" s="4" t="s">
        <v>6656</v>
      </c>
      <c r="B6562" s="5" t="str">
        <f>IFERROR(__xludf.DUMMYFUNCTION("IF(A6562="""","""",INDEX(SPLIT(A6562,"" ""),COUNTA(SPLIT(A6562,"" ""))))"),"Casarano")</f>
        <v>Casarano</v>
      </c>
      <c r="C6562" s="6"/>
      <c r="D6562" s="6" t="s">
        <v>6640</v>
      </c>
      <c r="E6562" s="7" t="s">
        <v>6641</v>
      </c>
    </row>
    <row r="6563">
      <c r="A6563" s="4" t="s">
        <v>6657</v>
      </c>
      <c r="B6563" s="5" t="str">
        <f>IFERROR(__xludf.DUMMYFUNCTION("IF(A6563="""","""",INDEX(SPLIT(A6563,"" ""),COUNTA(SPLIT(A6563,"" ""))))"),"Lecce")</f>
        <v>Lecce</v>
      </c>
      <c r="C6563" s="6"/>
      <c r="D6563" s="6" t="s">
        <v>6640</v>
      </c>
      <c r="E6563" s="7" t="s">
        <v>6641</v>
      </c>
    </row>
    <row r="6564">
      <c r="A6564" s="4" t="s">
        <v>6658</v>
      </c>
      <c r="B6564" s="5" t="str">
        <f>IFERROR(__xludf.DUMMYFUNCTION("IF(A6564="""","""",INDEX(SPLIT(A6564,"" ""),COUNTA(SPLIT(A6564,"" ""))))"),"Greci")</f>
        <v>Greci</v>
      </c>
      <c r="C6564" s="6"/>
      <c r="D6564" s="6" t="s">
        <v>6640</v>
      </c>
      <c r="E6564" s="7" t="s">
        <v>6641</v>
      </c>
    </row>
    <row r="6565">
      <c r="A6565" s="4" t="s">
        <v>6659</v>
      </c>
      <c r="B6565" s="5" t="str">
        <f>IFERROR(__xludf.DUMMYFUNCTION("IF(A6565="""","""",INDEX(SPLIT(A6565,"" ""),COUNTA(SPLIT(A6565,"" ""))))"),"Capo")</f>
        <v>Capo</v>
      </c>
      <c r="C6565" s="6"/>
      <c r="D6565" s="6" t="s">
        <v>6640</v>
      </c>
      <c r="E6565" s="7" t="s">
        <v>6641</v>
      </c>
    </row>
    <row r="6566">
      <c r="A6566" s="4" t="s">
        <v>6660</v>
      </c>
      <c r="B6566" s="5" t="str">
        <f>IFERROR(__xludf.DUMMYFUNCTION("IF(A6566="""","""",INDEX(SPLIT(A6566,"" ""),COUNTA(SPLIT(A6566,"" ""))))"),"Cavallino")</f>
        <v>Cavallino</v>
      </c>
      <c r="C6566" s="6"/>
      <c r="D6566" s="6" t="s">
        <v>6640</v>
      </c>
      <c r="E6566" s="7" t="s">
        <v>6641</v>
      </c>
    </row>
    <row r="6567">
      <c r="A6567" s="4" t="s">
        <v>6661</v>
      </c>
      <c r="B6567" s="5" t="str">
        <f>IFERROR(__xludf.DUMMYFUNCTION("IF(A6567="""","""",INDEX(SPLIT(A6567,"" ""),COUNTA(SPLIT(A6567,"" ""))))"),"Collepasso")</f>
        <v>Collepasso</v>
      </c>
      <c r="C6567" s="6"/>
      <c r="D6567" s="6" t="s">
        <v>6640</v>
      </c>
      <c r="E6567" s="7" t="s">
        <v>6641</v>
      </c>
    </row>
    <row r="6568">
      <c r="A6568" s="4" t="s">
        <v>6662</v>
      </c>
      <c r="B6568" s="5" t="str">
        <f>IFERROR(__xludf.DUMMYFUNCTION("IF(A6568="""","""",INDEX(SPLIT(A6568,"" ""),COUNTA(SPLIT(A6568,"" ""))))"),"Copertino")</f>
        <v>Copertino</v>
      </c>
      <c r="C6568" s="6"/>
      <c r="D6568" s="6" t="s">
        <v>6640</v>
      </c>
      <c r="E6568" s="7" t="s">
        <v>6641</v>
      </c>
    </row>
    <row r="6569">
      <c r="A6569" s="4" t="s">
        <v>6663</v>
      </c>
      <c r="B6569" s="5" t="str">
        <f>IFERROR(__xludf.DUMMYFUNCTION("IF(A6569="""","""",INDEX(SPLIT(A6569,"" ""),COUNTA(SPLIT(A6569,"" ""))))"),"d'Otranto")</f>
        <v>d'Otranto</v>
      </c>
      <c r="C6569" s="6"/>
      <c r="D6569" s="6" t="s">
        <v>6640</v>
      </c>
      <c r="E6569" s="7" t="s">
        <v>6641</v>
      </c>
    </row>
    <row r="6570">
      <c r="A6570" s="4" t="s">
        <v>6664</v>
      </c>
      <c r="B6570" s="5" t="str">
        <f>IFERROR(__xludf.DUMMYFUNCTION("IF(A6570="""","""",INDEX(SPLIT(A6570,"" ""),COUNTA(SPLIT(A6570,"" ""))))"),"Corsano")</f>
        <v>Corsano</v>
      </c>
      <c r="C6570" s="6"/>
      <c r="D6570" s="6" t="s">
        <v>6640</v>
      </c>
      <c r="E6570" s="7" t="s">
        <v>6641</v>
      </c>
    </row>
    <row r="6571">
      <c r="A6571" s="4" t="s">
        <v>6665</v>
      </c>
      <c r="B6571" s="5" t="str">
        <f>IFERROR(__xludf.DUMMYFUNCTION("IF(A6571="""","""",INDEX(SPLIT(A6571,"" ""),COUNTA(SPLIT(A6571,"" ""))))"),"Cursi")</f>
        <v>Cursi</v>
      </c>
      <c r="C6571" s="6"/>
      <c r="D6571" s="6" t="s">
        <v>6640</v>
      </c>
      <c r="E6571" s="7" t="s">
        <v>6641</v>
      </c>
    </row>
    <row r="6572">
      <c r="A6572" s="4" t="s">
        <v>6666</v>
      </c>
      <c r="B6572" s="5" t="str">
        <f>IFERROR(__xludf.DUMMYFUNCTION("IF(A6572="""","""",INDEX(SPLIT(A6572,"" ""),COUNTA(SPLIT(A6572,"" ""))))"),"Cutrofiano")</f>
        <v>Cutrofiano</v>
      </c>
      <c r="C6572" s="6"/>
      <c r="D6572" s="6" t="s">
        <v>6640</v>
      </c>
      <c r="E6572" s="7" t="s">
        <v>6641</v>
      </c>
    </row>
    <row r="6573">
      <c r="A6573" s="4" t="s">
        <v>6667</v>
      </c>
      <c r="B6573" s="5" t="str">
        <f>IFERROR(__xludf.DUMMYFUNCTION("IF(A6573="""","""",INDEX(SPLIT(A6573,"" ""),COUNTA(SPLIT(A6573,"" ""))))"),"Diso")</f>
        <v>Diso</v>
      </c>
      <c r="C6573" s="6"/>
      <c r="D6573" s="6" t="s">
        <v>6640</v>
      </c>
      <c r="E6573" s="7" t="s">
        <v>6641</v>
      </c>
    </row>
    <row r="6574">
      <c r="A6574" s="4" t="s">
        <v>6668</v>
      </c>
      <c r="B6574" s="5" t="str">
        <f>IFERROR(__xludf.DUMMYFUNCTION("IF(A6574="""","""",INDEX(SPLIT(A6574,"" ""),COUNTA(SPLIT(A6574,"" ""))))"),"Capo")</f>
        <v>Capo</v>
      </c>
      <c r="C6574" s="6"/>
      <c r="D6574" s="6" t="s">
        <v>6640</v>
      </c>
      <c r="E6574" s="7" t="s">
        <v>6641</v>
      </c>
    </row>
    <row r="6575">
      <c r="A6575" s="4" t="s">
        <v>6669</v>
      </c>
      <c r="B6575" s="5" t="str">
        <f>IFERROR(__xludf.DUMMYFUNCTION("IF(A6575="""","""",INDEX(SPLIT(A6575,"" ""),COUNTA(SPLIT(A6575,"" ""))))"),"Galatina")</f>
        <v>Galatina</v>
      </c>
      <c r="C6575" s="6"/>
      <c r="D6575" s="6" t="s">
        <v>6640</v>
      </c>
      <c r="E6575" s="7" t="s">
        <v>6641</v>
      </c>
    </row>
    <row r="6576">
      <c r="A6576" s="4" t="s">
        <v>6670</v>
      </c>
      <c r="B6576" s="5" t="str">
        <f>IFERROR(__xludf.DUMMYFUNCTION("IF(A6576="""","""",INDEX(SPLIT(A6576,"" ""),COUNTA(SPLIT(A6576,"" ""))))"),"Galatone")</f>
        <v>Galatone</v>
      </c>
      <c r="C6576" s="6"/>
      <c r="D6576" s="6" t="s">
        <v>6640</v>
      </c>
      <c r="E6576" s="7" t="s">
        <v>6641</v>
      </c>
    </row>
    <row r="6577">
      <c r="A6577" s="4" t="s">
        <v>6671</v>
      </c>
      <c r="B6577" s="5" t="str">
        <f>IFERROR(__xludf.DUMMYFUNCTION("IF(A6577="""","""",INDEX(SPLIT(A6577,"" ""),COUNTA(SPLIT(A6577,"" ""))))"),"Gallipoli")</f>
        <v>Gallipoli</v>
      </c>
      <c r="C6577" s="6"/>
      <c r="D6577" s="6" t="s">
        <v>6640</v>
      </c>
      <c r="E6577" s="7" t="s">
        <v>6641</v>
      </c>
    </row>
    <row r="6578">
      <c r="A6578" s="4" t="s">
        <v>6672</v>
      </c>
      <c r="B6578" s="5" t="str">
        <f>IFERROR(__xludf.DUMMYFUNCTION("IF(A6578="""","""",INDEX(SPLIT(A6578,"" ""),COUNTA(SPLIT(A6578,"" ""))))"),"Giuggianello")</f>
        <v>Giuggianello</v>
      </c>
      <c r="C6578" s="6"/>
      <c r="D6578" s="6" t="s">
        <v>6640</v>
      </c>
      <c r="E6578" s="7" t="s">
        <v>6641</v>
      </c>
    </row>
    <row r="6579">
      <c r="A6579" s="4" t="s">
        <v>6673</v>
      </c>
      <c r="B6579" s="5" t="str">
        <f>IFERROR(__xludf.DUMMYFUNCTION("IF(A6579="""","""",INDEX(SPLIT(A6579,"" ""),COUNTA(SPLIT(A6579,"" ""))))"),"Giurdignano")</f>
        <v>Giurdignano</v>
      </c>
      <c r="C6579" s="6"/>
      <c r="D6579" s="6" t="s">
        <v>6640</v>
      </c>
      <c r="E6579" s="7" t="s">
        <v>6641</v>
      </c>
    </row>
    <row r="6580">
      <c r="A6580" s="4" t="s">
        <v>6674</v>
      </c>
      <c r="B6580" s="5" t="str">
        <f>IFERROR(__xludf.DUMMYFUNCTION("IF(A6580="""","""",INDEX(SPLIT(A6580,"" ""),COUNTA(SPLIT(A6580,"" ""))))"),"Guagnano")</f>
        <v>Guagnano</v>
      </c>
      <c r="C6580" s="6"/>
      <c r="D6580" s="6" t="s">
        <v>6640</v>
      </c>
      <c r="E6580" s="7" t="s">
        <v>6641</v>
      </c>
    </row>
    <row r="6581">
      <c r="A6581" s="4" t="s">
        <v>6640</v>
      </c>
      <c r="B6581" s="5" t="str">
        <f>IFERROR(__xludf.DUMMYFUNCTION("IF(A6581="""","""",INDEX(SPLIT(A6581,"" ""),COUNTA(SPLIT(A6581,"" ""))))"),"Lecce")</f>
        <v>Lecce</v>
      </c>
      <c r="C6581" s="6"/>
      <c r="D6581" s="6" t="s">
        <v>6640</v>
      </c>
      <c r="E6581" s="7" t="s">
        <v>6641</v>
      </c>
    </row>
    <row r="6582">
      <c r="A6582" s="4" t="s">
        <v>6675</v>
      </c>
      <c r="B6582" s="5" t="str">
        <f>IFERROR(__xludf.DUMMYFUNCTION("IF(A6582="""","""",INDEX(SPLIT(A6582,"" ""),COUNTA(SPLIT(A6582,"" ""))))"),"Lequile")</f>
        <v>Lequile</v>
      </c>
      <c r="C6582" s="6"/>
      <c r="D6582" s="6" t="s">
        <v>6640</v>
      </c>
      <c r="E6582" s="7" t="s">
        <v>6641</v>
      </c>
    </row>
    <row r="6583">
      <c r="A6583" s="4" t="s">
        <v>6676</v>
      </c>
      <c r="B6583" s="5" t="str">
        <f>IFERROR(__xludf.DUMMYFUNCTION("IF(A6583="""","""",INDEX(SPLIT(A6583,"" ""),COUNTA(SPLIT(A6583,"" ""))))"),"Leverano")</f>
        <v>Leverano</v>
      </c>
      <c r="C6583" s="6"/>
      <c r="D6583" s="6" t="s">
        <v>6640</v>
      </c>
      <c r="E6583" s="7" t="s">
        <v>6641</v>
      </c>
    </row>
    <row r="6584">
      <c r="A6584" s="4" t="s">
        <v>6677</v>
      </c>
      <c r="B6584" s="5" t="str">
        <f>IFERROR(__xludf.DUMMYFUNCTION("IF(A6584="""","""",INDEX(SPLIT(A6584,"" ""),COUNTA(SPLIT(A6584,"" ""))))"),"Lizzanello")</f>
        <v>Lizzanello</v>
      </c>
      <c r="C6584" s="6"/>
      <c r="D6584" s="6" t="s">
        <v>6640</v>
      </c>
      <c r="E6584" s="7" t="s">
        <v>6641</v>
      </c>
    </row>
    <row r="6585">
      <c r="A6585" s="4" t="s">
        <v>6678</v>
      </c>
      <c r="B6585" s="5" t="str">
        <f>IFERROR(__xludf.DUMMYFUNCTION("IF(A6585="""","""",INDEX(SPLIT(A6585,"" ""),COUNTA(SPLIT(A6585,"" ""))))"),"Maglie")</f>
        <v>Maglie</v>
      </c>
      <c r="C6585" s="6"/>
      <c r="D6585" s="6" t="s">
        <v>6640</v>
      </c>
      <c r="E6585" s="7" t="s">
        <v>6641</v>
      </c>
    </row>
    <row r="6586">
      <c r="A6586" s="4" t="s">
        <v>6679</v>
      </c>
      <c r="B6586" s="5" t="str">
        <f>IFERROR(__xludf.DUMMYFUNCTION("IF(A6586="""","""",INDEX(SPLIT(A6586,"" ""),COUNTA(SPLIT(A6586,"" ""))))"),"Martano")</f>
        <v>Martano</v>
      </c>
      <c r="C6586" s="6"/>
      <c r="D6586" s="6" t="s">
        <v>6640</v>
      </c>
      <c r="E6586" s="7" t="s">
        <v>6641</v>
      </c>
    </row>
    <row r="6587">
      <c r="A6587" s="4" t="s">
        <v>6680</v>
      </c>
      <c r="B6587" s="5" t="str">
        <f>IFERROR(__xludf.DUMMYFUNCTION("IF(A6587="""","""",INDEX(SPLIT(A6587,"" ""),COUNTA(SPLIT(A6587,"" ""))))"),"Martignano")</f>
        <v>Martignano</v>
      </c>
      <c r="C6587" s="6"/>
      <c r="D6587" s="6" t="s">
        <v>6640</v>
      </c>
      <c r="E6587" s="7" t="s">
        <v>6641</v>
      </c>
    </row>
    <row r="6588">
      <c r="A6588" s="4" t="s">
        <v>6681</v>
      </c>
      <c r="B6588" s="5" t="str">
        <f>IFERROR(__xludf.DUMMYFUNCTION("IF(A6588="""","""",INDEX(SPLIT(A6588,"" ""),COUNTA(SPLIT(A6588,"" ""))))"),"Matino")</f>
        <v>Matino</v>
      </c>
      <c r="C6588" s="6"/>
      <c r="D6588" s="6" t="s">
        <v>6640</v>
      </c>
      <c r="E6588" s="7" t="s">
        <v>6641</v>
      </c>
    </row>
    <row r="6589">
      <c r="A6589" s="4" t="s">
        <v>6682</v>
      </c>
      <c r="B6589" s="5" t="str">
        <f>IFERROR(__xludf.DUMMYFUNCTION("IF(A6589="""","""",INDEX(SPLIT(A6589,"" ""),COUNTA(SPLIT(A6589,"" ""))))"),"Melendugno")</f>
        <v>Melendugno</v>
      </c>
      <c r="C6589" s="6"/>
      <c r="D6589" s="6" t="s">
        <v>6640</v>
      </c>
      <c r="E6589" s="7" t="s">
        <v>6641</v>
      </c>
    </row>
    <row r="6590">
      <c r="A6590" s="4" t="s">
        <v>6683</v>
      </c>
      <c r="B6590" s="5" t="str">
        <f>IFERROR(__xludf.DUMMYFUNCTION("IF(A6590="""","""",INDEX(SPLIT(A6590,"" ""),COUNTA(SPLIT(A6590,"" ""))))"),"Melissano")</f>
        <v>Melissano</v>
      </c>
      <c r="C6590" s="6"/>
      <c r="D6590" s="6" t="s">
        <v>6640</v>
      </c>
      <c r="E6590" s="7" t="s">
        <v>6641</v>
      </c>
    </row>
    <row r="6591">
      <c r="A6591" s="4" t="s">
        <v>6684</v>
      </c>
      <c r="B6591" s="5" t="str">
        <f>IFERROR(__xludf.DUMMYFUNCTION("IF(A6591="""","""",INDEX(SPLIT(A6591,"" ""),COUNTA(SPLIT(A6591,"" ""))))"),"Melpignano")</f>
        <v>Melpignano</v>
      </c>
      <c r="C6591" s="6"/>
      <c r="D6591" s="6" t="s">
        <v>6640</v>
      </c>
      <c r="E6591" s="7" t="s">
        <v>6641</v>
      </c>
    </row>
    <row r="6592">
      <c r="A6592" s="4" t="s">
        <v>6685</v>
      </c>
      <c r="B6592" s="5" t="str">
        <f>IFERROR(__xludf.DUMMYFUNCTION("IF(A6592="""","""",INDEX(SPLIT(A6592,"" ""),COUNTA(SPLIT(A6592,"" ""))))"),"Miggiano")</f>
        <v>Miggiano</v>
      </c>
      <c r="C6592" s="6"/>
      <c r="D6592" s="6" t="s">
        <v>6640</v>
      </c>
      <c r="E6592" s="7" t="s">
        <v>6641</v>
      </c>
    </row>
    <row r="6593">
      <c r="A6593" s="4" t="s">
        <v>6686</v>
      </c>
      <c r="B6593" s="5" t="str">
        <f>IFERROR(__xludf.DUMMYFUNCTION("IF(A6593="""","""",INDEX(SPLIT(A6593,"" ""),COUNTA(SPLIT(A6593,"" ""))))"),"Lecce")</f>
        <v>Lecce</v>
      </c>
      <c r="C6593" s="6"/>
      <c r="D6593" s="6" t="s">
        <v>6640</v>
      </c>
      <c r="E6593" s="7" t="s">
        <v>6641</v>
      </c>
    </row>
    <row r="6594">
      <c r="A6594" s="4" t="s">
        <v>6687</v>
      </c>
      <c r="B6594" s="5" t="str">
        <f>IFERROR(__xludf.DUMMYFUNCTION("IF(A6594="""","""",INDEX(SPLIT(A6594,"" ""),COUNTA(SPLIT(A6594,"" ""))))"),"Lecce")</f>
        <v>Lecce</v>
      </c>
      <c r="C6594" s="6"/>
      <c r="D6594" s="6" t="s">
        <v>6640</v>
      </c>
      <c r="E6594" s="7" t="s">
        <v>6641</v>
      </c>
    </row>
    <row r="6595">
      <c r="A6595" s="4" t="s">
        <v>6688</v>
      </c>
      <c r="B6595" s="5" t="str">
        <f>IFERROR(__xludf.DUMMYFUNCTION("IF(A6595="""","""",INDEX(SPLIT(A6595,"" ""),COUNTA(SPLIT(A6595,"" ""))))"),"Salentino")</f>
        <v>Salentino</v>
      </c>
      <c r="C6595" s="6"/>
      <c r="D6595" s="6" t="s">
        <v>6640</v>
      </c>
      <c r="E6595" s="7" t="s">
        <v>6641</v>
      </c>
    </row>
    <row r="6596">
      <c r="A6596" s="4" t="s">
        <v>6689</v>
      </c>
      <c r="B6596" s="5" t="str">
        <f>IFERROR(__xludf.DUMMYFUNCTION("IF(A6596="""","""",INDEX(SPLIT(A6596,"" ""),COUNTA(SPLIT(A6596,"" ""))))"),"Leuca")</f>
        <v>Leuca</v>
      </c>
      <c r="C6596" s="6"/>
      <c r="D6596" s="6" t="s">
        <v>6640</v>
      </c>
      <c r="E6596" s="7" t="s">
        <v>6641</v>
      </c>
    </row>
    <row r="6597">
      <c r="A6597" s="4" t="s">
        <v>6690</v>
      </c>
      <c r="B6597" s="5" t="str">
        <f>IFERROR(__xludf.DUMMYFUNCTION("IF(A6597="""","""",INDEX(SPLIT(A6597,"" ""),COUNTA(SPLIT(A6597,"" ""))))"),"Leccese")</f>
        <v>Leccese</v>
      </c>
      <c r="C6597" s="6"/>
      <c r="D6597" s="6" t="s">
        <v>6640</v>
      </c>
      <c r="E6597" s="7" t="s">
        <v>6641</v>
      </c>
    </row>
    <row r="6598">
      <c r="A6598" s="4" t="s">
        <v>6691</v>
      </c>
      <c r="B6598" s="5" t="str">
        <f>IFERROR(__xludf.DUMMYFUNCTION("IF(A6598="""","""",INDEX(SPLIT(A6598,"" ""),COUNTA(SPLIT(A6598,"" ""))))"),"Nardò")</f>
        <v>Nardò</v>
      </c>
      <c r="C6598" s="6"/>
      <c r="D6598" s="6" t="s">
        <v>6640</v>
      </c>
      <c r="E6598" s="7" t="s">
        <v>6641</v>
      </c>
    </row>
    <row r="6599">
      <c r="A6599" s="4" t="s">
        <v>6692</v>
      </c>
      <c r="B6599" s="5" t="str">
        <f>IFERROR(__xludf.DUMMYFUNCTION("IF(A6599="""","""",INDEX(SPLIT(A6599,"" ""),COUNTA(SPLIT(A6599,"" ""))))"),"Neviano")</f>
        <v>Neviano</v>
      </c>
      <c r="C6599" s="6"/>
      <c r="D6599" s="6" t="s">
        <v>6640</v>
      </c>
      <c r="E6599" s="7" t="s">
        <v>6641</v>
      </c>
    </row>
    <row r="6600">
      <c r="A6600" s="4" t="s">
        <v>6693</v>
      </c>
      <c r="B6600" s="5" t="str">
        <f>IFERROR(__xludf.DUMMYFUNCTION("IF(A6600="""","""",INDEX(SPLIT(A6600,"" ""),COUNTA(SPLIT(A6600,"" ""))))"),"Nociglia")</f>
        <v>Nociglia</v>
      </c>
      <c r="C6600" s="6"/>
      <c r="D6600" s="6" t="s">
        <v>6640</v>
      </c>
      <c r="E6600" s="7" t="s">
        <v>6641</v>
      </c>
    </row>
    <row r="6601">
      <c r="A6601" s="4" t="s">
        <v>6694</v>
      </c>
      <c r="B6601" s="5" t="str">
        <f>IFERROR(__xludf.DUMMYFUNCTION("IF(A6601="""","""",INDEX(SPLIT(A6601,"" ""),COUNTA(SPLIT(A6601,"" ""))))"),"Novoli")</f>
        <v>Novoli</v>
      </c>
      <c r="C6601" s="6"/>
      <c r="D6601" s="6" t="s">
        <v>6640</v>
      </c>
      <c r="E6601" s="7" t="s">
        <v>6641</v>
      </c>
    </row>
    <row r="6602">
      <c r="A6602" s="4" t="s">
        <v>6695</v>
      </c>
      <c r="B6602" s="5" t="str">
        <f>IFERROR(__xludf.DUMMYFUNCTION("IF(A6602="""","""",INDEX(SPLIT(A6602,"" ""),COUNTA(SPLIT(A6602,"" ""))))"),"Ortelle")</f>
        <v>Ortelle</v>
      </c>
      <c r="C6602" s="6"/>
      <c r="D6602" s="6" t="s">
        <v>6640</v>
      </c>
      <c r="E6602" s="7" t="s">
        <v>6641</v>
      </c>
    </row>
    <row r="6603">
      <c r="A6603" s="4" t="s">
        <v>6696</v>
      </c>
      <c r="B6603" s="5" t="str">
        <f>IFERROR(__xludf.DUMMYFUNCTION("IF(A6603="""","""",INDEX(SPLIT(A6603,"" ""),COUNTA(SPLIT(A6603,"" ""))))"),"Otranto")</f>
        <v>Otranto</v>
      </c>
      <c r="C6603" s="6"/>
      <c r="D6603" s="6" t="s">
        <v>6640</v>
      </c>
      <c r="E6603" s="7" t="s">
        <v>6641</v>
      </c>
    </row>
    <row r="6604">
      <c r="A6604" s="4" t="s">
        <v>6697</v>
      </c>
      <c r="B6604" s="5" t="str">
        <f>IFERROR(__xludf.DUMMYFUNCTION("IF(A6604="""","""",INDEX(SPLIT(A6604,"" ""),COUNTA(SPLIT(A6604,"" ""))))"),"Palmariggi")</f>
        <v>Palmariggi</v>
      </c>
      <c r="C6604" s="6"/>
      <c r="D6604" s="6" t="s">
        <v>6640</v>
      </c>
      <c r="E6604" s="7" t="s">
        <v>6641</v>
      </c>
    </row>
    <row r="6605">
      <c r="A6605" s="4" t="s">
        <v>6698</v>
      </c>
      <c r="B6605" s="5" t="str">
        <f>IFERROR(__xludf.DUMMYFUNCTION("IF(A6605="""","""",INDEX(SPLIT(A6605,"" ""),COUNTA(SPLIT(A6605,"" ""))))"),"Parabita")</f>
        <v>Parabita</v>
      </c>
      <c r="C6605" s="6"/>
      <c r="D6605" s="6" t="s">
        <v>6640</v>
      </c>
      <c r="E6605" s="7" t="s">
        <v>6641</v>
      </c>
    </row>
    <row r="6606">
      <c r="A6606" s="4" t="s">
        <v>6699</v>
      </c>
      <c r="B6606" s="5" t="str">
        <f>IFERROR(__xludf.DUMMYFUNCTION("IF(A6606="""","""",INDEX(SPLIT(A6606,"" ""),COUNTA(SPLIT(A6606,"" ""))))"),"Patù")</f>
        <v>Patù</v>
      </c>
      <c r="C6606" s="6"/>
      <c r="D6606" s="6" t="s">
        <v>6640</v>
      </c>
      <c r="E6606" s="7" t="s">
        <v>6641</v>
      </c>
    </row>
    <row r="6607">
      <c r="A6607" s="4" t="s">
        <v>6700</v>
      </c>
      <c r="B6607" s="5" t="str">
        <f>IFERROR(__xludf.DUMMYFUNCTION("IF(A6607="""","""",INDEX(SPLIT(A6607,"" ""),COUNTA(SPLIT(A6607,"" ""))))"),"Poggiardo")</f>
        <v>Poggiardo</v>
      </c>
      <c r="C6607" s="6"/>
      <c r="D6607" s="6" t="s">
        <v>6640</v>
      </c>
      <c r="E6607" s="7" t="s">
        <v>6641</v>
      </c>
    </row>
    <row r="6608">
      <c r="A6608" s="4" t="s">
        <v>6701</v>
      </c>
      <c r="B6608" s="5" t="str">
        <f>IFERROR(__xludf.DUMMYFUNCTION("IF(A6608="""","""",INDEX(SPLIT(A6608,"" ""),COUNTA(SPLIT(A6608,"" ""))))"),"Presicce")</f>
        <v>Presicce</v>
      </c>
      <c r="C6608" s="6"/>
      <c r="D6608" s="6" t="s">
        <v>6640</v>
      </c>
      <c r="E6608" s="7" t="s">
        <v>6641</v>
      </c>
    </row>
    <row r="6609">
      <c r="A6609" s="4" t="s">
        <v>6702</v>
      </c>
      <c r="B6609" s="5" t="str">
        <f>IFERROR(__xludf.DUMMYFUNCTION("IF(A6609="""","""",INDEX(SPLIT(A6609,"" ""),COUNTA(SPLIT(A6609,"" ""))))"),"Racale")</f>
        <v>Racale</v>
      </c>
      <c r="C6609" s="6"/>
      <c r="D6609" s="6" t="s">
        <v>6640</v>
      </c>
      <c r="E6609" s="7" t="s">
        <v>6641</v>
      </c>
    </row>
    <row r="6610">
      <c r="A6610" s="4" t="s">
        <v>6703</v>
      </c>
      <c r="B6610" s="5" t="str">
        <f>IFERROR(__xludf.DUMMYFUNCTION("IF(A6610="""","""",INDEX(SPLIT(A6610,"" ""),COUNTA(SPLIT(A6610,"" ""))))"),"Ruffano")</f>
        <v>Ruffano</v>
      </c>
      <c r="C6610" s="6"/>
      <c r="D6610" s="6" t="s">
        <v>6640</v>
      </c>
      <c r="E6610" s="7" t="s">
        <v>6641</v>
      </c>
    </row>
    <row r="6611">
      <c r="A6611" s="4" t="s">
        <v>6704</v>
      </c>
      <c r="B6611" s="5" t="str">
        <f>IFERROR(__xludf.DUMMYFUNCTION("IF(A6611="""","""",INDEX(SPLIT(A6611,"" ""),COUNTA(SPLIT(A6611,"" ""))))"),"Salentino")</f>
        <v>Salentino</v>
      </c>
      <c r="C6611" s="6"/>
      <c r="D6611" s="6" t="s">
        <v>6640</v>
      </c>
      <c r="E6611" s="7" t="s">
        <v>6641</v>
      </c>
    </row>
    <row r="6612">
      <c r="A6612" s="4" t="s">
        <v>6705</v>
      </c>
      <c r="B6612" s="5" t="str">
        <f>IFERROR(__xludf.DUMMYFUNCTION("IF(A6612="""","""",INDEX(SPLIT(A6612,"" ""),COUNTA(SPLIT(A6612,"" ""))))"),"Salve")</f>
        <v>Salve</v>
      </c>
      <c r="C6612" s="6"/>
      <c r="D6612" s="6" t="s">
        <v>6640</v>
      </c>
      <c r="E6612" s="7" t="s">
        <v>6641</v>
      </c>
    </row>
    <row r="6613">
      <c r="A6613" s="4" t="s">
        <v>6706</v>
      </c>
      <c r="B6613" s="5" t="str">
        <f>IFERROR(__xludf.DUMMYFUNCTION("IF(A6613="""","""",INDEX(SPLIT(A6613,"" ""),COUNTA(SPLIT(A6613,"" ""))))"),"Sanarica")</f>
        <v>Sanarica</v>
      </c>
      <c r="C6613" s="6"/>
      <c r="D6613" s="6" t="s">
        <v>6640</v>
      </c>
      <c r="E6613" s="7" t="s">
        <v>6641</v>
      </c>
    </row>
    <row r="6614">
      <c r="A6614" s="4" t="s">
        <v>6707</v>
      </c>
      <c r="B6614" s="5" t="str">
        <f>IFERROR(__xludf.DUMMYFUNCTION("IF(A6614="""","""",INDEX(SPLIT(A6614,"" ""),COUNTA(SPLIT(A6614,"" ""))))"),"Lecce")</f>
        <v>Lecce</v>
      </c>
      <c r="C6614" s="6"/>
      <c r="D6614" s="6" t="s">
        <v>6640</v>
      </c>
      <c r="E6614" s="7" t="s">
        <v>6641</v>
      </c>
    </row>
    <row r="6615">
      <c r="A6615" s="4" t="s">
        <v>6708</v>
      </c>
      <c r="B6615" s="5" t="str">
        <f>IFERROR(__xludf.DUMMYFUNCTION("IF(A6615="""","""",INDEX(SPLIT(A6615,"" ""),COUNTA(SPLIT(A6615,"" ""))))"),"Lecce")</f>
        <v>Lecce</v>
      </c>
      <c r="C6615" s="6"/>
      <c r="D6615" s="6" t="s">
        <v>6640</v>
      </c>
      <c r="E6615" s="7" t="s">
        <v>6641</v>
      </c>
    </row>
    <row r="6616">
      <c r="A6616" s="4" t="s">
        <v>6709</v>
      </c>
      <c r="B6616" s="5" t="str">
        <f>IFERROR(__xludf.DUMMYFUNCTION("IF(A6616="""","""",INDEX(SPLIT(A6616,"" ""),COUNTA(SPLIT(A6616,"" ""))))"),"Sannicola")</f>
        <v>Sannicola</v>
      </c>
      <c r="C6616" s="6"/>
      <c r="D6616" s="6" t="s">
        <v>6640</v>
      </c>
      <c r="E6616" s="7" t="s">
        <v>6641</v>
      </c>
    </row>
    <row r="6617">
      <c r="A6617" s="4" t="s">
        <v>6710</v>
      </c>
      <c r="B6617" s="5" t="str">
        <f>IFERROR(__xludf.DUMMYFUNCTION("IF(A6617="""","""",INDEX(SPLIT(A6617,"" ""),COUNTA(SPLIT(A6617,"" ""))))"),"Lama")</f>
        <v>Lama</v>
      </c>
      <c r="C6617" s="6"/>
      <c r="D6617" s="6" t="s">
        <v>6640</v>
      </c>
      <c r="E6617" s="7" t="s">
        <v>6641</v>
      </c>
    </row>
    <row r="6618">
      <c r="A6618" s="4" t="s">
        <v>6711</v>
      </c>
      <c r="B6618" s="5" t="str">
        <f>IFERROR(__xludf.DUMMYFUNCTION("IF(A6618="""","""",INDEX(SPLIT(A6618,"" ""),COUNTA(SPLIT(A6618,"" ""))))"),"Terme")</f>
        <v>Terme</v>
      </c>
      <c r="C6618" s="6"/>
      <c r="D6618" s="6" t="s">
        <v>6640</v>
      </c>
      <c r="E6618" s="7" t="s">
        <v>6641</v>
      </c>
    </row>
    <row r="6619">
      <c r="A6619" s="4" t="s">
        <v>6712</v>
      </c>
      <c r="B6619" s="5" t="str">
        <f>IFERROR(__xludf.DUMMYFUNCTION("IF(A6619="""","""",INDEX(SPLIT(A6619,"" ""),COUNTA(SPLIT(A6619,"" ""))))"),"Scorrano")</f>
        <v>Scorrano</v>
      </c>
      <c r="C6619" s="6"/>
      <c r="D6619" s="6" t="s">
        <v>6640</v>
      </c>
      <c r="E6619" s="7" t="s">
        <v>6641</v>
      </c>
    </row>
    <row r="6620">
      <c r="A6620" s="4" t="s">
        <v>6713</v>
      </c>
      <c r="B6620" s="5" t="str">
        <f>IFERROR(__xludf.DUMMYFUNCTION("IF(A6620="""","""",INDEX(SPLIT(A6620,"" ""),COUNTA(SPLIT(A6620,"" ""))))"),"Seclì")</f>
        <v>Seclì</v>
      </c>
      <c r="C6620" s="6"/>
      <c r="D6620" s="6" t="s">
        <v>6640</v>
      </c>
      <c r="E6620" s="7" t="s">
        <v>6641</v>
      </c>
    </row>
    <row r="6621">
      <c r="A6621" s="4" t="s">
        <v>6714</v>
      </c>
      <c r="B6621" s="5" t="str">
        <f>IFERROR(__xludf.DUMMYFUNCTION("IF(A6621="""","""",INDEX(SPLIT(A6621,"" ""),COUNTA(SPLIT(A6621,"" ""))))"),"Cavour")</f>
        <v>Cavour</v>
      </c>
      <c r="C6621" s="6"/>
      <c r="D6621" s="6" t="s">
        <v>6640</v>
      </c>
      <c r="E6621" s="7" t="s">
        <v>6641</v>
      </c>
    </row>
    <row r="6622">
      <c r="A6622" s="4" t="s">
        <v>6715</v>
      </c>
      <c r="B6622" s="5" t="str">
        <f>IFERROR(__xludf.DUMMYFUNCTION("IF(A6622="""","""",INDEX(SPLIT(A6622,"" ""),COUNTA(SPLIT(A6622,"" ""))))"),"Soleto")</f>
        <v>Soleto</v>
      </c>
      <c r="C6622" s="6"/>
      <c r="D6622" s="6" t="s">
        <v>6640</v>
      </c>
      <c r="E6622" s="7" t="s">
        <v>6641</v>
      </c>
    </row>
    <row r="6623">
      <c r="A6623" s="4" t="s">
        <v>6716</v>
      </c>
      <c r="B6623" s="5" t="str">
        <f>IFERROR(__xludf.DUMMYFUNCTION("IF(A6623="""","""",INDEX(SPLIT(A6623,"" ""),COUNTA(SPLIT(A6623,"" ""))))"),"Specchia")</f>
        <v>Specchia</v>
      </c>
      <c r="C6623" s="6"/>
      <c r="D6623" s="6" t="s">
        <v>6640</v>
      </c>
      <c r="E6623" s="7" t="s">
        <v>6641</v>
      </c>
    </row>
    <row r="6624">
      <c r="A6624" s="4" t="s">
        <v>6717</v>
      </c>
      <c r="B6624" s="5" t="str">
        <f>IFERROR(__xludf.DUMMYFUNCTION("IF(A6624="""","""",INDEX(SPLIT(A6624,"" ""),COUNTA(SPLIT(A6624,"" ""))))"),"Spongano")</f>
        <v>Spongano</v>
      </c>
      <c r="C6624" s="6"/>
      <c r="D6624" s="6" t="s">
        <v>6640</v>
      </c>
      <c r="E6624" s="7" t="s">
        <v>6641</v>
      </c>
    </row>
    <row r="6625">
      <c r="A6625" s="4" t="s">
        <v>6718</v>
      </c>
      <c r="B6625" s="5" t="str">
        <f>IFERROR(__xludf.DUMMYFUNCTION("IF(A6625="""","""",INDEX(SPLIT(A6625,"" ""),COUNTA(SPLIT(A6625,"" ""))))"),"Squinzano")</f>
        <v>Squinzano</v>
      </c>
      <c r="C6625" s="6"/>
      <c r="D6625" s="6" t="s">
        <v>6640</v>
      </c>
      <c r="E6625" s="7" t="s">
        <v>6641</v>
      </c>
    </row>
    <row r="6626">
      <c r="A6626" s="4" t="s">
        <v>6719</v>
      </c>
      <c r="B6626" s="5" t="str">
        <f>IFERROR(__xludf.DUMMYFUNCTION("IF(A6626="""","""",INDEX(SPLIT(A6626,"" ""),COUNTA(SPLIT(A6626,"" ""))))"),"Sternatia")</f>
        <v>Sternatia</v>
      </c>
      <c r="C6626" s="6"/>
      <c r="D6626" s="6" t="s">
        <v>6640</v>
      </c>
      <c r="E6626" s="7" t="s">
        <v>6641</v>
      </c>
    </row>
    <row r="6627">
      <c r="A6627" s="4" t="s">
        <v>6720</v>
      </c>
      <c r="B6627" s="5" t="str">
        <f>IFERROR(__xludf.DUMMYFUNCTION("IF(A6627="""","""",INDEX(SPLIT(A6627,"" ""),COUNTA(SPLIT(A6627,"" ""))))"),"Supersano")</f>
        <v>Supersano</v>
      </c>
      <c r="C6627" s="6"/>
      <c r="D6627" s="6" t="s">
        <v>6640</v>
      </c>
      <c r="E6627" s="7" t="s">
        <v>6641</v>
      </c>
    </row>
    <row r="6628">
      <c r="A6628" s="4" t="s">
        <v>6721</v>
      </c>
      <c r="B6628" s="5" t="str">
        <f>IFERROR(__xludf.DUMMYFUNCTION("IF(A6628="""","""",INDEX(SPLIT(A6628,"" ""),COUNTA(SPLIT(A6628,"" ""))))"),"Surano")</f>
        <v>Surano</v>
      </c>
      <c r="C6628" s="6"/>
      <c r="D6628" s="6" t="s">
        <v>6640</v>
      </c>
      <c r="E6628" s="7" t="s">
        <v>6641</v>
      </c>
    </row>
    <row r="6629">
      <c r="A6629" s="4" t="s">
        <v>6722</v>
      </c>
      <c r="B6629" s="5" t="str">
        <f>IFERROR(__xludf.DUMMYFUNCTION("IF(A6629="""","""",INDEX(SPLIT(A6629,"" ""),COUNTA(SPLIT(A6629,"" ""))))"),"Surbo")</f>
        <v>Surbo</v>
      </c>
      <c r="C6629" s="6"/>
      <c r="D6629" s="6" t="s">
        <v>6640</v>
      </c>
      <c r="E6629" s="7" t="s">
        <v>6641</v>
      </c>
    </row>
    <row r="6630">
      <c r="A6630" s="4" t="s">
        <v>6723</v>
      </c>
      <c r="B6630" s="5" t="str">
        <f>IFERROR(__xludf.DUMMYFUNCTION("IF(A6630="""","""",INDEX(SPLIT(A6630,"" ""),COUNTA(SPLIT(A6630,"" ""))))"),"Taurisano")</f>
        <v>Taurisano</v>
      </c>
      <c r="C6630" s="6"/>
      <c r="D6630" s="6" t="s">
        <v>6640</v>
      </c>
      <c r="E6630" s="7" t="s">
        <v>6641</v>
      </c>
    </row>
    <row r="6631">
      <c r="A6631" s="4" t="s">
        <v>6724</v>
      </c>
      <c r="B6631" s="5" t="str">
        <f>IFERROR(__xludf.DUMMYFUNCTION("IF(A6631="""","""",INDEX(SPLIT(A6631,"" ""),COUNTA(SPLIT(A6631,"" ""))))"),"Taviano")</f>
        <v>Taviano</v>
      </c>
      <c r="C6631" s="6"/>
      <c r="D6631" s="6" t="s">
        <v>6640</v>
      </c>
      <c r="E6631" s="7" t="s">
        <v>6641</v>
      </c>
    </row>
    <row r="6632">
      <c r="A6632" s="4" t="s">
        <v>6725</v>
      </c>
      <c r="B6632" s="5" t="str">
        <f>IFERROR(__xludf.DUMMYFUNCTION("IF(A6632="""","""",INDEX(SPLIT(A6632,"" ""),COUNTA(SPLIT(A6632,"" ""))))"),"Tiggiano")</f>
        <v>Tiggiano</v>
      </c>
      <c r="C6632" s="6"/>
      <c r="D6632" s="6" t="s">
        <v>6640</v>
      </c>
      <c r="E6632" s="7" t="s">
        <v>6641</v>
      </c>
    </row>
    <row r="6633">
      <c r="A6633" s="4" t="s">
        <v>6726</v>
      </c>
      <c r="B6633" s="5" t="str">
        <f>IFERROR(__xludf.DUMMYFUNCTION("IF(A6633="""","""",INDEX(SPLIT(A6633,"" ""),COUNTA(SPLIT(A6633,"" ""))))"),"Trepuzzi")</f>
        <v>Trepuzzi</v>
      </c>
      <c r="C6633" s="6"/>
      <c r="D6633" s="6" t="s">
        <v>6640</v>
      </c>
      <c r="E6633" s="7" t="s">
        <v>6641</v>
      </c>
    </row>
    <row r="6634">
      <c r="A6634" s="4" t="s">
        <v>6727</v>
      </c>
      <c r="B6634" s="5" t="str">
        <f>IFERROR(__xludf.DUMMYFUNCTION("IF(A6634="""","""",INDEX(SPLIT(A6634,"" ""),COUNTA(SPLIT(A6634,"" ""))))"),"Tricase")</f>
        <v>Tricase</v>
      </c>
      <c r="C6634" s="6"/>
      <c r="D6634" s="6" t="s">
        <v>6640</v>
      </c>
      <c r="E6634" s="7" t="s">
        <v>6641</v>
      </c>
    </row>
    <row r="6635">
      <c r="A6635" s="4" t="s">
        <v>6728</v>
      </c>
      <c r="B6635" s="5" t="str">
        <f>IFERROR(__xludf.DUMMYFUNCTION("IF(A6635="""","""",INDEX(SPLIT(A6635,"" ""),COUNTA(SPLIT(A6635,"" ""))))"),"Tuglie")</f>
        <v>Tuglie</v>
      </c>
      <c r="C6635" s="6"/>
      <c r="D6635" s="6" t="s">
        <v>6640</v>
      </c>
      <c r="E6635" s="7" t="s">
        <v>6641</v>
      </c>
    </row>
    <row r="6636">
      <c r="A6636" s="4" t="s">
        <v>6729</v>
      </c>
      <c r="B6636" s="5" t="str">
        <f>IFERROR(__xludf.DUMMYFUNCTION("IF(A6636="""","""",INDEX(SPLIT(A6636,"" ""),COUNTA(SPLIT(A6636,"" ""))))"),"Ugento")</f>
        <v>Ugento</v>
      </c>
      <c r="C6636" s="6"/>
      <c r="D6636" s="6" t="s">
        <v>6640</v>
      </c>
      <c r="E6636" s="7" t="s">
        <v>6641</v>
      </c>
    </row>
    <row r="6637">
      <c r="A6637" s="4" t="s">
        <v>6730</v>
      </c>
      <c r="B6637" s="5" t="str">
        <f>IFERROR(__xludf.DUMMYFUNCTION("IF(A6637="""","""",INDEX(SPLIT(A6637,"" ""),COUNTA(SPLIT(A6637,"" ""))))"),"Chiesa")</f>
        <v>Chiesa</v>
      </c>
      <c r="C6637" s="6"/>
      <c r="D6637" s="6" t="s">
        <v>6640</v>
      </c>
      <c r="E6637" s="7" t="s">
        <v>6641</v>
      </c>
    </row>
    <row r="6638">
      <c r="A6638" s="4" t="s">
        <v>6731</v>
      </c>
      <c r="B6638" s="5" t="str">
        <f>IFERROR(__xludf.DUMMYFUNCTION("IF(A6638="""","""",INDEX(SPLIT(A6638,"" ""),COUNTA(SPLIT(A6638,"" ""))))"),"Veglie")</f>
        <v>Veglie</v>
      </c>
      <c r="C6638" s="6"/>
      <c r="D6638" s="6" t="s">
        <v>6640</v>
      </c>
      <c r="E6638" s="7" t="s">
        <v>6641</v>
      </c>
    </row>
    <row r="6639">
      <c r="A6639" s="4" t="s">
        <v>6732</v>
      </c>
      <c r="B6639" s="5" t="str">
        <f>IFERROR(__xludf.DUMMYFUNCTION("IF(A6639="""","""",INDEX(SPLIT(A6639,"" ""),COUNTA(SPLIT(A6639,"" ""))))"),"Vernole")</f>
        <v>Vernole</v>
      </c>
      <c r="C6639" s="6"/>
      <c r="D6639" s="6" t="s">
        <v>6640</v>
      </c>
      <c r="E6639" s="7" t="s">
        <v>6641</v>
      </c>
    </row>
    <row r="6640">
      <c r="A6640" s="4" t="s">
        <v>6733</v>
      </c>
      <c r="B6640" s="5" t="str">
        <f>IFERROR(__xludf.DUMMYFUNCTION("IF(A6640="""","""",INDEX(SPLIT(A6640,"" ""),COUNTA(SPLIT(A6640,"" ""))))"),"Zollino")</f>
        <v>Zollino</v>
      </c>
      <c r="C6640" s="6"/>
      <c r="D6640" s="6" t="s">
        <v>6640</v>
      </c>
      <c r="E6640" s="7" t="s">
        <v>6641</v>
      </c>
    </row>
    <row r="6641">
      <c r="A6641" s="4" t="s">
        <v>6734</v>
      </c>
      <c r="B6641" s="5" t="str">
        <f>IFERROR(__xludf.DUMMYFUNCTION("IF(A6641="""","""",INDEX(SPLIT(A6641,"" ""),COUNTA(SPLIT(A6641,"" ""))))"),"Cassiano")</f>
        <v>Cassiano</v>
      </c>
      <c r="C6641" s="6"/>
      <c r="D6641" s="6" t="s">
        <v>6640</v>
      </c>
      <c r="E6641" s="7" t="s">
        <v>6641</v>
      </c>
    </row>
    <row r="6642">
      <c r="A6642" s="4" t="s">
        <v>1850</v>
      </c>
      <c r="B6642" s="5" t="str">
        <f>IFERROR(__xludf.DUMMYFUNCTION("IF(A6642="""","""",INDEX(SPLIT(A6642,"" ""),COUNTA(SPLIT(A6642,"" ""))))"),"Castro")</f>
        <v>Castro</v>
      </c>
      <c r="C6642" s="6"/>
      <c r="D6642" s="6" t="s">
        <v>6640</v>
      </c>
      <c r="E6642" s="7" t="s">
        <v>6641</v>
      </c>
    </row>
    <row r="6643">
      <c r="A6643" s="4" t="s">
        <v>6735</v>
      </c>
      <c r="B6643" s="5" t="str">
        <f>IFERROR(__xludf.DUMMYFUNCTION("IF(A6643="""","""",INDEX(SPLIT(A6643,"" ""),COUNTA(SPLIT(A6643,"" ""))))"),"Cesareo")</f>
        <v>Cesareo</v>
      </c>
      <c r="C6643" s="6"/>
      <c r="D6643" s="6" t="s">
        <v>6640</v>
      </c>
      <c r="E6643" s="7" t="s">
        <v>6641</v>
      </c>
    </row>
    <row r="6644">
      <c r="A6644" s="4" t="s">
        <v>6736</v>
      </c>
      <c r="B6644" s="5" t="str">
        <f>IFERROR(__xludf.DUMMYFUNCTION("IF(A6644="""","""",INDEX(SPLIT(A6644,"" ""),COUNTA(SPLIT(A6644,"" ""))))"),"Andria")</f>
        <v>Andria</v>
      </c>
      <c r="C6644" s="6"/>
      <c r="D6644" s="6" t="s">
        <v>6737</v>
      </c>
      <c r="E6644" s="7" t="s">
        <v>6738</v>
      </c>
    </row>
    <row r="6645">
      <c r="A6645" s="4" t="s">
        <v>6739</v>
      </c>
      <c r="B6645" s="5" t="str">
        <f>IFERROR(__xludf.DUMMYFUNCTION("IF(A6645="""","""",INDEX(SPLIT(A6645,"" ""),COUNTA(SPLIT(A6645,"" ""))))"),"Barletta")</f>
        <v>Barletta</v>
      </c>
      <c r="C6645" s="6"/>
      <c r="D6645" s="6" t="s">
        <v>6737</v>
      </c>
      <c r="E6645" s="7" t="s">
        <v>6738</v>
      </c>
    </row>
    <row r="6646">
      <c r="A6646" s="4" t="s">
        <v>6740</v>
      </c>
      <c r="B6646" s="5" t="str">
        <f>IFERROR(__xludf.DUMMYFUNCTION("IF(A6646="""","""",INDEX(SPLIT(A6646,"" ""),COUNTA(SPLIT(A6646,"" ""))))"),"Bisceglie")</f>
        <v>Bisceglie</v>
      </c>
      <c r="C6646" s="6"/>
      <c r="D6646" s="6" t="s">
        <v>6737</v>
      </c>
      <c r="E6646" s="7" t="s">
        <v>6738</v>
      </c>
    </row>
    <row r="6647">
      <c r="A6647" s="4" t="s">
        <v>6741</v>
      </c>
      <c r="B6647" s="5" t="str">
        <f>IFERROR(__xludf.DUMMYFUNCTION("IF(A6647="""","""",INDEX(SPLIT(A6647,"" ""),COUNTA(SPLIT(A6647,"" ""))))"),"Puglia")</f>
        <v>Puglia</v>
      </c>
      <c r="C6647" s="6"/>
      <c r="D6647" s="6" t="s">
        <v>6737</v>
      </c>
      <c r="E6647" s="7" t="s">
        <v>6738</v>
      </c>
    </row>
    <row r="6648">
      <c r="A6648" s="4" t="s">
        <v>6742</v>
      </c>
      <c r="B6648" s="5" t="str">
        <f>IFERROR(__xludf.DUMMYFUNCTION("IF(A6648="""","""",INDEX(SPLIT(A6648,"" ""),COUNTA(SPLIT(A6648,"" ""))))"),"Savoia")</f>
        <v>Savoia</v>
      </c>
      <c r="C6648" s="6"/>
      <c r="D6648" s="6" t="s">
        <v>6737</v>
      </c>
      <c r="E6648" s="7" t="s">
        <v>6738</v>
      </c>
    </row>
    <row r="6649">
      <c r="A6649" s="4" t="s">
        <v>6743</v>
      </c>
      <c r="B6649" s="5" t="str">
        <f>IFERROR(__xludf.DUMMYFUNCTION("IF(A6649="""","""",INDEX(SPLIT(A6649,"" ""),COUNTA(SPLIT(A6649,"" ""))))"),"Murge")</f>
        <v>Murge</v>
      </c>
      <c r="C6649" s="6"/>
      <c r="D6649" s="6" t="s">
        <v>6737</v>
      </c>
      <c r="E6649" s="7" t="s">
        <v>6738</v>
      </c>
    </row>
    <row r="6650">
      <c r="A6650" s="4" t="s">
        <v>6744</v>
      </c>
      <c r="B6650" s="5" t="str">
        <f>IFERROR(__xludf.DUMMYFUNCTION("IF(A6650="""","""",INDEX(SPLIT(A6650,"" ""),COUNTA(SPLIT(A6650,"" ""))))"),"Puglia")</f>
        <v>Puglia</v>
      </c>
      <c r="C6650" s="6"/>
      <c r="D6650" s="6" t="s">
        <v>6737</v>
      </c>
      <c r="E6650" s="7" t="s">
        <v>6738</v>
      </c>
    </row>
    <row r="6651">
      <c r="A6651" s="4" t="s">
        <v>6745</v>
      </c>
      <c r="B6651" s="5" t="str">
        <f>IFERROR(__xludf.DUMMYFUNCTION("IF(A6651="""","""",INDEX(SPLIT(A6651,"" ""),COUNTA(SPLIT(A6651,"" ""))))"),"Spinazzola")</f>
        <v>Spinazzola</v>
      </c>
      <c r="C6651" s="6"/>
      <c r="D6651" s="6" t="s">
        <v>6737</v>
      </c>
      <c r="E6651" s="7" t="s">
        <v>6738</v>
      </c>
    </row>
    <row r="6652">
      <c r="A6652" s="4" t="s">
        <v>6746</v>
      </c>
      <c r="B6652" s="5" t="str">
        <f>IFERROR(__xludf.DUMMYFUNCTION("IF(A6652="""","""",INDEX(SPLIT(A6652,"" ""),COUNTA(SPLIT(A6652,"" ""))))"),"Trani")</f>
        <v>Trani</v>
      </c>
      <c r="C6652" s="6"/>
      <c r="D6652" s="6" t="s">
        <v>6737</v>
      </c>
      <c r="E6652" s="7" t="s">
        <v>6738</v>
      </c>
    </row>
    <row r="6653">
      <c r="A6653" s="4" t="s">
        <v>6747</v>
      </c>
      <c r="B6653" s="5" t="str">
        <f>IFERROR(__xludf.DUMMYFUNCTION("IF(A6653="""","""",INDEX(SPLIT(A6653,"" ""),COUNTA(SPLIT(A6653,"" ""))))"),"Trinitapoli")</f>
        <v>Trinitapoli</v>
      </c>
      <c r="C6653" s="6"/>
      <c r="D6653" s="6" t="s">
        <v>6737</v>
      </c>
      <c r="E6653" s="7" t="s">
        <v>6738</v>
      </c>
    </row>
    <row r="6654">
      <c r="A6654" s="4" t="s">
        <v>6748</v>
      </c>
      <c r="B6654" s="5" t="str">
        <f>IFERROR(__xludf.DUMMYFUNCTION("IF(A6654="""","""",INDEX(SPLIT(A6654,"" ""),COUNTA(SPLIT(A6654,"" ""))))"),"Abriola")</f>
        <v>Abriola</v>
      </c>
      <c r="C6654" s="6"/>
      <c r="D6654" s="6" t="s">
        <v>6749</v>
      </c>
      <c r="E6654" s="7" t="s">
        <v>6750</v>
      </c>
    </row>
    <row r="6655">
      <c r="A6655" s="4" t="s">
        <v>6751</v>
      </c>
      <c r="B6655" s="5" t="str">
        <f>IFERROR(__xludf.DUMMYFUNCTION("IF(A6655="""","""",INDEX(SPLIT(A6655,"" ""),COUNTA(SPLIT(A6655,"" ""))))"),"Acerenza")</f>
        <v>Acerenza</v>
      </c>
      <c r="C6655" s="6"/>
      <c r="D6655" s="6" t="s">
        <v>6749</v>
      </c>
      <c r="E6655" s="7" t="s">
        <v>6750</v>
      </c>
    </row>
    <row r="6656">
      <c r="A6656" s="4" t="s">
        <v>6752</v>
      </c>
      <c r="B6656" s="5" t="str">
        <f>IFERROR(__xludf.DUMMYFUNCTION("IF(A6656="""","""",INDEX(SPLIT(A6656,"" ""),COUNTA(SPLIT(A6656,"" ""))))"),"Lucania")</f>
        <v>Lucania</v>
      </c>
      <c r="C6656" s="6"/>
      <c r="D6656" s="6" t="s">
        <v>6749</v>
      </c>
      <c r="E6656" s="7" t="s">
        <v>6750</v>
      </c>
    </row>
    <row r="6657">
      <c r="A6657" s="4" t="s">
        <v>6753</v>
      </c>
      <c r="B6657" s="5" t="str">
        <f>IFERROR(__xludf.DUMMYFUNCTION("IF(A6657="""","""",INDEX(SPLIT(A6657,"" ""),COUNTA(SPLIT(A6657,"" ""))))"),"Anzi")</f>
        <v>Anzi</v>
      </c>
      <c r="C6657" s="6"/>
      <c r="D6657" s="6" t="s">
        <v>6749</v>
      </c>
      <c r="E6657" s="7" t="s">
        <v>6750</v>
      </c>
    </row>
    <row r="6658">
      <c r="A6658" s="4" t="s">
        <v>6754</v>
      </c>
      <c r="B6658" s="5" t="str">
        <f>IFERROR(__xludf.DUMMYFUNCTION("IF(A6658="""","""",INDEX(SPLIT(A6658,"" ""),COUNTA(SPLIT(A6658,"" ""))))"),"Armento")</f>
        <v>Armento</v>
      </c>
      <c r="C6658" s="6"/>
      <c r="D6658" s="6" t="s">
        <v>6749</v>
      </c>
      <c r="E6658" s="7" t="s">
        <v>6750</v>
      </c>
    </row>
    <row r="6659">
      <c r="A6659" s="4" t="s">
        <v>6755</v>
      </c>
      <c r="B6659" s="5" t="str">
        <f>IFERROR(__xludf.DUMMYFUNCTION("IF(A6659="""","""",INDEX(SPLIT(A6659,"" ""),COUNTA(SPLIT(A6659,"" ""))))"),"Atella")</f>
        <v>Atella</v>
      </c>
      <c r="C6659" s="6"/>
      <c r="D6659" s="6" t="s">
        <v>6749</v>
      </c>
      <c r="E6659" s="7" t="s">
        <v>6750</v>
      </c>
    </row>
    <row r="6660">
      <c r="A6660" s="4" t="s">
        <v>6756</v>
      </c>
      <c r="B6660" s="5" t="str">
        <f>IFERROR(__xludf.DUMMYFUNCTION("IF(A6660="""","""",INDEX(SPLIT(A6660,"" ""),COUNTA(SPLIT(A6660,"" ""))))"),"Avigliano")</f>
        <v>Avigliano</v>
      </c>
      <c r="C6660" s="6"/>
      <c r="D6660" s="6" t="s">
        <v>6749</v>
      </c>
      <c r="E6660" s="7" t="s">
        <v>6750</v>
      </c>
    </row>
    <row r="6661">
      <c r="A6661" s="4" t="s">
        <v>6757</v>
      </c>
      <c r="B6661" s="5" t="str">
        <f>IFERROR(__xludf.DUMMYFUNCTION("IF(A6661="""","""",INDEX(SPLIT(A6661,"" ""),COUNTA(SPLIT(A6661,"" ""))))"),"Balvano")</f>
        <v>Balvano</v>
      </c>
      <c r="C6661" s="6"/>
      <c r="D6661" s="6" t="s">
        <v>6749</v>
      </c>
      <c r="E6661" s="7" t="s">
        <v>6750</v>
      </c>
    </row>
    <row r="6662">
      <c r="A6662" s="4" t="s">
        <v>6758</v>
      </c>
      <c r="B6662" s="5" t="str">
        <f>IFERROR(__xludf.DUMMYFUNCTION("IF(A6662="""","""",INDEX(SPLIT(A6662,"" ""),COUNTA(SPLIT(A6662,"" ""))))"),"Banzi")</f>
        <v>Banzi</v>
      </c>
      <c r="C6662" s="6"/>
      <c r="D6662" s="6" t="s">
        <v>6749</v>
      </c>
      <c r="E6662" s="7" t="s">
        <v>6750</v>
      </c>
    </row>
    <row r="6663">
      <c r="A6663" s="4" t="s">
        <v>6759</v>
      </c>
      <c r="B6663" s="5" t="str">
        <f>IFERROR(__xludf.DUMMYFUNCTION("IF(A6663="""","""",INDEX(SPLIT(A6663,"" ""),COUNTA(SPLIT(A6663,"" ""))))"),"Baragiano")</f>
        <v>Baragiano</v>
      </c>
      <c r="C6663" s="6"/>
      <c r="D6663" s="6" t="s">
        <v>6749</v>
      </c>
      <c r="E6663" s="7" t="s">
        <v>6750</v>
      </c>
    </row>
    <row r="6664">
      <c r="A6664" s="4" t="s">
        <v>6760</v>
      </c>
      <c r="B6664" s="5" t="str">
        <f>IFERROR(__xludf.DUMMYFUNCTION("IF(A6664="""","""",INDEX(SPLIT(A6664,"" ""),COUNTA(SPLIT(A6664,"" ""))))"),"Barile")</f>
        <v>Barile</v>
      </c>
      <c r="C6664" s="6"/>
      <c r="D6664" s="6" t="s">
        <v>6749</v>
      </c>
      <c r="E6664" s="7" t="s">
        <v>6750</v>
      </c>
    </row>
    <row r="6665">
      <c r="A6665" s="4" t="s">
        <v>6761</v>
      </c>
      <c r="B6665" s="5" t="str">
        <f>IFERROR(__xludf.DUMMYFUNCTION("IF(A6665="""","""",INDEX(SPLIT(A6665,"" ""),COUNTA(SPLIT(A6665,"" ""))))"),"Bella")</f>
        <v>Bella</v>
      </c>
      <c r="C6665" s="6"/>
      <c r="D6665" s="6" t="s">
        <v>6749</v>
      </c>
      <c r="E6665" s="7" t="s">
        <v>6750</v>
      </c>
    </row>
    <row r="6666">
      <c r="A6666" s="4" t="s">
        <v>6762</v>
      </c>
      <c r="B6666" s="5" t="str">
        <f>IFERROR(__xludf.DUMMYFUNCTION("IF(A6666="""","""",INDEX(SPLIT(A6666,"" ""),COUNTA(SPLIT(A6666,"" ""))))"),"Brienza")</f>
        <v>Brienza</v>
      </c>
      <c r="C6666" s="6"/>
      <c r="D6666" s="6" t="s">
        <v>6749</v>
      </c>
      <c r="E6666" s="7" t="s">
        <v>6750</v>
      </c>
    </row>
    <row r="6667">
      <c r="A6667" s="4" t="s">
        <v>6763</v>
      </c>
      <c r="B6667" s="5" t="str">
        <f>IFERROR(__xludf.DUMMYFUNCTION("IF(A6667="""","""",INDEX(SPLIT(A6667,"" ""),COUNTA(SPLIT(A6667,"" ""))))"),"Montagna")</f>
        <v>Montagna</v>
      </c>
      <c r="C6667" s="6"/>
      <c r="D6667" s="6" t="s">
        <v>6749</v>
      </c>
      <c r="E6667" s="7" t="s">
        <v>6750</v>
      </c>
    </row>
    <row r="6668">
      <c r="A6668" s="4" t="s">
        <v>6764</v>
      </c>
      <c r="B6668" s="5" t="str">
        <f>IFERROR(__xludf.DUMMYFUNCTION("IF(A6668="""","""",INDEX(SPLIT(A6668,"" ""),COUNTA(SPLIT(A6668,"" ""))))"),"Calvello")</f>
        <v>Calvello</v>
      </c>
      <c r="C6668" s="6"/>
      <c r="D6668" s="6" t="s">
        <v>6749</v>
      </c>
      <c r="E6668" s="7" t="s">
        <v>6750</v>
      </c>
    </row>
    <row r="6669">
      <c r="A6669" s="4" t="s">
        <v>6765</v>
      </c>
      <c r="B6669" s="5" t="str">
        <f>IFERROR(__xludf.DUMMYFUNCTION("IF(A6669="""","""",INDEX(SPLIT(A6669,"" ""),COUNTA(SPLIT(A6669,"" ""))))"),"Calvera")</f>
        <v>Calvera</v>
      </c>
      <c r="C6669" s="6"/>
      <c r="D6669" s="6" t="s">
        <v>6749</v>
      </c>
      <c r="E6669" s="7" t="s">
        <v>6750</v>
      </c>
    </row>
    <row r="6670">
      <c r="A6670" s="4" t="s">
        <v>6766</v>
      </c>
      <c r="B6670" s="5" t="str">
        <f>IFERROR(__xludf.DUMMYFUNCTION("IF(A6670="""","""",INDEX(SPLIT(A6670,"" ""),COUNTA(SPLIT(A6670,"" ""))))"),"Campomaggiore")</f>
        <v>Campomaggiore</v>
      </c>
      <c r="C6670" s="6"/>
      <c r="D6670" s="6" t="s">
        <v>6749</v>
      </c>
      <c r="E6670" s="7" t="s">
        <v>6750</v>
      </c>
    </row>
    <row r="6671">
      <c r="A6671" s="4" t="s">
        <v>6767</v>
      </c>
      <c r="B6671" s="5" t="str">
        <f>IFERROR(__xludf.DUMMYFUNCTION("IF(A6671="""","""",INDEX(SPLIT(A6671,"" ""),COUNTA(SPLIT(A6671,"" ""))))"),"Cancellara")</f>
        <v>Cancellara</v>
      </c>
      <c r="C6671" s="6"/>
      <c r="D6671" s="6" t="s">
        <v>6749</v>
      </c>
      <c r="E6671" s="7" t="s">
        <v>6750</v>
      </c>
    </row>
    <row r="6672">
      <c r="A6672" s="4" t="s">
        <v>6768</v>
      </c>
      <c r="B6672" s="5" t="str">
        <f>IFERROR(__xludf.DUMMYFUNCTION("IF(A6672="""","""",INDEX(SPLIT(A6672,"" ""),COUNTA(SPLIT(A6672,"" ""))))"),"Carbone")</f>
        <v>Carbone</v>
      </c>
      <c r="C6672" s="6"/>
      <c r="D6672" s="6" t="s">
        <v>6749</v>
      </c>
      <c r="E6672" s="7" t="s">
        <v>6750</v>
      </c>
    </row>
    <row r="6673">
      <c r="A6673" s="4" t="s">
        <v>6769</v>
      </c>
      <c r="B6673" s="5" t="str">
        <f>IFERROR(__xludf.DUMMYFUNCTION("IF(A6673="""","""",INDEX(SPLIT(A6673,"" ""),COUNTA(SPLIT(A6673,"" ""))))"),"Albanese")</f>
        <v>Albanese</v>
      </c>
      <c r="C6673" s="6"/>
      <c r="D6673" s="6" t="s">
        <v>6749</v>
      </c>
      <c r="E6673" s="7" t="s">
        <v>6750</v>
      </c>
    </row>
    <row r="6674">
      <c r="A6674" s="4" t="s">
        <v>6770</v>
      </c>
      <c r="B6674" s="5" t="str">
        <f>IFERROR(__xludf.DUMMYFUNCTION("IF(A6674="""","""",INDEX(SPLIT(A6674,"" ""),COUNTA(SPLIT(A6674,"" ""))))"),"Castelgrande")</f>
        <v>Castelgrande</v>
      </c>
      <c r="C6674" s="6"/>
      <c r="D6674" s="6" t="s">
        <v>6749</v>
      </c>
      <c r="E6674" s="7" t="s">
        <v>6750</v>
      </c>
    </row>
    <row r="6675">
      <c r="A6675" s="4" t="s">
        <v>6771</v>
      </c>
      <c r="B6675" s="5" t="str">
        <f>IFERROR(__xludf.DUMMYFUNCTION("IF(A6675="""","""",INDEX(SPLIT(A6675,"" ""),COUNTA(SPLIT(A6675,"" ""))))"),"Inferiore")</f>
        <v>Inferiore</v>
      </c>
      <c r="C6675" s="6"/>
      <c r="D6675" s="6" t="s">
        <v>6749</v>
      </c>
      <c r="E6675" s="7" t="s">
        <v>6750</v>
      </c>
    </row>
    <row r="6676">
      <c r="A6676" s="4" t="s">
        <v>6772</v>
      </c>
      <c r="B6676" s="5" t="str">
        <f>IFERROR(__xludf.DUMMYFUNCTION("IF(A6676="""","""",INDEX(SPLIT(A6676,"" ""),COUNTA(SPLIT(A6676,"" ""))))"),"Superiore")</f>
        <v>Superiore</v>
      </c>
      <c r="C6676" s="6"/>
      <c r="D6676" s="6" t="s">
        <v>6749</v>
      </c>
      <c r="E6676" s="7" t="s">
        <v>6750</v>
      </c>
    </row>
    <row r="6677">
      <c r="A6677" s="4" t="s">
        <v>6773</v>
      </c>
      <c r="B6677" s="5" t="str">
        <f>IFERROR(__xludf.DUMMYFUNCTION("IF(A6677="""","""",INDEX(SPLIT(A6677,"" ""),COUNTA(SPLIT(A6677,"" ""))))"),"Castelmezzano")</f>
        <v>Castelmezzano</v>
      </c>
      <c r="C6677" s="6"/>
      <c r="D6677" s="6" t="s">
        <v>6749</v>
      </c>
      <c r="E6677" s="7" t="s">
        <v>6750</v>
      </c>
    </row>
    <row r="6678">
      <c r="A6678" s="4" t="s">
        <v>6774</v>
      </c>
      <c r="B6678" s="5" t="str">
        <f>IFERROR(__xludf.DUMMYFUNCTION("IF(A6678="""","""",INDEX(SPLIT(A6678,"" ""),COUNTA(SPLIT(A6678,"" ""))))"),"Castelsaraceno")</f>
        <v>Castelsaraceno</v>
      </c>
      <c r="C6678" s="6"/>
      <c r="D6678" s="6" t="s">
        <v>6749</v>
      </c>
      <c r="E6678" s="7" t="s">
        <v>6750</v>
      </c>
    </row>
    <row r="6679">
      <c r="A6679" s="4" t="s">
        <v>6775</v>
      </c>
      <c r="B6679" s="5" t="str">
        <f>IFERROR(__xludf.DUMMYFUNCTION("IF(A6679="""","""",INDEX(SPLIT(A6679,"" ""),COUNTA(SPLIT(A6679,"" ""))))"),"Sant'Andrea")</f>
        <v>Sant'Andrea</v>
      </c>
      <c r="C6679" s="6"/>
      <c r="D6679" s="6" t="s">
        <v>6749</v>
      </c>
      <c r="E6679" s="7" t="s">
        <v>6750</v>
      </c>
    </row>
    <row r="6680">
      <c r="A6680" s="4" t="s">
        <v>6776</v>
      </c>
      <c r="B6680" s="5" t="str">
        <f>IFERROR(__xludf.DUMMYFUNCTION("IF(A6680="""","""",INDEX(SPLIT(A6680,"" ""),COUNTA(SPLIT(A6680,"" ""))))"),"Cersosimo")</f>
        <v>Cersosimo</v>
      </c>
      <c r="C6680" s="6"/>
      <c r="D6680" s="6" t="s">
        <v>6749</v>
      </c>
      <c r="E6680" s="7" t="s">
        <v>6750</v>
      </c>
    </row>
    <row r="6681">
      <c r="A6681" s="4" t="s">
        <v>6777</v>
      </c>
      <c r="B6681" s="5" t="str">
        <f>IFERROR(__xludf.DUMMYFUNCTION("IF(A6681="""","""",INDEX(SPLIT(A6681,"" ""),COUNTA(SPLIT(A6681,"" ""))))"),"Chiaromonte")</f>
        <v>Chiaromonte</v>
      </c>
      <c r="C6681" s="6"/>
      <c r="D6681" s="6" t="s">
        <v>6749</v>
      </c>
      <c r="E6681" s="7" t="s">
        <v>6750</v>
      </c>
    </row>
    <row r="6682">
      <c r="A6682" s="4" t="s">
        <v>6778</v>
      </c>
      <c r="B6682" s="5" t="str">
        <f>IFERROR(__xludf.DUMMYFUNCTION("IF(A6682="""","""",INDEX(SPLIT(A6682,"" ""),COUNTA(SPLIT(A6682,"" ""))))"),"Perticara")</f>
        <v>Perticara</v>
      </c>
      <c r="C6682" s="6"/>
      <c r="D6682" s="6" t="s">
        <v>6749</v>
      </c>
      <c r="E6682" s="7" t="s">
        <v>6750</v>
      </c>
    </row>
    <row r="6683">
      <c r="A6683" s="4" t="s">
        <v>6779</v>
      </c>
      <c r="B6683" s="5" t="str">
        <f>IFERROR(__xludf.DUMMYFUNCTION("IF(A6683="""","""",INDEX(SPLIT(A6683,"" ""),COUNTA(SPLIT(A6683,"" ""))))"),"Episcopia")</f>
        <v>Episcopia</v>
      </c>
      <c r="C6683" s="6"/>
      <c r="D6683" s="6" t="s">
        <v>6749</v>
      </c>
      <c r="E6683" s="7" t="s">
        <v>6750</v>
      </c>
    </row>
    <row r="6684">
      <c r="A6684" s="4" t="s">
        <v>6780</v>
      </c>
      <c r="B6684" s="5" t="str">
        <f>IFERROR(__xludf.DUMMYFUNCTION("IF(A6684="""","""",INDEX(SPLIT(A6684,"" ""),COUNTA(SPLIT(A6684,"" ""))))"),"Fardella")</f>
        <v>Fardella</v>
      </c>
      <c r="C6684" s="6"/>
      <c r="D6684" s="6" t="s">
        <v>6749</v>
      </c>
      <c r="E6684" s="7" t="s">
        <v>6750</v>
      </c>
    </row>
    <row r="6685">
      <c r="A6685" s="4" t="s">
        <v>6781</v>
      </c>
      <c r="B6685" s="5" t="str">
        <f>IFERROR(__xludf.DUMMYFUNCTION("IF(A6685="""","""",INDEX(SPLIT(A6685,"" ""),COUNTA(SPLIT(A6685,"" ""))))"),"Filiano")</f>
        <v>Filiano</v>
      </c>
      <c r="C6685" s="6"/>
      <c r="D6685" s="6" t="s">
        <v>6749</v>
      </c>
      <c r="E6685" s="7" t="s">
        <v>6750</v>
      </c>
    </row>
    <row r="6686">
      <c r="A6686" s="4" t="s">
        <v>6782</v>
      </c>
      <c r="B6686" s="5" t="str">
        <f>IFERROR(__xludf.DUMMYFUNCTION("IF(A6686="""","""",INDEX(SPLIT(A6686,"" ""),COUNTA(SPLIT(A6686,"" ""))))"),"Forenza")</f>
        <v>Forenza</v>
      </c>
      <c r="C6686" s="6"/>
      <c r="D6686" s="6" t="s">
        <v>6749</v>
      </c>
      <c r="E6686" s="7" t="s">
        <v>6750</v>
      </c>
    </row>
    <row r="6687">
      <c r="A6687" s="4" t="s">
        <v>6783</v>
      </c>
      <c r="B6687" s="5" t="str">
        <f>IFERROR(__xludf.DUMMYFUNCTION("IF(A6687="""","""",INDEX(SPLIT(A6687,"" ""),COUNTA(SPLIT(A6687,"" ""))))"),"Sinni")</f>
        <v>Sinni</v>
      </c>
      <c r="C6687" s="6"/>
      <c r="D6687" s="6" t="s">
        <v>6749</v>
      </c>
      <c r="E6687" s="7" t="s">
        <v>6750</v>
      </c>
    </row>
    <row r="6688">
      <c r="A6688" s="4" t="s">
        <v>6784</v>
      </c>
      <c r="B6688" s="5" t="str">
        <f>IFERROR(__xludf.DUMMYFUNCTION("IF(A6688="""","""",INDEX(SPLIT(A6688,"" ""),COUNTA(SPLIT(A6688,"" ""))))"),"Gallicchio")</f>
        <v>Gallicchio</v>
      </c>
      <c r="C6688" s="6"/>
      <c r="D6688" s="6" t="s">
        <v>6749</v>
      </c>
      <c r="E6688" s="7" t="s">
        <v>6750</v>
      </c>
    </row>
    <row r="6689">
      <c r="A6689" s="4" t="s">
        <v>6785</v>
      </c>
      <c r="B6689" s="5" t="str">
        <f>IFERROR(__xludf.DUMMYFUNCTION("IF(A6689="""","""",INDEX(SPLIT(A6689,"" ""),COUNTA(SPLIT(A6689,"" ""))))"),"Lucania")</f>
        <v>Lucania</v>
      </c>
      <c r="C6689" s="6"/>
      <c r="D6689" s="6" t="s">
        <v>6749</v>
      </c>
      <c r="E6689" s="7" t="s">
        <v>6750</v>
      </c>
    </row>
    <row r="6690">
      <c r="A6690" s="4" t="s">
        <v>6786</v>
      </c>
      <c r="B6690" s="5" t="str">
        <f>IFERROR(__xludf.DUMMYFUNCTION("IF(A6690="""","""",INDEX(SPLIT(A6690,"" ""),COUNTA(SPLIT(A6690,"" ""))))"),"Nova")</f>
        <v>Nova</v>
      </c>
      <c r="C6690" s="6"/>
      <c r="D6690" s="6" t="s">
        <v>6749</v>
      </c>
      <c r="E6690" s="7" t="s">
        <v>6750</v>
      </c>
    </row>
    <row r="6691">
      <c r="A6691" s="4" t="s">
        <v>6787</v>
      </c>
      <c r="B6691" s="5" t="str">
        <f>IFERROR(__xludf.DUMMYFUNCTION("IF(A6691="""","""",INDEX(SPLIT(A6691,"" ""),COUNTA(SPLIT(A6691,"" ""))))"),"Perticara")</f>
        <v>Perticara</v>
      </c>
      <c r="C6691" s="6"/>
      <c r="D6691" s="6" t="s">
        <v>6749</v>
      </c>
      <c r="E6691" s="7" t="s">
        <v>6750</v>
      </c>
    </row>
    <row r="6692">
      <c r="A6692" s="4" t="s">
        <v>6788</v>
      </c>
      <c r="B6692" s="5" t="str">
        <f>IFERROR(__xludf.DUMMYFUNCTION("IF(A6692="""","""",INDEX(SPLIT(A6692,"" ""),COUNTA(SPLIT(A6692,"" ""))))"),"Lagonegro")</f>
        <v>Lagonegro</v>
      </c>
      <c r="C6692" s="6"/>
      <c r="D6692" s="6" t="s">
        <v>6749</v>
      </c>
      <c r="E6692" s="7" t="s">
        <v>6750</v>
      </c>
    </row>
    <row r="6693">
      <c r="A6693" s="4" t="s">
        <v>6789</v>
      </c>
      <c r="B6693" s="5" t="str">
        <f>IFERROR(__xludf.DUMMYFUNCTION("IF(A6693="""","""",INDEX(SPLIT(A6693,"" ""),COUNTA(SPLIT(A6693,"" ""))))"),"Latronico")</f>
        <v>Latronico</v>
      </c>
      <c r="C6693" s="6"/>
      <c r="D6693" s="6" t="s">
        <v>6749</v>
      </c>
      <c r="E6693" s="7" t="s">
        <v>6750</v>
      </c>
    </row>
    <row r="6694">
      <c r="A6694" s="4" t="s">
        <v>6790</v>
      </c>
      <c r="B6694" s="5" t="str">
        <f>IFERROR(__xludf.DUMMYFUNCTION("IF(A6694="""","""",INDEX(SPLIT(A6694,"" ""),COUNTA(SPLIT(A6694,"" ""))))"),"Laurenzana")</f>
        <v>Laurenzana</v>
      </c>
      <c r="C6694" s="6"/>
      <c r="D6694" s="6" t="s">
        <v>6749</v>
      </c>
      <c r="E6694" s="7" t="s">
        <v>6750</v>
      </c>
    </row>
    <row r="6695">
      <c r="A6695" s="4" t="s">
        <v>6791</v>
      </c>
      <c r="B6695" s="5" t="str">
        <f>IFERROR(__xludf.DUMMYFUNCTION("IF(A6695="""","""",INDEX(SPLIT(A6695,"" ""),COUNTA(SPLIT(A6695,"" ""))))"),"Lauria")</f>
        <v>Lauria</v>
      </c>
      <c r="C6695" s="6"/>
      <c r="D6695" s="6" t="s">
        <v>6749</v>
      </c>
      <c r="E6695" s="7" t="s">
        <v>6750</v>
      </c>
    </row>
    <row r="6696">
      <c r="A6696" s="4" t="s">
        <v>6792</v>
      </c>
      <c r="B6696" s="5" t="str">
        <f>IFERROR(__xludf.DUMMYFUNCTION("IF(A6696="""","""",INDEX(SPLIT(A6696,"" ""),COUNTA(SPLIT(A6696,"" ""))))"),"Lavello")</f>
        <v>Lavello</v>
      </c>
      <c r="C6696" s="6"/>
      <c r="D6696" s="6" t="s">
        <v>6749</v>
      </c>
      <c r="E6696" s="7" t="s">
        <v>6750</v>
      </c>
    </row>
    <row r="6697">
      <c r="A6697" s="4" t="s">
        <v>6793</v>
      </c>
      <c r="B6697" s="5" t="str">
        <f>IFERROR(__xludf.DUMMYFUNCTION("IF(A6697="""","""",INDEX(SPLIT(A6697,"" ""),COUNTA(SPLIT(A6697,"" ""))))"),"Maratea")</f>
        <v>Maratea</v>
      </c>
      <c r="C6697" s="6"/>
      <c r="D6697" s="6" t="s">
        <v>6749</v>
      </c>
      <c r="E6697" s="7" t="s">
        <v>6750</v>
      </c>
    </row>
    <row r="6698">
      <c r="A6698" s="4" t="s">
        <v>6794</v>
      </c>
      <c r="B6698" s="5" t="str">
        <f>IFERROR(__xludf.DUMMYFUNCTION("IF(A6698="""","""",INDEX(SPLIT(A6698,"" ""),COUNTA(SPLIT(A6698,"" ""))))"),"Nuovo")</f>
        <v>Nuovo</v>
      </c>
      <c r="C6698" s="6"/>
      <c r="D6698" s="6" t="s">
        <v>6749</v>
      </c>
      <c r="E6698" s="7" t="s">
        <v>6750</v>
      </c>
    </row>
    <row r="6699">
      <c r="A6699" s="4" t="s">
        <v>6795</v>
      </c>
      <c r="B6699" s="5" t="str">
        <f>IFERROR(__xludf.DUMMYFUNCTION("IF(A6699="""","""",INDEX(SPLIT(A6699,"" ""),COUNTA(SPLIT(A6699,"" ""))))"),"Marsicovetere")</f>
        <v>Marsicovetere</v>
      </c>
      <c r="C6699" s="6"/>
      <c r="D6699" s="6" t="s">
        <v>6749</v>
      </c>
      <c r="E6699" s="7" t="s">
        <v>6750</v>
      </c>
    </row>
    <row r="6700">
      <c r="A6700" s="4" t="s">
        <v>6796</v>
      </c>
      <c r="B6700" s="5" t="str">
        <f>IFERROR(__xludf.DUMMYFUNCTION("IF(A6700="""","""",INDEX(SPLIT(A6700,"" ""),COUNTA(SPLIT(A6700,"" ""))))"),"Maschito")</f>
        <v>Maschito</v>
      </c>
      <c r="C6700" s="6"/>
      <c r="D6700" s="6" t="s">
        <v>6749</v>
      </c>
      <c r="E6700" s="7" t="s">
        <v>6750</v>
      </c>
    </row>
    <row r="6701">
      <c r="A6701" s="4" t="s">
        <v>6797</v>
      </c>
      <c r="B6701" s="5" t="str">
        <f>IFERROR(__xludf.DUMMYFUNCTION("IF(A6701="""","""",INDEX(SPLIT(A6701,"" ""),COUNTA(SPLIT(A6701,"" ""))))"),"Melfi")</f>
        <v>Melfi</v>
      </c>
      <c r="C6701" s="6"/>
      <c r="D6701" s="6" t="s">
        <v>6749</v>
      </c>
      <c r="E6701" s="7" t="s">
        <v>6750</v>
      </c>
    </row>
    <row r="6702">
      <c r="A6702" s="4" t="s">
        <v>6798</v>
      </c>
      <c r="B6702" s="5" t="str">
        <f>IFERROR(__xludf.DUMMYFUNCTION("IF(A6702="""","""",INDEX(SPLIT(A6702,"" ""),COUNTA(SPLIT(A6702,"" ""))))"),"Missanello")</f>
        <v>Missanello</v>
      </c>
      <c r="C6702" s="6"/>
      <c r="D6702" s="6" t="s">
        <v>6749</v>
      </c>
      <c r="E6702" s="7" t="s">
        <v>6750</v>
      </c>
    </row>
    <row r="6703">
      <c r="A6703" s="4" t="s">
        <v>6799</v>
      </c>
      <c r="B6703" s="5" t="str">
        <f>IFERROR(__xludf.DUMMYFUNCTION("IF(A6703="""","""",INDEX(SPLIT(A6703,"" ""),COUNTA(SPLIT(A6703,"" ""))))"),"Moliterno")</f>
        <v>Moliterno</v>
      </c>
      <c r="C6703" s="6"/>
      <c r="D6703" s="6" t="s">
        <v>6749</v>
      </c>
      <c r="E6703" s="7" t="s">
        <v>6750</v>
      </c>
    </row>
    <row r="6704">
      <c r="A6704" s="4" t="s">
        <v>6800</v>
      </c>
      <c r="B6704" s="5" t="str">
        <f>IFERROR(__xludf.DUMMYFUNCTION("IF(A6704="""","""",INDEX(SPLIT(A6704,"" ""),COUNTA(SPLIT(A6704,"" ""))))"),"Montemilone")</f>
        <v>Montemilone</v>
      </c>
      <c r="C6704" s="6"/>
      <c r="D6704" s="6" t="s">
        <v>6749</v>
      </c>
      <c r="E6704" s="7" t="s">
        <v>6750</v>
      </c>
    </row>
    <row r="6705">
      <c r="A6705" s="4" t="s">
        <v>6801</v>
      </c>
      <c r="B6705" s="5" t="str">
        <f>IFERROR(__xludf.DUMMYFUNCTION("IF(A6705="""","""",INDEX(SPLIT(A6705,"" ""),COUNTA(SPLIT(A6705,"" ""))))"),"Montemurro")</f>
        <v>Montemurro</v>
      </c>
      <c r="C6705" s="6"/>
      <c r="D6705" s="6" t="s">
        <v>6749</v>
      </c>
      <c r="E6705" s="7" t="s">
        <v>6750</v>
      </c>
    </row>
    <row r="6706">
      <c r="A6706" s="4" t="s">
        <v>6802</v>
      </c>
      <c r="B6706" s="5" t="str">
        <f>IFERROR(__xludf.DUMMYFUNCTION("IF(A6706="""","""",INDEX(SPLIT(A6706,"" ""),COUNTA(SPLIT(A6706,"" ""))))"),"Lucano")</f>
        <v>Lucano</v>
      </c>
      <c r="C6706" s="6"/>
      <c r="D6706" s="6" t="s">
        <v>6749</v>
      </c>
      <c r="E6706" s="7" t="s">
        <v>6750</v>
      </c>
    </row>
    <row r="6707">
      <c r="A6707" s="4" t="s">
        <v>6803</v>
      </c>
      <c r="B6707" s="5" t="str">
        <f>IFERROR(__xludf.DUMMYFUNCTION("IF(A6707="""","""",INDEX(SPLIT(A6707,"" ""),COUNTA(SPLIT(A6707,"" ""))))"),"Nemoli")</f>
        <v>Nemoli</v>
      </c>
      <c r="C6707" s="6"/>
      <c r="D6707" s="6" t="s">
        <v>6749</v>
      </c>
      <c r="E6707" s="7" t="s">
        <v>6750</v>
      </c>
    </row>
    <row r="6708">
      <c r="A6708" s="4" t="s">
        <v>6804</v>
      </c>
      <c r="B6708" s="5" t="str">
        <f>IFERROR(__xludf.DUMMYFUNCTION("IF(A6708="""","""",INDEX(SPLIT(A6708,"" ""),COUNTA(SPLIT(A6708,"" ""))))"),"Noepoli")</f>
        <v>Noepoli</v>
      </c>
      <c r="C6708" s="6"/>
      <c r="D6708" s="6" t="s">
        <v>6749</v>
      </c>
      <c r="E6708" s="7" t="s">
        <v>6750</v>
      </c>
    </row>
    <row r="6709">
      <c r="A6709" s="4" t="s">
        <v>6805</v>
      </c>
      <c r="B6709" s="5" t="str">
        <f>IFERROR(__xludf.DUMMYFUNCTION("IF(A6709="""","""",INDEX(SPLIT(A6709,"" ""),COUNTA(SPLIT(A6709,"" ""))))"),"Lucano")</f>
        <v>Lucano</v>
      </c>
      <c r="C6709" s="6"/>
      <c r="D6709" s="6" t="s">
        <v>6749</v>
      </c>
      <c r="E6709" s="7" t="s">
        <v>6750</v>
      </c>
    </row>
    <row r="6710">
      <c r="A6710" s="4" t="s">
        <v>6806</v>
      </c>
      <c r="B6710" s="5" t="str">
        <f>IFERROR(__xludf.DUMMYFUNCTION("IF(A6710="""","""",INDEX(SPLIT(A6710,"" ""),COUNTA(SPLIT(A6710,"" ""))))"),"Gervasio")</f>
        <v>Gervasio</v>
      </c>
      <c r="C6710" s="6"/>
      <c r="D6710" s="6" t="s">
        <v>6749</v>
      </c>
      <c r="E6710" s="7" t="s">
        <v>6750</v>
      </c>
    </row>
    <row r="6711">
      <c r="A6711" s="4" t="s">
        <v>6807</v>
      </c>
      <c r="B6711" s="5" t="str">
        <f>IFERROR(__xludf.DUMMYFUNCTION("IF(A6711="""","""",INDEX(SPLIT(A6711,"" ""),COUNTA(SPLIT(A6711,"" ""))))"),"Pescopagano")</f>
        <v>Pescopagano</v>
      </c>
      <c r="C6711" s="6"/>
      <c r="D6711" s="6" t="s">
        <v>6749</v>
      </c>
      <c r="E6711" s="7" t="s">
        <v>6750</v>
      </c>
    </row>
    <row r="6712">
      <c r="A6712" s="4" t="s">
        <v>6808</v>
      </c>
      <c r="B6712" s="5" t="str">
        <f>IFERROR(__xludf.DUMMYFUNCTION("IF(A6712="""","""",INDEX(SPLIT(A6712,"" ""),COUNTA(SPLIT(A6712,"" ""))))"),"Picerno")</f>
        <v>Picerno</v>
      </c>
      <c r="C6712" s="6"/>
      <c r="D6712" s="6" t="s">
        <v>6749</v>
      </c>
      <c r="E6712" s="7" t="s">
        <v>6750</v>
      </c>
    </row>
    <row r="6713">
      <c r="A6713" s="4" t="s">
        <v>6809</v>
      </c>
      <c r="B6713" s="5" t="str">
        <f>IFERROR(__xludf.DUMMYFUNCTION("IF(A6713="""","""",INDEX(SPLIT(A6713,"" ""),COUNTA(SPLIT(A6713,"" ""))))"),"Pietragalla")</f>
        <v>Pietragalla</v>
      </c>
      <c r="C6713" s="6"/>
      <c r="D6713" s="6" t="s">
        <v>6749</v>
      </c>
      <c r="E6713" s="7" t="s">
        <v>6750</v>
      </c>
    </row>
    <row r="6714">
      <c r="A6714" s="4" t="s">
        <v>6810</v>
      </c>
      <c r="B6714" s="5" t="str">
        <f>IFERROR(__xludf.DUMMYFUNCTION("IF(A6714="""","""",INDEX(SPLIT(A6714,"" ""),COUNTA(SPLIT(A6714,"" ""))))"),"Pietrapertosa")</f>
        <v>Pietrapertosa</v>
      </c>
      <c r="C6714" s="6"/>
      <c r="D6714" s="6" t="s">
        <v>6749</v>
      </c>
      <c r="E6714" s="7" t="s">
        <v>6750</v>
      </c>
    </row>
    <row r="6715">
      <c r="A6715" s="4" t="s">
        <v>6811</v>
      </c>
      <c r="B6715" s="5" t="str">
        <f>IFERROR(__xludf.DUMMYFUNCTION("IF(A6715="""","""",INDEX(SPLIT(A6715,"" ""),COUNTA(SPLIT(A6715,"" ""))))"),"Pignola")</f>
        <v>Pignola</v>
      </c>
      <c r="C6715" s="6"/>
      <c r="D6715" s="6" t="s">
        <v>6749</v>
      </c>
      <c r="E6715" s="7" t="s">
        <v>6750</v>
      </c>
    </row>
    <row r="6716">
      <c r="A6716" s="4" t="s">
        <v>6749</v>
      </c>
      <c r="B6716" s="5" t="str">
        <f>IFERROR(__xludf.DUMMYFUNCTION("IF(A6716="""","""",INDEX(SPLIT(A6716,"" ""),COUNTA(SPLIT(A6716,"" ""))))"),"Potenza")</f>
        <v>Potenza</v>
      </c>
      <c r="C6716" s="6"/>
      <c r="D6716" s="6" t="s">
        <v>6749</v>
      </c>
      <c r="E6716" s="7" t="s">
        <v>6750</v>
      </c>
    </row>
    <row r="6717">
      <c r="A6717" s="4" t="s">
        <v>6812</v>
      </c>
      <c r="B6717" s="5" t="str">
        <f>IFERROR(__xludf.DUMMYFUNCTION("IF(A6717="""","""",INDEX(SPLIT(A6717,"" ""),COUNTA(SPLIT(A6717,"" ""))))"),"Rapolla")</f>
        <v>Rapolla</v>
      </c>
      <c r="C6717" s="6"/>
      <c r="D6717" s="6" t="s">
        <v>6749</v>
      </c>
      <c r="E6717" s="7" t="s">
        <v>6750</v>
      </c>
    </row>
    <row r="6718">
      <c r="A6718" s="4" t="s">
        <v>6813</v>
      </c>
      <c r="B6718" s="5" t="str">
        <f>IFERROR(__xludf.DUMMYFUNCTION("IF(A6718="""","""",INDEX(SPLIT(A6718,"" ""),COUNTA(SPLIT(A6718,"" ""))))"),"Rapone")</f>
        <v>Rapone</v>
      </c>
      <c r="C6718" s="6"/>
      <c r="D6718" s="6" t="s">
        <v>6749</v>
      </c>
      <c r="E6718" s="7" t="s">
        <v>6750</v>
      </c>
    </row>
    <row r="6719">
      <c r="A6719" s="4" t="s">
        <v>6814</v>
      </c>
      <c r="B6719" s="5" t="str">
        <f>IFERROR(__xludf.DUMMYFUNCTION("IF(A6719="""","""",INDEX(SPLIT(A6719,"" ""),COUNTA(SPLIT(A6719,"" ""))))"),"Vulture")</f>
        <v>Vulture</v>
      </c>
      <c r="C6719" s="6"/>
      <c r="D6719" s="6" t="s">
        <v>6749</v>
      </c>
      <c r="E6719" s="7" t="s">
        <v>6750</v>
      </c>
    </row>
    <row r="6720">
      <c r="A6720" s="4" t="s">
        <v>6815</v>
      </c>
      <c r="B6720" s="5" t="str">
        <f>IFERROR(__xludf.DUMMYFUNCTION("IF(A6720="""","""",INDEX(SPLIT(A6720,"" ""),COUNTA(SPLIT(A6720,"" ""))))"),"Ripacandida")</f>
        <v>Ripacandida</v>
      </c>
      <c r="C6720" s="6"/>
      <c r="D6720" s="6" t="s">
        <v>6749</v>
      </c>
      <c r="E6720" s="7" t="s">
        <v>6750</v>
      </c>
    </row>
    <row r="6721">
      <c r="A6721" s="4" t="s">
        <v>6816</v>
      </c>
      <c r="B6721" s="5" t="str">
        <f>IFERROR(__xludf.DUMMYFUNCTION("IF(A6721="""","""",INDEX(SPLIT(A6721,"" ""),COUNTA(SPLIT(A6721,"" ""))))"),"Rivello")</f>
        <v>Rivello</v>
      </c>
      <c r="C6721" s="6"/>
      <c r="D6721" s="6" t="s">
        <v>6749</v>
      </c>
      <c r="E6721" s="7" t="s">
        <v>6750</v>
      </c>
    </row>
    <row r="6722">
      <c r="A6722" s="4" t="s">
        <v>6817</v>
      </c>
      <c r="B6722" s="5" t="str">
        <f>IFERROR(__xludf.DUMMYFUNCTION("IF(A6722="""","""",INDEX(SPLIT(A6722,"" ""),COUNTA(SPLIT(A6722,"" ""))))"),"Roccanova")</f>
        <v>Roccanova</v>
      </c>
      <c r="C6722" s="6"/>
      <c r="D6722" s="6" t="s">
        <v>6749</v>
      </c>
      <c r="E6722" s="7" t="s">
        <v>6750</v>
      </c>
    </row>
    <row r="6723">
      <c r="A6723" s="4" t="s">
        <v>6818</v>
      </c>
      <c r="B6723" s="5" t="str">
        <f>IFERROR(__xludf.DUMMYFUNCTION("IF(A6723="""","""",INDEX(SPLIT(A6723,"" ""),COUNTA(SPLIT(A6723,"" ""))))"),"Rotonda")</f>
        <v>Rotonda</v>
      </c>
      <c r="C6723" s="6"/>
      <c r="D6723" s="6" t="s">
        <v>6749</v>
      </c>
      <c r="E6723" s="7" t="s">
        <v>6750</v>
      </c>
    </row>
    <row r="6724">
      <c r="A6724" s="4" t="s">
        <v>6819</v>
      </c>
      <c r="B6724" s="5" t="str">
        <f>IFERROR(__xludf.DUMMYFUNCTION("IF(A6724="""","""",INDEX(SPLIT(A6724,"" ""),COUNTA(SPLIT(A6724,"" ""))))"),"Ruoti")</f>
        <v>Ruoti</v>
      </c>
      <c r="C6724" s="6"/>
      <c r="D6724" s="6" t="s">
        <v>6749</v>
      </c>
      <c r="E6724" s="7" t="s">
        <v>6750</v>
      </c>
    </row>
    <row r="6725">
      <c r="A6725" s="4" t="s">
        <v>6820</v>
      </c>
      <c r="B6725" s="5" t="str">
        <f>IFERROR(__xludf.DUMMYFUNCTION("IF(A6725="""","""",INDEX(SPLIT(A6725,"" ""),COUNTA(SPLIT(A6725,"" ""))))"),"Monte")</f>
        <v>Monte</v>
      </c>
      <c r="C6725" s="6"/>
      <c r="D6725" s="6" t="s">
        <v>6749</v>
      </c>
      <c r="E6725" s="7" t="s">
        <v>6750</v>
      </c>
    </row>
    <row r="6726">
      <c r="A6726" s="4" t="s">
        <v>6821</v>
      </c>
      <c r="B6726" s="5" t="str">
        <f>IFERROR(__xludf.DUMMYFUNCTION("IF(A6726="""","""",INDEX(SPLIT(A6726,"" ""),COUNTA(SPLIT(A6726,"" ""))))"),"Nuovo")</f>
        <v>Nuovo</v>
      </c>
      <c r="C6726" s="6"/>
      <c r="D6726" s="6" t="s">
        <v>6749</v>
      </c>
      <c r="E6726" s="7" t="s">
        <v>6750</v>
      </c>
    </row>
    <row r="6727">
      <c r="A6727" s="4" t="s">
        <v>6822</v>
      </c>
      <c r="B6727" s="5" t="str">
        <f>IFERROR(__xludf.DUMMYFUNCTION("IF(A6727="""","""",INDEX(SPLIT(A6727,"" ""),COUNTA(SPLIT(A6727,"" ""))))"),"Raparo")</f>
        <v>Raparo</v>
      </c>
      <c r="C6727" s="6"/>
      <c r="D6727" s="6" t="s">
        <v>6749</v>
      </c>
      <c r="E6727" s="7" t="s">
        <v>6750</v>
      </c>
    </row>
    <row r="6728">
      <c r="A6728" s="4" t="s">
        <v>6823</v>
      </c>
      <c r="B6728" s="5" t="str">
        <f>IFERROR(__xludf.DUMMYFUNCTION("IF(A6728="""","""",INDEX(SPLIT(A6728,"" ""),COUNTA(SPLIT(A6728,"" ""))))"),"Albanese")</f>
        <v>Albanese</v>
      </c>
      <c r="C6728" s="6"/>
      <c r="D6728" s="6" t="s">
        <v>6749</v>
      </c>
      <c r="E6728" s="7" t="s">
        <v>6750</v>
      </c>
    </row>
    <row r="6729">
      <c r="A6729" s="4" t="s">
        <v>6824</v>
      </c>
      <c r="B6729" s="5" t="str">
        <f>IFERROR(__xludf.DUMMYFUNCTION("IF(A6729="""","""",INDEX(SPLIT(A6729,"" ""),COUNTA(SPLIT(A6729,"" ""))))"),"Fele")</f>
        <v>Fele</v>
      </c>
      <c r="C6729" s="6"/>
      <c r="D6729" s="6" t="s">
        <v>6749</v>
      </c>
      <c r="E6729" s="7" t="s">
        <v>6750</v>
      </c>
    </row>
    <row r="6730">
      <c r="A6730" s="4" t="s">
        <v>6825</v>
      </c>
      <c r="B6730" s="5" t="str">
        <f>IFERROR(__xludf.DUMMYFUNCTION("IF(A6730="""","""",INDEX(SPLIT(A6730,"" ""),COUNTA(SPLIT(A6730,"" ""))))"),"d'Agri")</f>
        <v>d'Agri</v>
      </c>
      <c r="C6730" s="6"/>
      <c r="D6730" s="6" t="s">
        <v>6749</v>
      </c>
      <c r="E6730" s="7" t="s">
        <v>6750</v>
      </c>
    </row>
    <row r="6731">
      <c r="A6731" s="4" t="s">
        <v>6826</v>
      </c>
      <c r="B6731" s="5" t="str">
        <f>IFERROR(__xludf.DUMMYFUNCTION("IF(A6731="""","""",INDEX(SPLIT(A6731,"" ""),COUNTA(SPLIT(A6731,"" ""))))"),"Lucano")</f>
        <v>Lucano</v>
      </c>
      <c r="C6731" s="6"/>
      <c r="D6731" s="6" t="s">
        <v>6749</v>
      </c>
      <c r="E6731" s="7" t="s">
        <v>6750</v>
      </c>
    </row>
    <row r="6732">
      <c r="A6732" s="4" t="s">
        <v>6827</v>
      </c>
      <c r="B6732" s="5" t="str">
        <f>IFERROR(__xludf.DUMMYFUNCTION("IF(A6732="""","""",INDEX(SPLIT(A6732,"" ""),COUNTA(SPLIT(A6732,"" ""))))"),"Fratte")</f>
        <v>Fratte</v>
      </c>
      <c r="C6732" s="6"/>
      <c r="D6732" s="6" t="s">
        <v>6749</v>
      </c>
      <c r="E6732" s="7" t="s">
        <v>6750</v>
      </c>
    </row>
    <row r="6733">
      <c r="A6733" s="4" t="s">
        <v>6828</v>
      </c>
      <c r="B6733" s="5" t="str">
        <f>IFERROR(__xludf.DUMMYFUNCTION("IF(A6733="""","""",INDEX(SPLIT(A6733,"" ""),COUNTA(SPLIT(A6733,"" ""))))"),"Sant'Arcangelo")</f>
        <v>Sant'Arcangelo</v>
      </c>
      <c r="C6733" s="6"/>
      <c r="D6733" s="6" t="s">
        <v>6749</v>
      </c>
      <c r="E6733" s="7" t="s">
        <v>6750</v>
      </c>
    </row>
    <row r="6734">
      <c r="A6734" s="4" t="s">
        <v>6829</v>
      </c>
      <c r="B6734" s="5" t="str">
        <f>IFERROR(__xludf.DUMMYFUNCTION("IF(A6734="""","""",INDEX(SPLIT(A6734,"" ""),COUNTA(SPLIT(A6734,"" ""))))"),"Sarconi")</f>
        <v>Sarconi</v>
      </c>
      <c r="C6734" s="6"/>
      <c r="D6734" s="6" t="s">
        <v>6749</v>
      </c>
      <c r="E6734" s="7" t="s">
        <v>6750</v>
      </c>
    </row>
    <row r="6735">
      <c r="A6735" s="4" t="s">
        <v>6830</v>
      </c>
      <c r="B6735" s="5" t="str">
        <f>IFERROR(__xludf.DUMMYFUNCTION("IF(A6735="""","""",INDEX(SPLIT(A6735,"" ""),COUNTA(SPLIT(A6735,"" ""))))"),"Castalda")</f>
        <v>Castalda</v>
      </c>
      <c r="C6735" s="6"/>
      <c r="D6735" s="6" t="s">
        <v>6749</v>
      </c>
      <c r="E6735" s="7" t="s">
        <v>6750</v>
      </c>
    </row>
    <row r="6736">
      <c r="A6736" s="4" t="s">
        <v>6831</v>
      </c>
      <c r="B6736" s="5" t="str">
        <f>IFERROR(__xludf.DUMMYFUNCTION("IF(A6736="""","""",INDEX(SPLIT(A6736,"" ""),COUNTA(SPLIT(A6736,"" ""))))"),"Lucania")</f>
        <v>Lucania</v>
      </c>
      <c r="C6736" s="6"/>
      <c r="D6736" s="6" t="s">
        <v>6749</v>
      </c>
      <c r="E6736" s="7" t="s">
        <v>6750</v>
      </c>
    </row>
    <row r="6737">
      <c r="A6737" s="4" t="s">
        <v>6832</v>
      </c>
      <c r="B6737" s="5" t="str">
        <f>IFERROR(__xludf.DUMMYFUNCTION("IF(A6737="""","""",INDEX(SPLIT(A6737,"" ""),COUNTA(SPLIT(A6737,"" ""))))"),"Lucania")</f>
        <v>Lucania</v>
      </c>
      <c r="C6737" s="6"/>
      <c r="D6737" s="6" t="s">
        <v>6749</v>
      </c>
      <c r="E6737" s="7" t="s">
        <v>6750</v>
      </c>
    </row>
    <row r="6738">
      <c r="A6738" s="4" t="s">
        <v>6833</v>
      </c>
      <c r="B6738" s="5" t="str">
        <f>IFERROR(__xludf.DUMMYFUNCTION("IF(A6738="""","""",INDEX(SPLIT(A6738,"" ""),COUNTA(SPLIT(A6738,"" ""))))"),"Senise")</f>
        <v>Senise</v>
      </c>
      <c r="C6738" s="6"/>
      <c r="D6738" s="6" t="s">
        <v>6749</v>
      </c>
      <c r="E6738" s="7" t="s">
        <v>6750</v>
      </c>
    </row>
    <row r="6739">
      <c r="A6739" s="4" t="s">
        <v>6834</v>
      </c>
      <c r="B6739" s="5" t="str">
        <f>IFERROR(__xludf.DUMMYFUNCTION("IF(A6739="""","""",INDEX(SPLIT(A6739,"" ""),COUNTA(SPLIT(A6739,"" ""))))"),"Spinoso")</f>
        <v>Spinoso</v>
      </c>
      <c r="C6739" s="6"/>
      <c r="D6739" s="6" t="s">
        <v>6749</v>
      </c>
      <c r="E6739" s="7" t="s">
        <v>6750</v>
      </c>
    </row>
    <row r="6740">
      <c r="A6740" s="4" t="s">
        <v>6835</v>
      </c>
      <c r="B6740" s="5" t="str">
        <f>IFERROR(__xludf.DUMMYFUNCTION("IF(A6740="""","""",INDEX(SPLIT(A6740,"" ""),COUNTA(SPLIT(A6740,"" ""))))"),"Teana")</f>
        <v>Teana</v>
      </c>
      <c r="C6740" s="6"/>
      <c r="D6740" s="6" t="s">
        <v>6749</v>
      </c>
      <c r="E6740" s="7" t="s">
        <v>6750</v>
      </c>
    </row>
    <row r="6741">
      <c r="A6741" s="4" t="s">
        <v>6836</v>
      </c>
      <c r="B6741" s="5" t="str">
        <f>IFERROR(__xludf.DUMMYFUNCTION("IF(A6741="""","""",INDEX(SPLIT(A6741,"" ""),COUNTA(SPLIT(A6741,"" ""))))"),"Pollino")</f>
        <v>Pollino</v>
      </c>
      <c r="C6741" s="6"/>
      <c r="D6741" s="6" t="s">
        <v>6749</v>
      </c>
      <c r="E6741" s="7" t="s">
        <v>6750</v>
      </c>
    </row>
    <row r="6742">
      <c r="A6742" s="4" t="s">
        <v>6837</v>
      </c>
      <c r="B6742" s="5" t="str">
        <f>IFERROR(__xludf.DUMMYFUNCTION("IF(A6742="""","""",INDEX(SPLIT(A6742,"" ""),COUNTA(SPLIT(A6742,"" ""))))"),"Tito")</f>
        <v>Tito</v>
      </c>
      <c r="C6742" s="6"/>
      <c r="D6742" s="6" t="s">
        <v>6749</v>
      </c>
      <c r="E6742" s="7" t="s">
        <v>6750</v>
      </c>
    </row>
    <row r="6743">
      <c r="A6743" s="4" t="s">
        <v>6838</v>
      </c>
      <c r="B6743" s="5" t="str">
        <f>IFERROR(__xludf.DUMMYFUNCTION("IF(A6743="""","""",INDEX(SPLIT(A6743,"" ""),COUNTA(SPLIT(A6743,"" ""))))"),"Tolve")</f>
        <v>Tolve</v>
      </c>
      <c r="C6743" s="6"/>
      <c r="D6743" s="6" t="s">
        <v>6749</v>
      </c>
      <c r="E6743" s="7" t="s">
        <v>6750</v>
      </c>
    </row>
    <row r="6744">
      <c r="A6744" s="4" t="s">
        <v>6839</v>
      </c>
      <c r="B6744" s="5" t="str">
        <f>IFERROR(__xludf.DUMMYFUNCTION("IF(A6744="""","""",INDEX(SPLIT(A6744,"" ""),COUNTA(SPLIT(A6744,"" ""))))"),"Tramutola")</f>
        <v>Tramutola</v>
      </c>
      <c r="C6744" s="6"/>
      <c r="D6744" s="6" t="s">
        <v>6749</v>
      </c>
      <c r="E6744" s="7" t="s">
        <v>6750</v>
      </c>
    </row>
    <row r="6745">
      <c r="A6745" s="4" t="s">
        <v>6840</v>
      </c>
      <c r="B6745" s="5" t="str">
        <f>IFERROR(__xludf.DUMMYFUNCTION("IF(A6745="""","""",INDEX(SPLIT(A6745,"" ""),COUNTA(SPLIT(A6745,"" ""))))"),"Trecchina")</f>
        <v>Trecchina</v>
      </c>
      <c r="C6745" s="6"/>
      <c r="D6745" s="6" t="s">
        <v>6749</v>
      </c>
      <c r="E6745" s="7" t="s">
        <v>6750</v>
      </c>
    </row>
    <row r="6746">
      <c r="A6746" s="4" t="s">
        <v>6841</v>
      </c>
      <c r="B6746" s="5" t="str">
        <f>IFERROR(__xludf.DUMMYFUNCTION("IF(A6746="""","""",INDEX(SPLIT(A6746,"" ""),COUNTA(SPLIT(A6746,"" ""))))"),"Trivigno")</f>
        <v>Trivigno</v>
      </c>
      <c r="C6746" s="6"/>
      <c r="D6746" s="6" t="s">
        <v>6749</v>
      </c>
      <c r="E6746" s="7" t="s">
        <v>6750</v>
      </c>
    </row>
    <row r="6747">
      <c r="A6747" s="4" t="s">
        <v>6842</v>
      </c>
      <c r="B6747" s="5" t="str">
        <f>IFERROR(__xludf.DUMMYFUNCTION("IF(A6747="""","""",INDEX(SPLIT(A6747,"" ""),COUNTA(SPLIT(A6747,"" ""))))"),"Basilicata")</f>
        <v>Basilicata</v>
      </c>
      <c r="C6747" s="6"/>
      <c r="D6747" s="6" t="s">
        <v>6749</v>
      </c>
      <c r="E6747" s="7" t="s">
        <v>6750</v>
      </c>
    </row>
    <row r="6748">
      <c r="A6748" s="4" t="s">
        <v>6843</v>
      </c>
      <c r="B6748" s="5" t="str">
        <f>IFERROR(__xludf.DUMMYFUNCTION("IF(A6748="""","""",INDEX(SPLIT(A6748,"" ""),COUNTA(SPLIT(A6748,"" ""))))"),"Venosa")</f>
        <v>Venosa</v>
      </c>
      <c r="C6748" s="6"/>
      <c r="D6748" s="6" t="s">
        <v>6749</v>
      </c>
      <c r="E6748" s="7" t="s">
        <v>6750</v>
      </c>
    </row>
    <row r="6749">
      <c r="A6749" s="4" t="s">
        <v>6844</v>
      </c>
      <c r="B6749" s="5" t="str">
        <f>IFERROR(__xludf.DUMMYFUNCTION("IF(A6749="""","""",INDEX(SPLIT(A6749,"" ""),COUNTA(SPLIT(A6749,"" ""))))"),"Potenza")</f>
        <v>Potenza</v>
      </c>
      <c r="C6749" s="6"/>
      <c r="D6749" s="6" t="s">
        <v>6749</v>
      </c>
      <c r="E6749" s="7" t="s">
        <v>6750</v>
      </c>
    </row>
    <row r="6750">
      <c r="A6750" s="4" t="s">
        <v>6845</v>
      </c>
      <c r="B6750" s="5" t="str">
        <f>IFERROR(__xludf.DUMMYFUNCTION("IF(A6750="""","""",INDEX(SPLIT(A6750,"" ""),COUNTA(SPLIT(A6750,"" ""))))"),"Viggianello")</f>
        <v>Viggianello</v>
      </c>
      <c r="C6750" s="6"/>
      <c r="D6750" s="6" t="s">
        <v>6749</v>
      </c>
      <c r="E6750" s="7" t="s">
        <v>6750</v>
      </c>
    </row>
    <row r="6751">
      <c r="A6751" s="4" t="s">
        <v>6846</v>
      </c>
      <c r="B6751" s="5" t="str">
        <f>IFERROR(__xludf.DUMMYFUNCTION("IF(A6751="""","""",INDEX(SPLIT(A6751,"" ""),COUNTA(SPLIT(A6751,"" ""))))"),"Viggiano")</f>
        <v>Viggiano</v>
      </c>
      <c r="C6751" s="6"/>
      <c r="D6751" s="6" t="s">
        <v>6749</v>
      </c>
      <c r="E6751" s="7" t="s">
        <v>6750</v>
      </c>
    </row>
    <row r="6752">
      <c r="A6752" s="4" t="s">
        <v>6847</v>
      </c>
      <c r="B6752" s="5" t="str">
        <f>IFERROR(__xludf.DUMMYFUNCTION("IF(A6752="""","""",INDEX(SPLIT(A6752,"" ""),COUNTA(SPLIT(A6752,"" ""))))"),"Ginestra")</f>
        <v>Ginestra</v>
      </c>
      <c r="C6752" s="6"/>
      <c r="D6752" s="6" t="s">
        <v>6749</v>
      </c>
      <c r="E6752" s="7" t="s">
        <v>6750</v>
      </c>
    </row>
    <row r="6753">
      <c r="A6753" s="4" t="s">
        <v>6848</v>
      </c>
      <c r="B6753" s="5" t="str">
        <f>IFERROR(__xludf.DUMMYFUNCTION("IF(A6753="""","""",INDEX(SPLIT(A6753,"" ""),COUNTA(SPLIT(A6753,"" ""))))"),"Paterno")</f>
        <v>Paterno</v>
      </c>
      <c r="C6753" s="6"/>
      <c r="D6753" s="6" t="s">
        <v>6749</v>
      </c>
      <c r="E6753" s="7" t="s">
        <v>6750</v>
      </c>
    </row>
    <row r="6754">
      <c r="A6754" s="4" t="s">
        <v>6849</v>
      </c>
      <c r="B6754" s="5" t="str">
        <f>IFERROR(__xludf.DUMMYFUNCTION("IF(A6754="""","""",INDEX(SPLIT(A6754,"" ""),COUNTA(SPLIT(A6754,"" ""))))"),"Accettura")</f>
        <v>Accettura</v>
      </c>
      <c r="C6754" s="6"/>
      <c r="D6754" s="6" t="s">
        <v>6850</v>
      </c>
      <c r="E6754" s="7" t="s">
        <v>6851</v>
      </c>
    </row>
    <row r="6755">
      <c r="A6755" s="4" t="s">
        <v>6852</v>
      </c>
      <c r="B6755" s="5" t="str">
        <f>IFERROR(__xludf.DUMMYFUNCTION("IF(A6755="""","""",INDEX(SPLIT(A6755,"" ""),COUNTA(SPLIT(A6755,"" ""))))"),"Aliano")</f>
        <v>Aliano</v>
      </c>
      <c r="C6755" s="6"/>
      <c r="D6755" s="6" t="s">
        <v>6850</v>
      </c>
      <c r="E6755" s="7" t="s">
        <v>6851</v>
      </c>
    </row>
    <row r="6756">
      <c r="A6756" s="4" t="s">
        <v>6853</v>
      </c>
      <c r="B6756" s="5" t="str">
        <f>IFERROR(__xludf.DUMMYFUNCTION("IF(A6756="""","""",INDEX(SPLIT(A6756,"" ""),COUNTA(SPLIT(A6756,"" ""))))"),"Bernalda")</f>
        <v>Bernalda</v>
      </c>
      <c r="C6756" s="6"/>
      <c r="D6756" s="6" t="s">
        <v>6850</v>
      </c>
      <c r="E6756" s="7" t="s">
        <v>6851</v>
      </c>
    </row>
    <row r="6757">
      <c r="A6757" s="4" t="s">
        <v>6854</v>
      </c>
      <c r="B6757" s="5" t="str">
        <f>IFERROR(__xludf.DUMMYFUNCTION("IF(A6757="""","""",INDEX(SPLIT(A6757,"" ""),COUNTA(SPLIT(A6757,"" ""))))"),"Calciano")</f>
        <v>Calciano</v>
      </c>
      <c r="C6757" s="6"/>
      <c r="D6757" s="6" t="s">
        <v>6850</v>
      </c>
      <c r="E6757" s="7" t="s">
        <v>6851</v>
      </c>
    </row>
    <row r="6758">
      <c r="A6758" s="4" t="s">
        <v>6855</v>
      </c>
      <c r="B6758" s="5" t="str">
        <f>IFERROR(__xludf.DUMMYFUNCTION("IF(A6758="""","""",INDEX(SPLIT(A6758,"" ""),COUNTA(SPLIT(A6758,"" ""))))"),"Cirigliano")</f>
        <v>Cirigliano</v>
      </c>
      <c r="C6758" s="6"/>
      <c r="D6758" s="6" t="s">
        <v>6850</v>
      </c>
      <c r="E6758" s="7" t="s">
        <v>6851</v>
      </c>
    </row>
    <row r="6759">
      <c r="A6759" s="4" t="s">
        <v>6856</v>
      </c>
      <c r="B6759" s="5" t="str">
        <f>IFERROR(__xludf.DUMMYFUNCTION("IF(A6759="""","""",INDEX(SPLIT(A6759,"" ""),COUNTA(SPLIT(A6759,"" ""))))"),"Colobraro")</f>
        <v>Colobraro</v>
      </c>
      <c r="C6759" s="6"/>
      <c r="D6759" s="6" t="s">
        <v>6850</v>
      </c>
      <c r="E6759" s="7" t="s">
        <v>6851</v>
      </c>
    </row>
    <row r="6760">
      <c r="A6760" s="4" t="s">
        <v>6857</v>
      </c>
      <c r="B6760" s="5" t="str">
        <f>IFERROR(__xludf.DUMMYFUNCTION("IF(A6760="""","""",INDEX(SPLIT(A6760,"" ""),COUNTA(SPLIT(A6760,"" ""))))"),"Craco")</f>
        <v>Craco</v>
      </c>
      <c r="C6760" s="6"/>
      <c r="D6760" s="6" t="s">
        <v>6850</v>
      </c>
      <c r="E6760" s="7" t="s">
        <v>6851</v>
      </c>
    </row>
    <row r="6761">
      <c r="A6761" s="4" t="s">
        <v>6858</v>
      </c>
      <c r="B6761" s="5" t="str">
        <f>IFERROR(__xludf.DUMMYFUNCTION("IF(A6761="""","""",INDEX(SPLIT(A6761,"" ""),COUNTA(SPLIT(A6761,"" ""))))"),"Ferrandina")</f>
        <v>Ferrandina</v>
      </c>
      <c r="C6761" s="6"/>
      <c r="D6761" s="6" t="s">
        <v>6850</v>
      </c>
      <c r="E6761" s="7" t="s">
        <v>6851</v>
      </c>
    </row>
    <row r="6762">
      <c r="A6762" s="4" t="s">
        <v>6859</v>
      </c>
      <c r="B6762" s="5" t="str">
        <f>IFERROR(__xludf.DUMMYFUNCTION("IF(A6762="""","""",INDEX(SPLIT(A6762,"" ""),COUNTA(SPLIT(A6762,"" ""))))"),"Garaguso")</f>
        <v>Garaguso</v>
      </c>
      <c r="C6762" s="6"/>
      <c r="D6762" s="6" t="s">
        <v>6850</v>
      </c>
      <c r="E6762" s="7" t="s">
        <v>6851</v>
      </c>
    </row>
    <row r="6763">
      <c r="A6763" s="4" t="s">
        <v>6860</v>
      </c>
      <c r="B6763" s="5" t="str">
        <f>IFERROR(__xludf.DUMMYFUNCTION("IF(A6763="""","""",INDEX(SPLIT(A6763,"" ""),COUNTA(SPLIT(A6763,"" ""))))"),"Gorgoglione")</f>
        <v>Gorgoglione</v>
      </c>
      <c r="C6763" s="6"/>
      <c r="D6763" s="6" t="s">
        <v>6850</v>
      </c>
      <c r="E6763" s="7" t="s">
        <v>6851</v>
      </c>
    </row>
    <row r="6764">
      <c r="A6764" s="4" t="s">
        <v>6861</v>
      </c>
      <c r="B6764" s="5" t="str">
        <f>IFERROR(__xludf.DUMMYFUNCTION("IF(A6764="""","""",INDEX(SPLIT(A6764,"" ""),COUNTA(SPLIT(A6764,"" ""))))"),"Grassano")</f>
        <v>Grassano</v>
      </c>
      <c r="C6764" s="6"/>
      <c r="D6764" s="6" t="s">
        <v>6850</v>
      </c>
      <c r="E6764" s="7" t="s">
        <v>6851</v>
      </c>
    </row>
    <row r="6765">
      <c r="A6765" s="4" t="s">
        <v>6862</v>
      </c>
      <c r="B6765" s="5" t="str">
        <f>IFERROR(__xludf.DUMMYFUNCTION("IF(A6765="""","""",INDEX(SPLIT(A6765,"" ""),COUNTA(SPLIT(A6765,"" ""))))"),"Grottole")</f>
        <v>Grottole</v>
      </c>
      <c r="C6765" s="6"/>
      <c r="D6765" s="6" t="s">
        <v>6850</v>
      </c>
      <c r="E6765" s="7" t="s">
        <v>6851</v>
      </c>
    </row>
    <row r="6766">
      <c r="A6766" s="4" t="s">
        <v>6863</v>
      </c>
      <c r="B6766" s="5" t="str">
        <f>IFERROR(__xludf.DUMMYFUNCTION("IF(A6766="""","""",INDEX(SPLIT(A6766,"" ""),COUNTA(SPLIT(A6766,"" ""))))"),"Irsina")</f>
        <v>Irsina</v>
      </c>
      <c r="C6766" s="6"/>
      <c r="D6766" s="6" t="s">
        <v>6850</v>
      </c>
      <c r="E6766" s="7" t="s">
        <v>6851</v>
      </c>
    </row>
    <row r="6767">
      <c r="A6767" s="4" t="s">
        <v>6850</v>
      </c>
      <c r="B6767" s="5" t="str">
        <f>IFERROR(__xludf.DUMMYFUNCTION("IF(A6767="""","""",INDEX(SPLIT(A6767,"" ""),COUNTA(SPLIT(A6767,"" ""))))"),"Matera")</f>
        <v>Matera</v>
      </c>
      <c r="C6767" s="6"/>
      <c r="D6767" s="6" t="s">
        <v>6850</v>
      </c>
      <c r="E6767" s="7" t="s">
        <v>6851</v>
      </c>
    </row>
    <row r="6768">
      <c r="A6768" s="4" t="s">
        <v>6864</v>
      </c>
      <c r="B6768" s="5" t="str">
        <f>IFERROR(__xludf.DUMMYFUNCTION("IF(A6768="""","""",INDEX(SPLIT(A6768,"" ""),COUNTA(SPLIT(A6768,"" ""))))"),"Miglionico")</f>
        <v>Miglionico</v>
      </c>
      <c r="C6768" s="6"/>
      <c r="D6768" s="6" t="s">
        <v>6850</v>
      </c>
      <c r="E6768" s="7" t="s">
        <v>6851</v>
      </c>
    </row>
    <row r="6769">
      <c r="A6769" s="4" t="s">
        <v>6865</v>
      </c>
      <c r="B6769" s="5" t="str">
        <f>IFERROR(__xludf.DUMMYFUNCTION("IF(A6769="""","""",INDEX(SPLIT(A6769,"" ""),COUNTA(SPLIT(A6769,"" ""))))"),"Jonico")</f>
        <v>Jonico</v>
      </c>
      <c r="C6769" s="6"/>
      <c r="D6769" s="6" t="s">
        <v>6850</v>
      </c>
      <c r="E6769" s="7" t="s">
        <v>6851</v>
      </c>
    </row>
    <row r="6770">
      <c r="A6770" s="4" t="s">
        <v>6866</v>
      </c>
      <c r="B6770" s="5" t="str">
        <f>IFERROR(__xludf.DUMMYFUNCTION("IF(A6770="""","""",INDEX(SPLIT(A6770,"" ""),COUNTA(SPLIT(A6770,"" ""))))"),"Montescaglioso")</f>
        <v>Montescaglioso</v>
      </c>
      <c r="C6770" s="6"/>
      <c r="D6770" s="6" t="s">
        <v>6850</v>
      </c>
      <c r="E6770" s="7" t="s">
        <v>6851</v>
      </c>
    </row>
    <row r="6771">
      <c r="A6771" s="4" t="s">
        <v>6867</v>
      </c>
      <c r="B6771" s="5" t="str">
        <f>IFERROR(__xludf.DUMMYFUNCTION("IF(A6771="""","""",INDEX(SPLIT(A6771,"" ""),COUNTA(SPLIT(A6771,"" ""))))"),"Siri")</f>
        <v>Siri</v>
      </c>
      <c r="C6771" s="6"/>
      <c r="D6771" s="6" t="s">
        <v>6850</v>
      </c>
      <c r="E6771" s="7" t="s">
        <v>6851</v>
      </c>
    </row>
    <row r="6772">
      <c r="A6772" s="4" t="s">
        <v>6868</v>
      </c>
      <c r="B6772" s="5" t="str">
        <f>IFERROR(__xludf.DUMMYFUNCTION("IF(A6772="""","""",INDEX(SPLIT(A6772,"" ""),COUNTA(SPLIT(A6772,"" ""))))"),"Lucano")</f>
        <v>Lucano</v>
      </c>
      <c r="C6772" s="6"/>
      <c r="D6772" s="6" t="s">
        <v>6850</v>
      </c>
      <c r="E6772" s="7" t="s">
        <v>6851</v>
      </c>
    </row>
    <row r="6773">
      <c r="A6773" s="4" t="s">
        <v>6869</v>
      </c>
      <c r="B6773" s="5" t="str">
        <f>IFERROR(__xludf.DUMMYFUNCTION("IF(A6773="""","""",INDEX(SPLIT(A6773,"" ""),COUNTA(SPLIT(A6773,"" ""))))"),"Pisticci")</f>
        <v>Pisticci</v>
      </c>
      <c r="C6773" s="6"/>
      <c r="D6773" s="6" t="s">
        <v>6850</v>
      </c>
      <c r="E6773" s="7" t="s">
        <v>6851</v>
      </c>
    </row>
    <row r="6774">
      <c r="A6774" s="4" t="s">
        <v>6870</v>
      </c>
      <c r="B6774" s="5" t="str">
        <f>IFERROR(__xludf.DUMMYFUNCTION("IF(A6774="""","""",INDEX(SPLIT(A6774,"" ""),COUNTA(SPLIT(A6774,"" ""))))"),"Policoro")</f>
        <v>Policoro</v>
      </c>
      <c r="C6774" s="6"/>
      <c r="D6774" s="6" t="s">
        <v>6850</v>
      </c>
      <c r="E6774" s="7" t="s">
        <v>6851</v>
      </c>
    </row>
    <row r="6775">
      <c r="A6775" s="4" t="s">
        <v>6871</v>
      </c>
      <c r="B6775" s="5" t="str">
        <f>IFERROR(__xludf.DUMMYFUNCTION("IF(A6775="""","""",INDEX(SPLIT(A6775,"" ""),COUNTA(SPLIT(A6775,"" ""))))"),"Pomarico")</f>
        <v>Pomarico</v>
      </c>
      <c r="C6775" s="6"/>
      <c r="D6775" s="6" t="s">
        <v>6850</v>
      </c>
      <c r="E6775" s="7" t="s">
        <v>6851</v>
      </c>
    </row>
    <row r="6776">
      <c r="A6776" s="4" t="s">
        <v>6872</v>
      </c>
      <c r="B6776" s="5" t="str">
        <f>IFERROR(__xludf.DUMMYFUNCTION("IF(A6776="""","""",INDEX(SPLIT(A6776,"" ""),COUNTA(SPLIT(A6776,"" ""))))"),"Rotondella")</f>
        <v>Rotondella</v>
      </c>
      <c r="C6776" s="6"/>
      <c r="D6776" s="6" t="s">
        <v>6850</v>
      </c>
      <c r="E6776" s="7" t="s">
        <v>6851</v>
      </c>
    </row>
    <row r="6777">
      <c r="A6777" s="4" t="s">
        <v>6873</v>
      </c>
      <c r="B6777" s="5" t="str">
        <f>IFERROR(__xludf.DUMMYFUNCTION("IF(A6777="""","""",INDEX(SPLIT(A6777,"" ""),COUNTA(SPLIT(A6777,"" ""))))"),"Salandra")</f>
        <v>Salandra</v>
      </c>
      <c r="C6777" s="6"/>
      <c r="D6777" s="6" t="s">
        <v>6850</v>
      </c>
      <c r="E6777" s="7" t="s">
        <v>6851</v>
      </c>
    </row>
    <row r="6778">
      <c r="A6778" s="4" t="s">
        <v>6874</v>
      </c>
      <c r="B6778" s="5" t="str">
        <f>IFERROR(__xludf.DUMMYFUNCTION("IF(A6778="""","""",INDEX(SPLIT(A6778,"" ""),COUNTA(SPLIT(A6778,"" ""))))"),"Lucano")</f>
        <v>Lucano</v>
      </c>
      <c r="C6778" s="6"/>
      <c r="D6778" s="6" t="s">
        <v>6850</v>
      </c>
      <c r="E6778" s="7" t="s">
        <v>6851</v>
      </c>
    </row>
    <row r="6779">
      <c r="A6779" s="4" t="s">
        <v>6875</v>
      </c>
      <c r="B6779" s="5" t="str">
        <f>IFERROR(__xludf.DUMMYFUNCTION("IF(A6779="""","""",INDEX(SPLIT(A6779,"" ""),COUNTA(SPLIT(A6779,"" ""))))"),"Forte")</f>
        <v>Forte</v>
      </c>
      <c r="C6779" s="6"/>
      <c r="D6779" s="6" t="s">
        <v>6850</v>
      </c>
      <c r="E6779" s="7" t="s">
        <v>6851</v>
      </c>
    </row>
    <row r="6780">
      <c r="A6780" s="4" t="s">
        <v>6876</v>
      </c>
      <c r="B6780" s="5" t="str">
        <f>IFERROR(__xludf.DUMMYFUNCTION("IF(A6780="""","""",INDEX(SPLIT(A6780,"" ""),COUNTA(SPLIT(A6780,"" ""))))"),"Stigliano")</f>
        <v>Stigliano</v>
      </c>
      <c r="C6780" s="6"/>
      <c r="D6780" s="6" t="s">
        <v>6850</v>
      </c>
      <c r="E6780" s="7" t="s">
        <v>6851</v>
      </c>
    </row>
    <row r="6781">
      <c r="A6781" s="4" t="s">
        <v>6877</v>
      </c>
      <c r="B6781" s="5" t="str">
        <f>IFERROR(__xludf.DUMMYFUNCTION("IF(A6781="""","""",INDEX(SPLIT(A6781,"" ""),COUNTA(SPLIT(A6781,"" ""))))"),"Tricarico")</f>
        <v>Tricarico</v>
      </c>
      <c r="C6781" s="6"/>
      <c r="D6781" s="6" t="s">
        <v>6850</v>
      </c>
      <c r="E6781" s="7" t="s">
        <v>6851</v>
      </c>
    </row>
    <row r="6782">
      <c r="A6782" s="4" t="s">
        <v>6878</v>
      </c>
      <c r="B6782" s="5" t="str">
        <f>IFERROR(__xludf.DUMMYFUNCTION("IF(A6782="""","""",INDEX(SPLIT(A6782,"" ""),COUNTA(SPLIT(A6782,"" ""))))"),"Tursi")</f>
        <v>Tursi</v>
      </c>
      <c r="C6782" s="6"/>
      <c r="D6782" s="6" t="s">
        <v>6850</v>
      </c>
      <c r="E6782" s="7" t="s">
        <v>6851</v>
      </c>
    </row>
    <row r="6783">
      <c r="A6783" s="4" t="s">
        <v>6879</v>
      </c>
      <c r="B6783" s="5" t="str">
        <f>IFERROR(__xludf.DUMMYFUNCTION("IF(A6783="""","""",INDEX(SPLIT(A6783,"" ""),COUNTA(SPLIT(A6783,"" ""))))"),"Valsinni")</f>
        <v>Valsinni</v>
      </c>
      <c r="C6783" s="6"/>
      <c r="D6783" s="6" t="s">
        <v>6850</v>
      </c>
      <c r="E6783" s="7" t="s">
        <v>6851</v>
      </c>
    </row>
    <row r="6784">
      <c r="A6784" s="4" t="s">
        <v>6880</v>
      </c>
      <c r="B6784" s="5" t="str">
        <f>IFERROR(__xludf.DUMMYFUNCTION("IF(A6784="""","""",INDEX(SPLIT(A6784,"" ""),COUNTA(SPLIT(A6784,"" ""))))"),"Jonico")</f>
        <v>Jonico</v>
      </c>
      <c r="C6784" s="6"/>
      <c r="D6784" s="6" t="s">
        <v>6850</v>
      </c>
      <c r="E6784" s="7" t="s">
        <v>6851</v>
      </c>
    </row>
    <row r="6785">
      <c r="A6785" s="4" t="s">
        <v>6881</v>
      </c>
      <c r="B6785" s="5" t="str">
        <f>IFERROR(__xludf.DUMMYFUNCTION("IF(A6785="""","""",INDEX(SPLIT(A6785,"" ""),COUNTA(SPLIT(A6785,"" ""))))"),"Acquaformosa")</f>
        <v>Acquaformosa</v>
      </c>
      <c r="C6785" s="6"/>
      <c r="D6785" s="6" t="s">
        <v>6882</v>
      </c>
      <c r="E6785" s="7" t="s">
        <v>6883</v>
      </c>
    </row>
    <row r="6786">
      <c r="A6786" s="4" t="s">
        <v>6884</v>
      </c>
      <c r="B6786" s="5" t="str">
        <f>IFERROR(__xludf.DUMMYFUNCTION("IF(A6786="""","""",INDEX(SPLIT(A6786,"" ""),COUNTA(SPLIT(A6786,"" ""))))"),"Acquappesa")</f>
        <v>Acquappesa</v>
      </c>
      <c r="C6786" s="6"/>
      <c r="D6786" s="6" t="s">
        <v>6882</v>
      </c>
      <c r="E6786" s="7" t="s">
        <v>6883</v>
      </c>
    </row>
    <row r="6787">
      <c r="A6787" s="4" t="s">
        <v>6885</v>
      </c>
      <c r="B6787" s="5" t="str">
        <f>IFERROR(__xludf.DUMMYFUNCTION("IF(A6787="""","""",INDEX(SPLIT(A6787,"" ""),COUNTA(SPLIT(A6787,"" ""))))"),"Acri")</f>
        <v>Acri</v>
      </c>
      <c r="C6787" s="6"/>
      <c r="D6787" s="6" t="s">
        <v>6882</v>
      </c>
      <c r="E6787" s="7" t="s">
        <v>6883</v>
      </c>
    </row>
    <row r="6788">
      <c r="A6788" s="4" t="s">
        <v>6886</v>
      </c>
      <c r="B6788" s="5" t="str">
        <f>IFERROR(__xludf.DUMMYFUNCTION("IF(A6788="""","""",INDEX(SPLIT(A6788,"" ""),COUNTA(SPLIT(A6788,"" ""))))"),"Calabro")</f>
        <v>Calabro</v>
      </c>
      <c r="C6788" s="6"/>
      <c r="D6788" s="6" t="s">
        <v>6882</v>
      </c>
      <c r="E6788" s="7" t="s">
        <v>6883</v>
      </c>
    </row>
    <row r="6789">
      <c r="A6789" s="4" t="s">
        <v>6887</v>
      </c>
      <c r="B6789" s="5" t="str">
        <f>IFERROR(__xludf.DUMMYFUNCTION("IF(A6789="""","""",INDEX(SPLIT(A6789,"" ""),COUNTA(SPLIT(A6789,"" ""))))"),"Aieta")</f>
        <v>Aieta</v>
      </c>
      <c r="C6789" s="6"/>
      <c r="D6789" s="6" t="s">
        <v>6882</v>
      </c>
      <c r="E6789" s="7" t="s">
        <v>6883</v>
      </c>
    </row>
    <row r="6790">
      <c r="A6790" s="4" t="s">
        <v>6888</v>
      </c>
      <c r="B6790" s="5" t="str">
        <f>IFERROR(__xludf.DUMMYFUNCTION("IF(A6790="""","""",INDEX(SPLIT(A6790,"" ""),COUNTA(SPLIT(A6790,"" ""))))"),"Albidona")</f>
        <v>Albidona</v>
      </c>
      <c r="C6790" s="6"/>
      <c r="D6790" s="6" t="s">
        <v>6882</v>
      </c>
      <c r="E6790" s="7" t="s">
        <v>6883</v>
      </c>
    </row>
    <row r="6791">
      <c r="A6791" s="4" t="s">
        <v>6889</v>
      </c>
      <c r="B6791" s="5" t="str">
        <f>IFERROR(__xludf.DUMMYFUNCTION("IF(A6791="""","""",INDEX(SPLIT(A6791,"" ""),COUNTA(SPLIT(A6791,"" ""))))"),"Carretto")</f>
        <v>Carretto</v>
      </c>
      <c r="C6791" s="6"/>
      <c r="D6791" s="6" t="s">
        <v>6882</v>
      </c>
      <c r="E6791" s="7" t="s">
        <v>6883</v>
      </c>
    </row>
    <row r="6792">
      <c r="A6792" s="4" t="s">
        <v>6890</v>
      </c>
      <c r="B6792" s="5" t="str">
        <f>IFERROR(__xludf.DUMMYFUNCTION("IF(A6792="""","""",INDEX(SPLIT(A6792,"" ""),COUNTA(SPLIT(A6792,"" ""))))"),"Altilia")</f>
        <v>Altilia</v>
      </c>
      <c r="C6792" s="6"/>
      <c r="D6792" s="6" t="s">
        <v>6882</v>
      </c>
      <c r="E6792" s="7" t="s">
        <v>6883</v>
      </c>
    </row>
    <row r="6793">
      <c r="A6793" s="4" t="s">
        <v>6891</v>
      </c>
      <c r="B6793" s="5" t="str">
        <f>IFERROR(__xludf.DUMMYFUNCTION("IF(A6793="""","""",INDEX(SPLIT(A6793,"" ""),COUNTA(SPLIT(A6793,"" ""))))"),"Altomonte")</f>
        <v>Altomonte</v>
      </c>
      <c r="C6793" s="6"/>
      <c r="D6793" s="6" t="s">
        <v>6882</v>
      </c>
      <c r="E6793" s="7" t="s">
        <v>6883</v>
      </c>
    </row>
    <row r="6794">
      <c r="A6794" s="4" t="s">
        <v>6892</v>
      </c>
      <c r="B6794" s="5" t="str">
        <f>IFERROR(__xludf.DUMMYFUNCTION("IF(A6794="""","""",INDEX(SPLIT(A6794,"" ""),COUNTA(SPLIT(A6794,"" ""))))"),"Amantea")</f>
        <v>Amantea</v>
      </c>
      <c r="C6794" s="6"/>
      <c r="D6794" s="6" t="s">
        <v>6882</v>
      </c>
      <c r="E6794" s="7" t="s">
        <v>6883</v>
      </c>
    </row>
    <row r="6795">
      <c r="A6795" s="4" t="s">
        <v>6893</v>
      </c>
      <c r="B6795" s="5" t="str">
        <f>IFERROR(__xludf.DUMMYFUNCTION("IF(A6795="""","""",INDEX(SPLIT(A6795,"" ""),COUNTA(SPLIT(A6795,"" ""))))"),"Amendolara")</f>
        <v>Amendolara</v>
      </c>
      <c r="C6795" s="6"/>
      <c r="D6795" s="6" t="s">
        <v>6882</v>
      </c>
      <c r="E6795" s="7" t="s">
        <v>6883</v>
      </c>
    </row>
    <row r="6796">
      <c r="A6796" s="4" t="s">
        <v>6894</v>
      </c>
      <c r="B6796" s="5" t="str">
        <f>IFERROR(__xludf.DUMMYFUNCTION("IF(A6796="""","""",INDEX(SPLIT(A6796,"" ""),COUNTA(SPLIT(A6796,"" ""))))"),"Aprigliano")</f>
        <v>Aprigliano</v>
      </c>
      <c r="C6796" s="6"/>
      <c r="D6796" s="6" t="s">
        <v>6882</v>
      </c>
      <c r="E6796" s="7" t="s">
        <v>6883</v>
      </c>
    </row>
    <row r="6797">
      <c r="A6797" s="4" t="s">
        <v>6895</v>
      </c>
      <c r="B6797" s="5" t="str">
        <f>IFERROR(__xludf.DUMMYFUNCTION("IF(A6797="""","""",INDEX(SPLIT(A6797,"" ""),COUNTA(SPLIT(A6797,"" ""))))"),"Calabro")</f>
        <v>Calabro</v>
      </c>
      <c r="C6797" s="6"/>
      <c r="D6797" s="6" t="s">
        <v>6882</v>
      </c>
      <c r="E6797" s="7" t="s">
        <v>6883</v>
      </c>
    </row>
    <row r="6798">
      <c r="A6798" s="4" t="s">
        <v>6896</v>
      </c>
      <c r="B6798" s="5" t="str">
        <f>IFERROR(__xludf.DUMMYFUNCTION("IF(A6798="""","""",INDEX(SPLIT(A6798,"" ""),COUNTA(SPLIT(A6798,"" ""))))"),"Belsito")</f>
        <v>Belsito</v>
      </c>
      <c r="C6798" s="6"/>
      <c r="D6798" s="6" t="s">
        <v>6882</v>
      </c>
      <c r="E6798" s="7" t="s">
        <v>6883</v>
      </c>
    </row>
    <row r="6799">
      <c r="A6799" s="4" t="s">
        <v>6897</v>
      </c>
      <c r="B6799" s="5" t="str">
        <f>IFERROR(__xludf.DUMMYFUNCTION("IF(A6799="""","""",INDEX(SPLIT(A6799,"" ""),COUNTA(SPLIT(A6799,"" ""))))"),"Marittimo")</f>
        <v>Marittimo</v>
      </c>
      <c r="C6799" s="6"/>
      <c r="D6799" s="6" t="s">
        <v>6882</v>
      </c>
      <c r="E6799" s="7" t="s">
        <v>6883</v>
      </c>
    </row>
    <row r="6800">
      <c r="A6800" s="4" t="s">
        <v>6898</v>
      </c>
      <c r="B6800" s="5" t="str">
        <f>IFERROR(__xludf.DUMMYFUNCTION("IF(A6800="""","""",INDEX(SPLIT(A6800,"" ""),COUNTA(SPLIT(A6800,"" ""))))"),"Bianchi")</f>
        <v>Bianchi</v>
      </c>
      <c r="C6800" s="6"/>
      <c r="D6800" s="6" t="s">
        <v>6882</v>
      </c>
      <c r="E6800" s="7" t="s">
        <v>6883</v>
      </c>
    </row>
    <row r="6801">
      <c r="A6801" s="4" t="s">
        <v>6899</v>
      </c>
      <c r="B6801" s="5" t="str">
        <f>IFERROR(__xludf.DUMMYFUNCTION("IF(A6801="""","""",INDEX(SPLIT(A6801,"" ""),COUNTA(SPLIT(A6801,"" ""))))"),"Bisignano")</f>
        <v>Bisignano</v>
      </c>
      <c r="C6801" s="6"/>
      <c r="D6801" s="6" t="s">
        <v>6882</v>
      </c>
      <c r="E6801" s="7" t="s">
        <v>6883</v>
      </c>
    </row>
    <row r="6802">
      <c r="A6802" s="4" t="s">
        <v>6900</v>
      </c>
      <c r="B6802" s="5" t="str">
        <f>IFERROR(__xludf.DUMMYFUNCTION("IF(A6802="""","""",INDEX(SPLIT(A6802,"" ""),COUNTA(SPLIT(A6802,"" ""))))"),"Bocchigliero")</f>
        <v>Bocchigliero</v>
      </c>
      <c r="C6802" s="6"/>
      <c r="D6802" s="6" t="s">
        <v>6882</v>
      </c>
      <c r="E6802" s="7" t="s">
        <v>6883</v>
      </c>
    </row>
    <row r="6803">
      <c r="A6803" s="4" t="s">
        <v>6901</v>
      </c>
      <c r="B6803" s="5" t="str">
        <f>IFERROR(__xludf.DUMMYFUNCTION("IF(A6803="""","""",INDEX(SPLIT(A6803,"" ""),COUNTA(SPLIT(A6803,"" ""))))"),"Bonifati")</f>
        <v>Bonifati</v>
      </c>
      <c r="C6803" s="6"/>
      <c r="D6803" s="6" t="s">
        <v>6882</v>
      </c>
      <c r="E6803" s="7" t="s">
        <v>6883</v>
      </c>
    </row>
    <row r="6804">
      <c r="A6804" s="4" t="s">
        <v>6902</v>
      </c>
      <c r="B6804" s="5" t="str">
        <f>IFERROR(__xludf.DUMMYFUNCTION("IF(A6804="""","""",INDEX(SPLIT(A6804,"" ""),COUNTA(SPLIT(A6804,"" ""))))"),"Buonvicino")</f>
        <v>Buonvicino</v>
      </c>
      <c r="C6804" s="6"/>
      <c r="D6804" s="6" t="s">
        <v>6882</v>
      </c>
      <c r="E6804" s="7" t="s">
        <v>6883</v>
      </c>
    </row>
    <row r="6805">
      <c r="A6805" s="4" t="s">
        <v>6903</v>
      </c>
      <c r="B6805" s="5" t="str">
        <f>IFERROR(__xludf.DUMMYFUNCTION("IF(A6805="""","""",INDEX(SPLIT(A6805,"" ""),COUNTA(SPLIT(A6805,"" ""))))"),"Calopezzati")</f>
        <v>Calopezzati</v>
      </c>
      <c r="C6805" s="6"/>
      <c r="D6805" s="6" t="s">
        <v>6882</v>
      </c>
      <c r="E6805" s="7" t="s">
        <v>6883</v>
      </c>
    </row>
    <row r="6806">
      <c r="A6806" s="4" t="s">
        <v>6904</v>
      </c>
      <c r="B6806" s="5" t="str">
        <f>IFERROR(__xludf.DUMMYFUNCTION("IF(A6806="""","""",INDEX(SPLIT(A6806,"" ""),COUNTA(SPLIT(A6806,"" ""))))"),"Caloveto")</f>
        <v>Caloveto</v>
      </c>
      <c r="C6806" s="6"/>
      <c r="D6806" s="6" t="s">
        <v>6882</v>
      </c>
      <c r="E6806" s="7" t="s">
        <v>6883</v>
      </c>
    </row>
    <row r="6807">
      <c r="A6807" s="4" t="s">
        <v>6905</v>
      </c>
      <c r="B6807" s="5" t="str">
        <f>IFERROR(__xludf.DUMMYFUNCTION("IF(A6807="""","""",INDEX(SPLIT(A6807,"" ""),COUNTA(SPLIT(A6807,"" ""))))"),"Campana")</f>
        <v>Campana</v>
      </c>
      <c r="C6807" s="6"/>
      <c r="D6807" s="6" t="s">
        <v>6882</v>
      </c>
      <c r="E6807" s="7" t="s">
        <v>6883</v>
      </c>
    </row>
    <row r="6808">
      <c r="A6808" s="4" t="s">
        <v>6906</v>
      </c>
      <c r="B6808" s="5" t="str">
        <f>IFERROR(__xludf.DUMMYFUNCTION("IF(A6808="""","""",INDEX(SPLIT(A6808,"" ""),COUNTA(SPLIT(A6808,"" ""))))"),"Canna")</f>
        <v>Canna</v>
      </c>
      <c r="C6808" s="6"/>
      <c r="D6808" s="6" t="s">
        <v>6882</v>
      </c>
      <c r="E6808" s="7" t="s">
        <v>6883</v>
      </c>
    </row>
    <row r="6809">
      <c r="A6809" s="4" t="s">
        <v>6907</v>
      </c>
      <c r="B6809" s="5" t="str">
        <f>IFERROR(__xludf.DUMMYFUNCTION("IF(A6809="""","""",INDEX(SPLIT(A6809,"" ""),COUNTA(SPLIT(A6809,"" ""))))"),"Cariati")</f>
        <v>Cariati</v>
      </c>
      <c r="C6809" s="6"/>
      <c r="D6809" s="6" t="s">
        <v>6882</v>
      </c>
      <c r="E6809" s="7" t="s">
        <v>6883</v>
      </c>
    </row>
    <row r="6810">
      <c r="A6810" s="4" t="s">
        <v>6908</v>
      </c>
      <c r="B6810" s="5" t="str">
        <f>IFERROR(__xludf.DUMMYFUNCTION("IF(A6810="""","""",INDEX(SPLIT(A6810,"" ""),COUNTA(SPLIT(A6810,"" ""))))"),"Carolei")</f>
        <v>Carolei</v>
      </c>
      <c r="C6810" s="6"/>
      <c r="D6810" s="6" t="s">
        <v>6882</v>
      </c>
      <c r="E6810" s="7" t="s">
        <v>6883</v>
      </c>
    </row>
    <row r="6811">
      <c r="A6811" s="4" t="s">
        <v>6909</v>
      </c>
      <c r="B6811" s="5" t="str">
        <f>IFERROR(__xludf.DUMMYFUNCTION("IF(A6811="""","""",INDEX(SPLIT(A6811,"" ""),COUNTA(SPLIT(A6811,"" ""))))"),"Carpanzano")</f>
        <v>Carpanzano</v>
      </c>
      <c r="C6811" s="6"/>
      <c r="D6811" s="6" t="s">
        <v>6882</v>
      </c>
      <c r="E6811" s="7" t="s">
        <v>6883</v>
      </c>
    </row>
    <row r="6812">
      <c r="A6812" s="4" t="s">
        <v>6910</v>
      </c>
      <c r="B6812" s="5" t="str">
        <f>IFERROR(__xludf.DUMMYFUNCTION("IF(A6812="""","""",INDEX(SPLIT(A6812,"" ""),COUNTA(SPLIT(A6812,"" ""))))"),"all'Ionio")</f>
        <v>all'Ionio</v>
      </c>
      <c r="C6812" s="6"/>
      <c r="D6812" s="6" t="s">
        <v>6882</v>
      </c>
      <c r="E6812" s="7" t="s">
        <v>6883</v>
      </c>
    </row>
    <row r="6813">
      <c r="A6813" s="4" t="s">
        <v>6911</v>
      </c>
      <c r="B6813" s="5" t="str">
        <f>IFERROR(__xludf.DUMMYFUNCTION("IF(A6813="""","""",INDEX(SPLIT(A6813,"" ""),COUNTA(SPLIT(A6813,"" ""))))"),"Cosentino")</f>
        <v>Cosentino</v>
      </c>
      <c r="C6813" s="6"/>
      <c r="D6813" s="6" t="s">
        <v>6882</v>
      </c>
      <c r="E6813" s="7" t="s">
        <v>6883</v>
      </c>
    </row>
    <row r="6814">
      <c r="A6814" s="4" t="s">
        <v>6912</v>
      </c>
      <c r="B6814" s="5" t="str">
        <f>IFERROR(__xludf.DUMMYFUNCTION("IF(A6814="""","""",INDEX(SPLIT(A6814,"" ""),COUNTA(SPLIT(A6814,"" ""))))"),"Castrolibero")</f>
        <v>Castrolibero</v>
      </c>
      <c r="C6814" s="6"/>
      <c r="D6814" s="6" t="s">
        <v>6882</v>
      </c>
      <c r="E6814" s="7" t="s">
        <v>6883</v>
      </c>
    </row>
    <row r="6815">
      <c r="A6815" s="4" t="s">
        <v>6913</v>
      </c>
      <c r="B6815" s="5" t="str">
        <f>IFERROR(__xludf.DUMMYFUNCTION("IF(A6815="""","""",INDEX(SPLIT(A6815,"" ""),COUNTA(SPLIT(A6815,"" ""))))"),"Castroregio")</f>
        <v>Castroregio</v>
      </c>
      <c r="C6815" s="6"/>
      <c r="D6815" s="6" t="s">
        <v>6882</v>
      </c>
      <c r="E6815" s="7" t="s">
        <v>6883</v>
      </c>
    </row>
    <row r="6816">
      <c r="A6816" s="4" t="s">
        <v>6914</v>
      </c>
      <c r="B6816" s="5" t="str">
        <f>IFERROR(__xludf.DUMMYFUNCTION("IF(A6816="""","""",INDEX(SPLIT(A6816,"" ""),COUNTA(SPLIT(A6816,"" ""))))"),"Castrovillari")</f>
        <v>Castrovillari</v>
      </c>
      <c r="C6816" s="6"/>
      <c r="D6816" s="6" t="s">
        <v>6882</v>
      </c>
      <c r="E6816" s="7" t="s">
        <v>6883</v>
      </c>
    </row>
    <row r="6817">
      <c r="A6817" s="4" t="s">
        <v>6915</v>
      </c>
      <c r="B6817" s="5" t="str">
        <f>IFERROR(__xludf.DUMMYFUNCTION("IF(A6817="""","""",INDEX(SPLIT(A6817,"" ""),COUNTA(SPLIT(A6817,"" ""))))"),"Celico")</f>
        <v>Celico</v>
      </c>
      <c r="C6817" s="6"/>
      <c r="D6817" s="6" t="s">
        <v>6882</v>
      </c>
      <c r="E6817" s="7" t="s">
        <v>6883</v>
      </c>
    </row>
    <row r="6818">
      <c r="A6818" s="4" t="s">
        <v>6916</v>
      </c>
      <c r="B6818" s="5" t="str">
        <f>IFERROR(__xludf.DUMMYFUNCTION("IF(A6818="""","""",INDEX(SPLIT(A6818,"" ""),COUNTA(SPLIT(A6818,"" ""))))"),"Cellara")</f>
        <v>Cellara</v>
      </c>
      <c r="C6818" s="6"/>
      <c r="D6818" s="6" t="s">
        <v>6882</v>
      </c>
      <c r="E6818" s="7" t="s">
        <v>6883</v>
      </c>
    </row>
    <row r="6819">
      <c r="A6819" s="4" t="s">
        <v>6917</v>
      </c>
      <c r="B6819" s="5" t="str">
        <f>IFERROR(__xludf.DUMMYFUNCTION("IF(A6819="""","""",INDEX(SPLIT(A6819,"" ""),COUNTA(SPLIT(A6819,"" ""))))"),"Calabria")</f>
        <v>Calabria</v>
      </c>
      <c r="C6819" s="6"/>
      <c r="D6819" s="6" t="s">
        <v>6882</v>
      </c>
      <c r="E6819" s="7" t="s">
        <v>6883</v>
      </c>
    </row>
    <row r="6820">
      <c r="A6820" s="4" t="s">
        <v>6918</v>
      </c>
      <c r="B6820" s="5" t="str">
        <f>IFERROR(__xludf.DUMMYFUNCTION("IF(A6820="""","""",INDEX(SPLIT(A6820,"" ""),COUNTA(SPLIT(A6820,"" ""))))"),"Cerisano")</f>
        <v>Cerisano</v>
      </c>
      <c r="C6820" s="6"/>
      <c r="D6820" s="6" t="s">
        <v>6882</v>
      </c>
      <c r="E6820" s="7" t="s">
        <v>6883</v>
      </c>
    </row>
    <row r="6821">
      <c r="A6821" s="4" t="s">
        <v>6919</v>
      </c>
      <c r="B6821" s="5" t="str">
        <f>IFERROR(__xludf.DUMMYFUNCTION("IF(A6821="""","""",INDEX(SPLIT(A6821,"" ""),COUNTA(SPLIT(A6821,"" ""))))"),"Cervicati")</f>
        <v>Cervicati</v>
      </c>
      <c r="C6821" s="6"/>
      <c r="D6821" s="6" t="s">
        <v>6882</v>
      </c>
      <c r="E6821" s="7" t="s">
        <v>6883</v>
      </c>
    </row>
    <row r="6822">
      <c r="A6822" s="4" t="s">
        <v>6920</v>
      </c>
      <c r="B6822" s="5" t="str">
        <f>IFERROR(__xludf.DUMMYFUNCTION("IF(A6822="""","""",INDEX(SPLIT(A6822,"" ""),COUNTA(SPLIT(A6822,"" ""))))"),"Cerzeto")</f>
        <v>Cerzeto</v>
      </c>
      <c r="C6822" s="6"/>
      <c r="D6822" s="6" t="s">
        <v>6882</v>
      </c>
      <c r="E6822" s="7" t="s">
        <v>6883</v>
      </c>
    </row>
    <row r="6823">
      <c r="A6823" s="4" t="s">
        <v>6921</v>
      </c>
      <c r="B6823" s="5" t="str">
        <f>IFERROR(__xludf.DUMMYFUNCTION("IF(A6823="""","""",INDEX(SPLIT(A6823,"" ""),COUNTA(SPLIT(A6823,"" ""))))"),"Cetraro")</f>
        <v>Cetraro</v>
      </c>
      <c r="C6823" s="6"/>
      <c r="D6823" s="6" t="s">
        <v>6882</v>
      </c>
      <c r="E6823" s="7" t="s">
        <v>6883</v>
      </c>
    </row>
    <row r="6824">
      <c r="A6824" s="4" t="s">
        <v>6922</v>
      </c>
      <c r="B6824" s="5" t="str">
        <f>IFERROR(__xludf.DUMMYFUNCTION("IF(A6824="""","""",INDEX(SPLIT(A6824,"" ""),COUNTA(SPLIT(A6824,"" ""))))"),"Civita")</f>
        <v>Civita</v>
      </c>
      <c r="C6824" s="6"/>
      <c r="D6824" s="6" t="s">
        <v>6882</v>
      </c>
      <c r="E6824" s="7" t="s">
        <v>6883</v>
      </c>
    </row>
    <row r="6825">
      <c r="A6825" s="4" t="s">
        <v>6923</v>
      </c>
      <c r="B6825" s="5" t="str">
        <f>IFERROR(__xludf.DUMMYFUNCTION("IF(A6825="""","""",INDEX(SPLIT(A6825,"" ""),COUNTA(SPLIT(A6825,"" ""))))"),"Cleto")</f>
        <v>Cleto</v>
      </c>
      <c r="C6825" s="6"/>
      <c r="D6825" s="6" t="s">
        <v>6882</v>
      </c>
      <c r="E6825" s="7" t="s">
        <v>6883</v>
      </c>
    </row>
    <row r="6826">
      <c r="A6826" s="4" t="s">
        <v>6924</v>
      </c>
      <c r="B6826" s="5" t="str">
        <f>IFERROR(__xludf.DUMMYFUNCTION("IF(A6826="""","""",INDEX(SPLIT(A6826,"" ""),COUNTA(SPLIT(A6826,"" ""))))"),"Colosimi")</f>
        <v>Colosimi</v>
      </c>
      <c r="C6826" s="6"/>
      <c r="D6826" s="6" t="s">
        <v>6882</v>
      </c>
      <c r="E6826" s="7" t="s">
        <v>6883</v>
      </c>
    </row>
    <row r="6827">
      <c r="A6827" s="4" t="s">
        <v>6882</v>
      </c>
      <c r="B6827" s="5" t="str">
        <f>IFERROR(__xludf.DUMMYFUNCTION("IF(A6827="""","""",INDEX(SPLIT(A6827,"" ""),COUNTA(SPLIT(A6827,"" ""))))"),"Cosenza")</f>
        <v>Cosenza</v>
      </c>
      <c r="C6827" s="6"/>
      <c r="D6827" s="6" t="s">
        <v>6882</v>
      </c>
      <c r="E6827" s="7" t="s">
        <v>6883</v>
      </c>
    </row>
    <row r="6828">
      <c r="A6828" s="4" t="s">
        <v>6925</v>
      </c>
      <c r="B6828" s="5" t="str">
        <f>IFERROR(__xludf.DUMMYFUNCTION("IF(A6828="""","""",INDEX(SPLIT(A6828,"" ""),COUNTA(SPLIT(A6828,"" ""))))"),"Cropalati")</f>
        <v>Cropalati</v>
      </c>
      <c r="C6828" s="6"/>
      <c r="D6828" s="6" t="s">
        <v>6882</v>
      </c>
      <c r="E6828" s="7" t="s">
        <v>6883</v>
      </c>
    </row>
    <row r="6829">
      <c r="A6829" s="4" t="s">
        <v>6926</v>
      </c>
      <c r="B6829" s="5" t="str">
        <f>IFERROR(__xludf.DUMMYFUNCTION("IF(A6829="""","""",INDEX(SPLIT(A6829,"" ""),COUNTA(SPLIT(A6829,"" ""))))"),"Crosia")</f>
        <v>Crosia</v>
      </c>
      <c r="C6829" s="6"/>
      <c r="D6829" s="6" t="s">
        <v>6882</v>
      </c>
      <c r="E6829" s="7" t="s">
        <v>6883</v>
      </c>
    </row>
    <row r="6830">
      <c r="A6830" s="4" t="s">
        <v>6927</v>
      </c>
      <c r="B6830" s="5" t="str">
        <f>IFERROR(__xludf.DUMMYFUNCTION("IF(A6830="""","""",INDEX(SPLIT(A6830,"" ""),COUNTA(SPLIT(A6830,"" ""))))"),"Diamante")</f>
        <v>Diamante</v>
      </c>
      <c r="C6830" s="6"/>
      <c r="D6830" s="6" t="s">
        <v>6882</v>
      </c>
      <c r="E6830" s="7" t="s">
        <v>6883</v>
      </c>
    </row>
    <row r="6831">
      <c r="A6831" s="4" t="s">
        <v>6928</v>
      </c>
      <c r="B6831" s="5" t="str">
        <f>IFERROR(__xludf.DUMMYFUNCTION("IF(A6831="""","""",INDEX(SPLIT(A6831,"" ""),COUNTA(SPLIT(A6831,"" ""))))"),"Dipignano")</f>
        <v>Dipignano</v>
      </c>
      <c r="C6831" s="6"/>
      <c r="D6831" s="6" t="s">
        <v>6882</v>
      </c>
      <c r="E6831" s="7" t="s">
        <v>6883</v>
      </c>
    </row>
    <row r="6832">
      <c r="A6832" s="4" t="s">
        <v>6929</v>
      </c>
      <c r="B6832" s="5" t="str">
        <f>IFERROR(__xludf.DUMMYFUNCTION("IF(A6832="""","""",INDEX(SPLIT(A6832,"" ""),COUNTA(SPLIT(A6832,"" ""))))"),"Domanico")</f>
        <v>Domanico</v>
      </c>
      <c r="C6832" s="6"/>
      <c r="D6832" s="6" t="s">
        <v>6882</v>
      </c>
      <c r="E6832" s="7" t="s">
        <v>6883</v>
      </c>
    </row>
    <row r="6833">
      <c r="A6833" s="4" t="s">
        <v>6930</v>
      </c>
      <c r="B6833" s="5" t="str">
        <f>IFERROR(__xludf.DUMMYFUNCTION("IF(A6833="""","""",INDEX(SPLIT(A6833,"" ""),COUNTA(SPLIT(A6833,"" ""))))"),"Castello")</f>
        <v>Castello</v>
      </c>
      <c r="C6833" s="6"/>
      <c r="D6833" s="6" t="s">
        <v>6882</v>
      </c>
      <c r="E6833" s="7" t="s">
        <v>6883</v>
      </c>
    </row>
    <row r="6834">
      <c r="A6834" s="4" t="s">
        <v>6931</v>
      </c>
      <c r="B6834" s="5" t="str">
        <f>IFERROR(__xludf.DUMMYFUNCTION("IF(A6834="""","""",INDEX(SPLIT(A6834,"" ""),COUNTA(SPLIT(A6834,"" ""))))"),"Albanese")</f>
        <v>Albanese</v>
      </c>
      <c r="C6834" s="6"/>
      <c r="D6834" s="6" t="s">
        <v>6882</v>
      </c>
      <c r="E6834" s="7" t="s">
        <v>6883</v>
      </c>
    </row>
    <row r="6835">
      <c r="A6835" s="4" t="s">
        <v>6932</v>
      </c>
      <c r="B6835" s="5" t="str">
        <f>IFERROR(__xludf.DUMMYFUNCTION("IF(A6835="""","""",INDEX(SPLIT(A6835,"" ""),COUNTA(SPLIT(A6835,"" ""))))"),"Vegliaturo")</f>
        <v>Vegliaturo</v>
      </c>
      <c r="C6835" s="6"/>
      <c r="D6835" s="6" t="s">
        <v>6882</v>
      </c>
      <c r="E6835" s="7" t="s">
        <v>6883</v>
      </c>
    </row>
    <row r="6836">
      <c r="A6836" s="4" t="s">
        <v>6933</v>
      </c>
      <c r="B6836" s="5" t="str">
        <f>IFERROR(__xludf.DUMMYFUNCTION("IF(A6836="""","""",INDEX(SPLIT(A6836,"" ""),COUNTA(SPLIT(A6836,"" ""))))"),"Firmo")</f>
        <v>Firmo</v>
      </c>
      <c r="C6836" s="6"/>
      <c r="D6836" s="6" t="s">
        <v>6882</v>
      </c>
      <c r="E6836" s="7" t="s">
        <v>6883</v>
      </c>
    </row>
    <row r="6837">
      <c r="A6837" s="4" t="s">
        <v>6934</v>
      </c>
      <c r="B6837" s="5" t="str">
        <f>IFERROR(__xludf.DUMMYFUNCTION("IF(A6837="""","""",INDEX(SPLIT(A6837,"" ""),COUNTA(SPLIT(A6837,"" ""))))"),"Bruzio")</f>
        <v>Bruzio</v>
      </c>
      <c r="C6837" s="6"/>
      <c r="D6837" s="6" t="s">
        <v>6882</v>
      </c>
      <c r="E6837" s="7" t="s">
        <v>6883</v>
      </c>
    </row>
    <row r="6838">
      <c r="A6838" s="4" t="s">
        <v>6935</v>
      </c>
      <c r="B6838" s="5" t="str">
        <f>IFERROR(__xludf.DUMMYFUNCTION("IF(A6838="""","""",INDEX(SPLIT(A6838,"" ""),COUNTA(SPLIT(A6838,"" ""))))"),"Marittima")</f>
        <v>Marittima</v>
      </c>
      <c r="C6838" s="6"/>
      <c r="D6838" s="6" t="s">
        <v>6882</v>
      </c>
      <c r="E6838" s="7" t="s">
        <v>6883</v>
      </c>
    </row>
    <row r="6839">
      <c r="A6839" s="4" t="s">
        <v>6936</v>
      </c>
      <c r="B6839" s="5" t="str">
        <f>IFERROR(__xludf.DUMMYFUNCTION("IF(A6839="""","""",INDEX(SPLIT(A6839,"" ""),COUNTA(SPLIT(A6839,"" ""))))"),"Frascineto")</f>
        <v>Frascineto</v>
      </c>
      <c r="C6839" s="6"/>
      <c r="D6839" s="6" t="s">
        <v>6882</v>
      </c>
      <c r="E6839" s="7" t="s">
        <v>6883</v>
      </c>
    </row>
    <row r="6840">
      <c r="A6840" s="4" t="s">
        <v>6937</v>
      </c>
      <c r="B6840" s="5" t="str">
        <f>IFERROR(__xludf.DUMMYFUNCTION("IF(A6840="""","""",INDEX(SPLIT(A6840,"" ""),COUNTA(SPLIT(A6840,"" ""))))"),"Fuscaldo")</f>
        <v>Fuscaldo</v>
      </c>
      <c r="C6840" s="6"/>
      <c r="D6840" s="6" t="s">
        <v>6882</v>
      </c>
      <c r="E6840" s="7" t="s">
        <v>6883</v>
      </c>
    </row>
    <row r="6841">
      <c r="A6841" s="4" t="s">
        <v>6938</v>
      </c>
      <c r="B6841" s="5" t="str">
        <f>IFERROR(__xludf.DUMMYFUNCTION("IF(A6841="""","""",INDEX(SPLIT(A6841,"" ""),COUNTA(SPLIT(A6841,"" ""))))"),"Grimaldi")</f>
        <v>Grimaldi</v>
      </c>
      <c r="C6841" s="6"/>
      <c r="D6841" s="6" t="s">
        <v>6882</v>
      </c>
      <c r="E6841" s="7" t="s">
        <v>6883</v>
      </c>
    </row>
    <row r="6842">
      <c r="A6842" s="4" t="s">
        <v>6939</v>
      </c>
      <c r="B6842" s="5" t="str">
        <f>IFERROR(__xludf.DUMMYFUNCTION("IF(A6842="""","""",INDEX(SPLIT(A6842,"" ""),COUNTA(SPLIT(A6842,"" ""))))"),"Grisolia")</f>
        <v>Grisolia</v>
      </c>
      <c r="C6842" s="6"/>
      <c r="D6842" s="6" t="s">
        <v>6882</v>
      </c>
      <c r="E6842" s="7" t="s">
        <v>6883</v>
      </c>
    </row>
    <row r="6843">
      <c r="A6843" s="4" t="s">
        <v>6940</v>
      </c>
      <c r="B6843" s="5" t="str">
        <f>IFERROR(__xludf.DUMMYFUNCTION("IF(A6843="""","""",INDEX(SPLIT(A6843,"" ""),COUNTA(SPLIT(A6843,"" ""))))"),"Piemontese")</f>
        <v>Piemontese</v>
      </c>
      <c r="C6843" s="6"/>
      <c r="D6843" s="6" t="s">
        <v>6882</v>
      </c>
      <c r="E6843" s="7" t="s">
        <v>6883</v>
      </c>
    </row>
    <row r="6844">
      <c r="A6844" s="4" t="s">
        <v>6941</v>
      </c>
      <c r="B6844" s="5" t="str">
        <f>IFERROR(__xludf.DUMMYFUNCTION("IF(A6844="""","""",INDEX(SPLIT(A6844,"" ""),COUNTA(SPLIT(A6844,"" ""))))"),"Lago")</f>
        <v>Lago</v>
      </c>
      <c r="C6844" s="6"/>
      <c r="D6844" s="6" t="s">
        <v>6882</v>
      </c>
      <c r="E6844" s="7" t="s">
        <v>6883</v>
      </c>
    </row>
    <row r="6845">
      <c r="A6845" s="4" t="s">
        <v>6942</v>
      </c>
      <c r="B6845" s="5" t="str">
        <f>IFERROR(__xludf.DUMMYFUNCTION("IF(A6845="""","""",INDEX(SPLIT(A6845,"" ""),COUNTA(SPLIT(A6845,"" ""))))"),"Borgo")</f>
        <v>Borgo</v>
      </c>
      <c r="C6845" s="6"/>
      <c r="D6845" s="6" t="s">
        <v>6882</v>
      </c>
      <c r="E6845" s="7" t="s">
        <v>6883</v>
      </c>
    </row>
    <row r="6846">
      <c r="A6846" s="4" t="s">
        <v>6943</v>
      </c>
      <c r="B6846" s="5" t="str">
        <f>IFERROR(__xludf.DUMMYFUNCTION("IF(A6846="""","""",INDEX(SPLIT(A6846,"" ""),COUNTA(SPLIT(A6846,"" ""))))"),"Castello")</f>
        <v>Castello</v>
      </c>
      <c r="C6846" s="6"/>
      <c r="D6846" s="6" t="s">
        <v>6882</v>
      </c>
      <c r="E6846" s="7" t="s">
        <v>6883</v>
      </c>
    </row>
    <row r="6847">
      <c r="A6847" s="4" t="s">
        <v>6944</v>
      </c>
      <c r="B6847" s="5" t="str">
        <f>IFERROR(__xludf.DUMMYFUNCTION("IF(A6847="""","""",INDEX(SPLIT(A6847,"" ""),COUNTA(SPLIT(A6847,"" ""))))"),"Lappano")</f>
        <v>Lappano</v>
      </c>
      <c r="C6847" s="6"/>
      <c r="D6847" s="6" t="s">
        <v>6882</v>
      </c>
      <c r="E6847" s="7" t="s">
        <v>6883</v>
      </c>
    </row>
    <row r="6848">
      <c r="A6848" s="4" t="s">
        <v>6945</v>
      </c>
      <c r="B6848" s="5" t="str">
        <f>IFERROR(__xludf.DUMMYFUNCTION("IF(A6848="""","""",INDEX(SPLIT(A6848,"" ""),COUNTA(SPLIT(A6848,"" ""))))"),"Lattarico")</f>
        <v>Lattarico</v>
      </c>
      <c r="C6848" s="6"/>
      <c r="D6848" s="6" t="s">
        <v>6882</v>
      </c>
      <c r="E6848" s="7" t="s">
        <v>6883</v>
      </c>
    </row>
    <row r="6849">
      <c r="A6849" s="4" t="s">
        <v>6946</v>
      </c>
      <c r="B6849" s="5" t="str">
        <f>IFERROR(__xludf.DUMMYFUNCTION("IF(A6849="""","""",INDEX(SPLIT(A6849,"" ""),COUNTA(SPLIT(A6849,"" ""))))"),"Longobardi")</f>
        <v>Longobardi</v>
      </c>
      <c r="C6849" s="6"/>
      <c r="D6849" s="6" t="s">
        <v>6882</v>
      </c>
      <c r="E6849" s="7" t="s">
        <v>6883</v>
      </c>
    </row>
    <row r="6850">
      <c r="A6850" s="4" t="s">
        <v>6947</v>
      </c>
      <c r="B6850" s="5" t="str">
        <f>IFERROR(__xludf.DUMMYFUNCTION("IF(A6850="""","""",INDEX(SPLIT(A6850,"" ""),COUNTA(SPLIT(A6850,"" ""))))"),"Longobucco")</f>
        <v>Longobucco</v>
      </c>
      <c r="C6850" s="6"/>
      <c r="D6850" s="6" t="s">
        <v>6882</v>
      </c>
      <c r="E6850" s="7" t="s">
        <v>6883</v>
      </c>
    </row>
    <row r="6851">
      <c r="A6851" s="4" t="s">
        <v>6948</v>
      </c>
      <c r="B6851" s="5" t="str">
        <f>IFERROR(__xludf.DUMMYFUNCTION("IF(A6851="""","""",INDEX(SPLIT(A6851,"" ""),COUNTA(SPLIT(A6851,"" ""))))"),"Lungro")</f>
        <v>Lungro</v>
      </c>
      <c r="C6851" s="6"/>
      <c r="D6851" s="6" t="s">
        <v>6882</v>
      </c>
      <c r="E6851" s="7" t="s">
        <v>6883</v>
      </c>
    </row>
    <row r="6852">
      <c r="A6852" s="4" t="s">
        <v>6949</v>
      </c>
      <c r="B6852" s="5" t="str">
        <f>IFERROR(__xludf.DUMMYFUNCTION("IF(A6852="""","""",INDEX(SPLIT(A6852,"" ""),COUNTA(SPLIT(A6852,"" ""))))"),"Luzzi")</f>
        <v>Luzzi</v>
      </c>
      <c r="C6852" s="6"/>
      <c r="D6852" s="6" t="s">
        <v>6882</v>
      </c>
      <c r="E6852" s="7" t="s">
        <v>6883</v>
      </c>
    </row>
    <row r="6853">
      <c r="A6853" s="4" t="s">
        <v>6950</v>
      </c>
      <c r="B6853" s="5" t="str">
        <f>IFERROR(__xludf.DUMMYFUNCTION("IF(A6853="""","""",INDEX(SPLIT(A6853,"" ""),COUNTA(SPLIT(A6853,"" ""))))"),"Maierà")</f>
        <v>Maierà</v>
      </c>
      <c r="C6853" s="6"/>
      <c r="D6853" s="6" t="s">
        <v>6882</v>
      </c>
      <c r="E6853" s="7" t="s">
        <v>6883</v>
      </c>
    </row>
    <row r="6854">
      <c r="A6854" s="4" t="s">
        <v>6951</v>
      </c>
      <c r="B6854" s="5" t="str">
        <f>IFERROR(__xludf.DUMMYFUNCTION("IF(A6854="""","""",INDEX(SPLIT(A6854,"" ""),COUNTA(SPLIT(A6854,"" ""))))"),"Malito")</f>
        <v>Malito</v>
      </c>
      <c r="C6854" s="6"/>
      <c r="D6854" s="6" t="s">
        <v>6882</v>
      </c>
      <c r="E6854" s="7" t="s">
        <v>6883</v>
      </c>
    </row>
    <row r="6855">
      <c r="A6855" s="4" t="s">
        <v>6952</v>
      </c>
      <c r="B6855" s="5" t="str">
        <f>IFERROR(__xludf.DUMMYFUNCTION("IF(A6855="""","""",INDEX(SPLIT(A6855,"" ""),COUNTA(SPLIT(A6855,"" ""))))"),"Malvito")</f>
        <v>Malvito</v>
      </c>
      <c r="C6855" s="6"/>
      <c r="D6855" s="6" t="s">
        <v>6882</v>
      </c>
      <c r="E6855" s="7" t="s">
        <v>6883</v>
      </c>
    </row>
    <row r="6856">
      <c r="A6856" s="4" t="s">
        <v>6953</v>
      </c>
      <c r="B6856" s="5" t="str">
        <f>IFERROR(__xludf.DUMMYFUNCTION("IF(A6856="""","""",INDEX(SPLIT(A6856,"" ""),COUNTA(SPLIT(A6856,"" ""))))"),"Mandatoriccio")</f>
        <v>Mandatoriccio</v>
      </c>
      <c r="C6856" s="6"/>
      <c r="D6856" s="6" t="s">
        <v>6882</v>
      </c>
      <c r="E6856" s="7" t="s">
        <v>6883</v>
      </c>
    </row>
    <row r="6857">
      <c r="A6857" s="4" t="s">
        <v>6954</v>
      </c>
      <c r="B6857" s="5" t="str">
        <f>IFERROR(__xludf.DUMMYFUNCTION("IF(A6857="""","""",INDEX(SPLIT(A6857,"" ""),COUNTA(SPLIT(A6857,"" ""))))"),"Mangone")</f>
        <v>Mangone</v>
      </c>
      <c r="C6857" s="6"/>
      <c r="D6857" s="6" t="s">
        <v>6882</v>
      </c>
      <c r="E6857" s="7" t="s">
        <v>6883</v>
      </c>
    </row>
    <row r="6858">
      <c r="A6858" s="4" t="s">
        <v>6955</v>
      </c>
      <c r="B6858" s="5" t="str">
        <f>IFERROR(__xludf.DUMMYFUNCTION("IF(A6858="""","""",INDEX(SPLIT(A6858,"" ""),COUNTA(SPLIT(A6858,"" ""))))"),"Marchesato")</f>
        <v>Marchesato</v>
      </c>
      <c r="C6858" s="6"/>
      <c r="D6858" s="6" t="s">
        <v>6882</v>
      </c>
      <c r="E6858" s="7" t="s">
        <v>6883</v>
      </c>
    </row>
    <row r="6859">
      <c r="A6859" s="4" t="s">
        <v>6956</v>
      </c>
      <c r="B6859" s="5" t="str">
        <f>IFERROR(__xludf.DUMMYFUNCTION("IF(A6859="""","""",INDEX(SPLIT(A6859,"" ""),COUNTA(SPLIT(A6859,"" ""))))"),"Principato")</f>
        <v>Principato</v>
      </c>
      <c r="C6859" s="6"/>
      <c r="D6859" s="6" t="s">
        <v>6882</v>
      </c>
      <c r="E6859" s="7" t="s">
        <v>6883</v>
      </c>
    </row>
    <row r="6860">
      <c r="A6860" s="4" t="s">
        <v>6957</v>
      </c>
      <c r="B6860" s="5" t="str">
        <f>IFERROR(__xludf.DUMMYFUNCTION("IF(A6860="""","""",INDEX(SPLIT(A6860,"" ""),COUNTA(SPLIT(A6860,"" ""))))"),"Marzi")</f>
        <v>Marzi</v>
      </c>
      <c r="C6860" s="6"/>
      <c r="D6860" s="6" t="s">
        <v>6882</v>
      </c>
      <c r="E6860" s="7" t="s">
        <v>6883</v>
      </c>
    </row>
    <row r="6861">
      <c r="A6861" s="4" t="s">
        <v>6958</v>
      </c>
      <c r="B6861" s="5" t="str">
        <f>IFERROR(__xludf.DUMMYFUNCTION("IF(A6861="""","""",INDEX(SPLIT(A6861,"" ""),COUNTA(SPLIT(A6861,"" ""))))"),"Mendicino")</f>
        <v>Mendicino</v>
      </c>
      <c r="C6861" s="6"/>
      <c r="D6861" s="6" t="s">
        <v>6882</v>
      </c>
      <c r="E6861" s="7" t="s">
        <v>6883</v>
      </c>
    </row>
    <row r="6862">
      <c r="A6862" s="4" t="s">
        <v>6959</v>
      </c>
      <c r="B6862" s="5" t="str">
        <f>IFERROR(__xludf.DUMMYFUNCTION("IF(A6862="""","""",INDEX(SPLIT(A6862,"" ""),COUNTA(SPLIT(A6862,"" ""))))"),"Mongrassano")</f>
        <v>Mongrassano</v>
      </c>
      <c r="C6862" s="6"/>
      <c r="D6862" s="6" t="s">
        <v>6882</v>
      </c>
      <c r="E6862" s="7" t="s">
        <v>6883</v>
      </c>
    </row>
    <row r="6863">
      <c r="A6863" s="4" t="s">
        <v>6960</v>
      </c>
      <c r="B6863" s="5" t="str">
        <f>IFERROR(__xludf.DUMMYFUNCTION("IF(A6863="""","""",INDEX(SPLIT(A6863,"" ""),COUNTA(SPLIT(A6863,"" ""))))"),"Uffugo")</f>
        <v>Uffugo</v>
      </c>
      <c r="C6863" s="6"/>
      <c r="D6863" s="6" t="s">
        <v>6882</v>
      </c>
      <c r="E6863" s="7" t="s">
        <v>6883</v>
      </c>
    </row>
    <row r="6864">
      <c r="A6864" s="4" t="s">
        <v>6961</v>
      </c>
      <c r="B6864" s="5" t="str">
        <f>IFERROR(__xludf.DUMMYFUNCTION("IF(A6864="""","""",INDEX(SPLIT(A6864,"" ""),COUNTA(SPLIT(A6864,"" ""))))"),"Montegiordano")</f>
        <v>Montegiordano</v>
      </c>
      <c r="C6864" s="6"/>
      <c r="D6864" s="6" t="s">
        <v>6882</v>
      </c>
      <c r="E6864" s="7" t="s">
        <v>6883</v>
      </c>
    </row>
    <row r="6865">
      <c r="A6865" s="4" t="s">
        <v>6962</v>
      </c>
      <c r="B6865" s="5" t="str">
        <f>IFERROR(__xludf.DUMMYFUNCTION("IF(A6865="""","""",INDEX(SPLIT(A6865,"" ""),COUNTA(SPLIT(A6865,"" ""))))"),"Calabro")</f>
        <v>Calabro</v>
      </c>
      <c r="C6865" s="6"/>
      <c r="D6865" s="6" t="s">
        <v>6882</v>
      </c>
      <c r="E6865" s="7" t="s">
        <v>6883</v>
      </c>
    </row>
    <row r="6866">
      <c r="A6866" s="4" t="s">
        <v>6963</v>
      </c>
      <c r="B6866" s="5" t="str">
        <f>IFERROR(__xludf.DUMMYFUNCTION("IF(A6866="""","""",INDEX(SPLIT(A6866,"" ""),COUNTA(SPLIT(A6866,"" ""))))"),"Mormanno")</f>
        <v>Mormanno</v>
      </c>
      <c r="C6866" s="6"/>
      <c r="D6866" s="6" t="s">
        <v>6882</v>
      </c>
      <c r="E6866" s="7" t="s">
        <v>6883</v>
      </c>
    </row>
    <row r="6867">
      <c r="A6867" s="4" t="s">
        <v>6964</v>
      </c>
      <c r="B6867" s="5" t="str">
        <f>IFERROR(__xludf.DUMMYFUNCTION("IF(A6867="""","""",INDEX(SPLIT(A6867,"" ""),COUNTA(SPLIT(A6867,"" ""))))"),"Mottafollone")</f>
        <v>Mottafollone</v>
      </c>
      <c r="C6867" s="6"/>
      <c r="D6867" s="6" t="s">
        <v>6882</v>
      </c>
      <c r="E6867" s="7" t="s">
        <v>6883</v>
      </c>
    </row>
    <row r="6868">
      <c r="A6868" s="4" t="s">
        <v>6965</v>
      </c>
      <c r="B6868" s="5" t="str">
        <f>IFERROR(__xludf.DUMMYFUNCTION("IF(A6868="""","""",INDEX(SPLIT(A6868,"" ""),COUNTA(SPLIT(A6868,"" ""))))"),"Nocara")</f>
        <v>Nocara</v>
      </c>
      <c r="C6868" s="6"/>
      <c r="D6868" s="6" t="s">
        <v>6882</v>
      </c>
      <c r="E6868" s="7" t="s">
        <v>6883</v>
      </c>
    </row>
    <row r="6869">
      <c r="A6869" s="4" t="s">
        <v>6966</v>
      </c>
      <c r="B6869" s="5" t="str">
        <f>IFERROR(__xludf.DUMMYFUNCTION("IF(A6869="""","""",INDEX(SPLIT(A6869,"" ""),COUNTA(SPLIT(A6869,"" ""))))"),"Oriolo")</f>
        <v>Oriolo</v>
      </c>
      <c r="C6869" s="6"/>
      <c r="D6869" s="6" t="s">
        <v>6882</v>
      </c>
      <c r="E6869" s="7" t="s">
        <v>6883</v>
      </c>
    </row>
    <row r="6870">
      <c r="A6870" s="4" t="s">
        <v>6967</v>
      </c>
      <c r="B6870" s="5" t="str">
        <f>IFERROR(__xludf.DUMMYFUNCTION("IF(A6870="""","""",INDEX(SPLIT(A6870,"" ""),COUNTA(SPLIT(A6870,"" ""))))"),"Orsomarso")</f>
        <v>Orsomarso</v>
      </c>
      <c r="C6870" s="6"/>
      <c r="D6870" s="6" t="s">
        <v>6882</v>
      </c>
      <c r="E6870" s="7" t="s">
        <v>6883</v>
      </c>
    </row>
    <row r="6871">
      <c r="A6871" s="4" t="s">
        <v>6968</v>
      </c>
      <c r="B6871" s="5" t="str">
        <f>IFERROR(__xludf.DUMMYFUNCTION("IF(A6871="""","""",INDEX(SPLIT(A6871,"" ""),COUNTA(SPLIT(A6871,"" ""))))"),"Paludi")</f>
        <v>Paludi</v>
      </c>
      <c r="C6871" s="6"/>
      <c r="D6871" s="6" t="s">
        <v>6882</v>
      </c>
      <c r="E6871" s="7" t="s">
        <v>6883</v>
      </c>
    </row>
    <row r="6872">
      <c r="A6872" s="4" t="s">
        <v>6969</v>
      </c>
      <c r="B6872" s="5" t="str">
        <f>IFERROR(__xludf.DUMMYFUNCTION("IF(A6872="""","""",INDEX(SPLIT(A6872,"" ""),COUNTA(SPLIT(A6872,"" ""))))"),"Panettieri")</f>
        <v>Panettieri</v>
      </c>
      <c r="C6872" s="6"/>
      <c r="D6872" s="6" t="s">
        <v>6882</v>
      </c>
      <c r="E6872" s="7" t="s">
        <v>6883</v>
      </c>
    </row>
    <row r="6873">
      <c r="A6873" s="4" t="s">
        <v>6970</v>
      </c>
      <c r="B6873" s="5" t="str">
        <f>IFERROR(__xludf.DUMMYFUNCTION("IF(A6873="""","""",INDEX(SPLIT(A6873,"" ""),COUNTA(SPLIT(A6873,"" ""))))"),"Paola")</f>
        <v>Paola</v>
      </c>
      <c r="C6873" s="6"/>
      <c r="D6873" s="6" t="s">
        <v>6882</v>
      </c>
      <c r="E6873" s="7" t="s">
        <v>6883</v>
      </c>
    </row>
    <row r="6874">
      <c r="A6874" s="4" t="s">
        <v>6971</v>
      </c>
      <c r="B6874" s="5" t="str">
        <f>IFERROR(__xludf.DUMMYFUNCTION("IF(A6874="""","""",INDEX(SPLIT(A6874,"" ""),COUNTA(SPLIT(A6874,"" ""))))"),"Papasidero")</f>
        <v>Papasidero</v>
      </c>
      <c r="C6874" s="6"/>
      <c r="D6874" s="6" t="s">
        <v>6882</v>
      </c>
      <c r="E6874" s="7" t="s">
        <v>6883</v>
      </c>
    </row>
    <row r="6875">
      <c r="A6875" s="4" t="s">
        <v>6972</v>
      </c>
      <c r="B6875" s="5" t="str">
        <f>IFERROR(__xludf.DUMMYFUNCTION("IF(A6875="""","""",INDEX(SPLIT(A6875,"" ""),COUNTA(SPLIT(A6875,"" ""))))"),"Parenti")</f>
        <v>Parenti</v>
      </c>
      <c r="C6875" s="6"/>
      <c r="D6875" s="6" t="s">
        <v>6882</v>
      </c>
      <c r="E6875" s="7" t="s">
        <v>6883</v>
      </c>
    </row>
    <row r="6876">
      <c r="A6876" s="4" t="s">
        <v>6973</v>
      </c>
      <c r="B6876" s="5" t="str">
        <f>IFERROR(__xludf.DUMMYFUNCTION("IF(A6876="""","""",INDEX(SPLIT(A6876,"" ""),COUNTA(SPLIT(A6876,"" ""))))"),"Calabro")</f>
        <v>Calabro</v>
      </c>
      <c r="C6876" s="6"/>
      <c r="D6876" s="6" t="s">
        <v>6882</v>
      </c>
      <c r="E6876" s="7" t="s">
        <v>6883</v>
      </c>
    </row>
    <row r="6877">
      <c r="A6877" s="4" t="s">
        <v>6974</v>
      </c>
      <c r="B6877" s="5" t="str">
        <f>IFERROR(__xludf.DUMMYFUNCTION("IF(A6877="""","""",INDEX(SPLIT(A6877,"" ""),COUNTA(SPLIT(A6877,"" ""))))"),"Pedivigliano")</f>
        <v>Pedivigliano</v>
      </c>
      <c r="C6877" s="6"/>
      <c r="D6877" s="6" t="s">
        <v>6882</v>
      </c>
      <c r="E6877" s="7" t="s">
        <v>6883</v>
      </c>
    </row>
    <row r="6878">
      <c r="A6878" s="4" t="s">
        <v>6975</v>
      </c>
      <c r="B6878" s="5" t="str">
        <f>IFERROR(__xludf.DUMMYFUNCTION("IF(A6878="""","""",INDEX(SPLIT(A6878,"" ""),COUNTA(SPLIT(A6878,"" ""))))"),"Crati")</f>
        <v>Crati</v>
      </c>
      <c r="C6878" s="6"/>
      <c r="D6878" s="6" t="s">
        <v>6882</v>
      </c>
      <c r="E6878" s="7" t="s">
        <v>6883</v>
      </c>
    </row>
    <row r="6879">
      <c r="A6879" s="4" t="s">
        <v>6976</v>
      </c>
      <c r="B6879" s="5" t="str">
        <f>IFERROR(__xludf.DUMMYFUNCTION("IF(A6879="""","""",INDEX(SPLIT(A6879,"" ""),COUNTA(SPLIT(A6879,"" ""))))"),"Pietrafitta")</f>
        <v>Pietrafitta</v>
      </c>
      <c r="C6879" s="6"/>
      <c r="D6879" s="6" t="s">
        <v>6882</v>
      </c>
      <c r="E6879" s="7" t="s">
        <v>6883</v>
      </c>
    </row>
    <row r="6880">
      <c r="A6880" s="4" t="s">
        <v>6977</v>
      </c>
      <c r="B6880" s="5" t="str">
        <f>IFERROR(__xludf.DUMMYFUNCTION("IF(A6880="""","""",INDEX(SPLIT(A6880,"" ""),COUNTA(SPLIT(A6880,"" ""))))"),"Pietrapaola")</f>
        <v>Pietrapaola</v>
      </c>
      <c r="C6880" s="6"/>
      <c r="D6880" s="6" t="s">
        <v>6882</v>
      </c>
      <c r="E6880" s="7" t="s">
        <v>6883</v>
      </c>
    </row>
    <row r="6881">
      <c r="A6881" s="4" t="s">
        <v>6978</v>
      </c>
      <c r="B6881" s="5" t="str">
        <f>IFERROR(__xludf.DUMMYFUNCTION("IF(A6881="""","""",INDEX(SPLIT(A6881,"" ""),COUNTA(SPLIT(A6881,"" ""))))"),"Plataci")</f>
        <v>Plataci</v>
      </c>
      <c r="C6881" s="6"/>
      <c r="D6881" s="6" t="s">
        <v>6882</v>
      </c>
      <c r="E6881" s="7" t="s">
        <v>6883</v>
      </c>
    </row>
    <row r="6882">
      <c r="A6882" s="4" t="s">
        <v>6979</v>
      </c>
      <c r="B6882" s="5" t="str">
        <f>IFERROR(__xludf.DUMMYFUNCTION("IF(A6882="""","""",INDEX(SPLIT(A6882,"" ""),COUNTA(SPLIT(A6882,"" ""))))"),"Mare")</f>
        <v>Mare</v>
      </c>
      <c r="C6882" s="6"/>
      <c r="D6882" s="6" t="s">
        <v>6882</v>
      </c>
      <c r="E6882" s="7" t="s">
        <v>6883</v>
      </c>
    </row>
    <row r="6883">
      <c r="A6883" s="4" t="s">
        <v>6980</v>
      </c>
      <c r="B6883" s="5" t="str">
        <f>IFERROR(__xludf.DUMMYFUNCTION("IF(A6883="""","""",INDEX(SPLIT(A6883,"" ""),COUNTA(SPLIT(A6883,"" ""))))"),"Rende")</f>
        <v>Rende</v>
      </c>
      <c r="C6883" s="6"/>
      <c r="D6883" s="6" t="s">
        <v>6882</v>
      </c>
      <c r="E6883" s="7" t="s">
        <v>6883</v>
      </c>
    </row>
    <row r="6884">
      <c r="A6884" s="4" t="s">
        <v>6981</v>
      </c>
      <c r="B6884" s="5" t="str">
        <f>IFERROR(__xludf.DUMMYFUNCTION("IF(A6884="""","""",INDEX(SPLIT(A6884,"" ""),COUNTA(SPLIT(A6884,"" ""))))"),"Imperiale")</f>
        <v>Imperiale</v>
      </c>
      <c r="C6884" s="6"/>
      <c r="D6884" s="6" t="s">
        <v>6882</v>
      </c>
      <c r="E6884" s="7" t="s">
        <v>6883</v>
      </c>
    </row>
    <row r="6885">
      <c r="A6885" s="4" t="s">
        <v>6982</v>
      </c>
      <c r="B6885" s="5" t="str">
        <f>IFERROR(__xludf.DUMMYFUNCTION("IF(A6885="""","""",INDEX(SPLIT(A6885,"" ""),COUNTA(SPLIT(A6885,"" ""))))"),"Gravina")</f>
        <v>Gravina</v>
      </c>
      <c r="C6885" s="6"/>
      <c r="D6885" s="6" t="s">
        <v>6882</v>
      </c>
      <c r="E6885" s="7" t="s">
        <v>6883</v>
      </c>
    </row>
    <row r="6886">
      <c r="A6886" s="4" t="s">
        <v>6983</v>
      </c>
      <c r="B6886" s="5" t="str">
        <f>IFERROR(__xludf.DUMMYFUNCTION("IF(A6886="""","""",INDEX(SPLIT(A6886,"" ""),COUNTA(SPLIT(A6886,"" ""))))"),"Rogliano")</f>
        <v>Rogliano</v>
      </c>
      <c r="C6886" s="6"/>
      <c r="D6886" s="6" t="s">
        <v>6882</v>
      </c>
      <c r="E6886" s="7" t="s">
        <v>6883</v>
      </c>
    </row>
    <row r="6887">
      <c r="A6887" s="4" t="s">
        <v>6984</v>
      </c>
      <c r="B6887" s="5" t="str">
        <f>IFERROR(__xludf.DUMMYFUNCTION("IF(A6887="""","""",INDEX(SPLIT(A6887,"" ""),COUNTA(SPLIT(A6887,"" ""))))"),"Rose")</f>
        <v>Rose</v>
      </c>
      <c r="C6887" s="6"/>
      <c r="D6887" s="6" t="s">
        <v>6882</v>
      </c>
      <c r="E6887" s="7" t="s">
        <v>6883</v>
      </c>
    </row>
    <row r="6888">
      <c r="A6888" s="4" t="s">
        <v>6985</v>
      </c>
      <c r="B6888" s="5" t="str">
        <f>IFERROR(__xludf.DUMMYFUNCTION("IF(A6888="""","""",INDEX(SPLIT(A6888,"" ""),COUNTA(SPLIT(A6888,"" ""))))"),"Spulico")</f>
        <v>Spulico</v>
      </c>
      <c r="C6888" s="6"/>
      <c r="D6888" s="6" t="s">
        <v>6882</v>
      </c>
      <c r="E6888" s="7" t="s">
        <v>6883</v>
      </c>
    </row>
    <row r="6889">
      <c r="A6889" s="4" t="s">
        <v>6986</v>
      </c>
      <c r="B6889" s="5" t="str">
        <f>IFERROR(__xludf.DUMMYFUNCTION("IF(A6889="""","""",INDEX(SPLIT(A6889,"" ""),COUNTA(SPLIT(A6889,"" ""))))"),"Greca")</f>
        <v>Greca</v>
      </c>
      <c r="C6889" s="6"/>
      <c r="D6889" s="6" t="s">
        <v>6882</v>
      </c>
      <c r="E6889" s="7" t="s">
        <v>6883</v>
      </c>
    </row>
    <row r="6890">
      <c r="A6890" s="4" t="s">
        <v>6987</v>
      </c>
      <c r="B6890" s="5" t="str">
        <f>IFERROR(__xludf.DUMMYFUNCTION("IF(A6890="""","""",INDEX(SPLIT(A6890,"" ""),COUNTA(SPLIT(A6890,"" ""))))"),"Rovito")</f>
        <v>Rovito</v>
      </c>
      <c r="C6890" s="6"/>
      <c r="D6890" s="6" t="s">
        <v>6882</v>
      </c>
      <c r="E6890" s="7" t="s">
        <v>6883</v>
      </c>
    </row>
    <row r="6891">
      <c r="A6891" s="4" t="s">
        <v>6988</v>
      </c>
      <c r="B6891" s="5" t="str">
        <f>IFERROR(__xludf.DUMMYFUNCTION("IF(A6891="""","""",INDEX(SPLIT(A6891,"" ""),COUNTA(SPLIT(A6891,"" ""))))"),"Basile")</f>
        <v>Basile</v>
      </c>
      <c r="C6891" s="6"/>
      <c r="D6891" s="6" t="s">
        <v>6882</v>
      </c>
      <c r="E6891" s="7" t="s">
        <v>6883</v>
      </c>
    </row>
    <row r="6892">
      <c r="A6892" s="4" t="s">
        <v>6989</v>
      </c>
      <c r="B6892" s="5" t="str">
        <f>IFERROR(__xludf.DUMMYFUNCTION("IF(A6892="""","""",INDEX(SPLIT(A6892,"" ""),COUNTA(SPLIT(A6892,"" ""))))"),"Ullano")</f>
        <v>Ullano</v>
      </c>
      <c r="C6892" s="6"/>
      <c r="D6892" s="6" t="s">
        <v>6882</v>
      </c>
      <c r="E6892" s="7" t="s">
        <v>6883</v>
      </c>
    </row>
    <row r="6893">
      <c r="A6893" s="4" t="s">
        <v>6990</v>
      </c>
      <c r="B6893" s="5" t="str">
        <f>IFERROR(__xludf.DUMMYFUNCTION("IF(A6893="""","""",INDEX(SPLIT(A6893,"" ""),COUNTA(SPLIT(A6893,"" ""))))"),"Albanese")</f>
        <v>Albanese</v>
      </c>
      <c r="C6893" s="6"/>
      <c r="D6893" s="6" t="s">
        <v>6882</v>
      </c>
      <c r="E6893" s="7" t="s">
        <v>6883</v>
      </c>
    </row>
    <row r="6894">
      <c r="A6894" s="4" t="s">
        <v>6991</v>
      </c>
      <c r="B6894" s="5" t="str">
        <f>IFERROR(__xludf.DUMMYFUNCTION("IF(A6894="""","""",INDEX(SPLIT(A6894,"" ""),COUNTA(SPLIT(A6894,"" ""))))"),"Corone")</f>
        <v>Corone</v>
      </c>
      <c r="C6894" s="6"/>
      <c r="D6894" s="6" t="s">
        <v>6882</v>
      </c>
      <c r="E6894" s="7" t="s">
        <v>6883</v>
      </c>
    </row>
    <row r="6895">
      <c r="A6895" s="4" t="s">
        <v>6992</v>
      </c>
      <c r="B6895" s="5" t="str">
        <f>IFERROR(__xludf.DUMMYFUNCTION("IF(A6895="""","""",INDEX(SPLIT(A6895,"" ""),COUNTA(SPLIT(A6895,"" ""))))"),"Ninea")</f>
        <v>Ninea</v>
      </c>
      <c r="C6895" s="6"/>
      <c r="D6895" s="6" t="s">
        <v>6882</v>
      </c>
      <c r="E6895" s="7" t="s">
        <v>6883</v>
      </c>
    </row>
    <row r="6896">
      <c r="A6896" s="4" t="s">
        <v>6993</v>
      </c>
      <c r="B6896" s="5" t="str">
        <f>IFERROR(__xludf.DUMMYFUNCTION("IF(A6896="""","""",INDEX(SPLIT(A6896,"" ""),COUNTA(SPLIT(A6896,"" ""))))"),"Fili")</f>
        <v>Fili</v>
      </c>
      <c r="C6896" s="6"/>
      <c r="D6896" s="6" t="s">
        <v>6882</v>
      </c>
      <c r="E6896" s="7" t="s">
        <v>6883</v>
      </c>
    </row>
    <row r="6897">
      <c r="A6897" s="4" t="s">
        <v>6994</v>
      </c>
      <c r="B6897" s="5" t="str">
        <f>IFERROR(__xludf.DUMMYFUNCTION("IF(A6897="""","""",INDEX(SPLIT(A6897,"" ""),COUNTA(SPLIT(A6897,"" ""))))"),"Sangineto")</f>
        <v>Sangineto</v>
      </c>
      <c r="C6897" s="6"/>
      <c r="D6897" s="6" t="s">
        <v>6882</v>
      </c>
      <c r="E6897" s="7" t="s">
        <v>6883</v>
      </c>
    </row>
    <row r="6898">
      <c r="A6898" s="4" t="s">
        <v>6995</v>
      </c>
      <c r="B6898" s="5" t="str">
        <f>IFERROR(__xludf.DUMMYFUNCTION("IF(A6898="""","""",INDEX(SPLIT(A6898,"" ""),COUNTA(SPLIT(A6898,"" ""))))"),"Albanese")</f>
        <v>Albanese</v>
      </c>
      <c r="C6898" s="6"/>
      <c r="D6898" s="6" t="s">
        <v>6882</v>
      </c>
      <c r="E6898" s="7" t="s">
        <v>6883</v>
      </c>
    </row>
    <row r="6899">
      <c r="A6899" s="4" t="s">
        <v>6996</v>
      </c>
      <c r="B6899" s="5" t="str">
        <f>IFERROR(__xludf.DUMMYFUNCTION("IF(A6899="""","""",INDEX(SPLIT(A6899,"" ""),COUNTA(SPLIT(A6899,"" ""))))"),"Fiore")</f>
        <v>Fiore</v>
      </c>
      <c r="C6899" s="6"/>
      <c r="D6899" s="6" t="s">
        <v>6882</v>
      </c>
      <c r="E6899" s="7" t="s">
        <v>6883</v>
      </c>
    </row>
    <row r="6900">
      <c r="A6900" s="4" t="s">
        <v>6997</v>
      </c>
      <c r="B6900" s="5" t="str">
        <f>IFERROR(__xludf.DUMMYFUNCTION("IF(A6900="""","""",INDEX(SPLIT(A6900,"" ""),COUNTA(SPLIT(A6900,"" ""))))"),"Bellizzi")</f>
        <v>Bellizzi</v>
      </c>
      <c r="C6900" s="6"/>
      <c r="D6900" s="6" t="s">
        <v>6882</v>
      </c>
      <c r="E6900" s="7" t="s">
        <v>6883</v>
      </c>
    </row>
    <row r="6901">
      <c r="A6901" s="4" t="s">
        <v>6998</v>
      </c>
      <c r="B6901" s="5" t="str">
        <f>IFERROR(__xludf.DUMMYFUNCTION("IF(A6901="""","""",INDEX(SPLIT(A6901,"" ""),COUNTA(SPLIT(A6901,"" ""))))"),"Vallo")</f>
        <v>Vallo</v>
      </c>
      <c r="C6901" s="6"/>
      <c r="D6901" s="6" t="s">
        <v>6882</v>
      </c>
      <c r="E6901" s="7" t="s">
        <v>6883</v>
      </c>
    </row>
    <row r="6902">
      <c r="A6902" s="4" t="s">
        <v>6999</v>
      </c>
      <c r="B6902" s="5" t="str">
        <f>IFERROR(__xludf.DUMMYFUNCTION("IF(A6902="""","""",INDEX(SPLIT(A6902,"" ""),COUNTA(SPLIT(A6902,"" ""))))"),"Lucido")</f>
        <v>Lucido</v>
      </c>
      <c r="C6902" s="6"/>
      <c r="D6902" s="6" t="s">
        <v>6882</v>
      </c>
      <c r="E6902" s="7" t="s">
        <v>6883</v>
      </c>
    </row>
    <row r="6903">
      <c r="A6903" s="4" t="s">
        <v>7000</v>
      </c>
      <c r="B6903" s="5" t="str">
        <f>IFERROR(__xludf.DUMMYFUNCTION("IF(A6903="""","""",INDEX(SPLIT(A6903,"" ""),COUNTA(SPLIT(A6903,"" ""))))"),"Argentano")</f>
        <v>Argentano</v>
      </c>
      <c r="C6903" s="6"/>
      <c r="D6903" s="6" t="s">
        <v>6882</v>
      </c>
      <c r="E6903" s="7" t="s">
        <v>6883</v>
      </c>
    </row>
    <row r="6904">
      <c r="A6904" s="4" t="s">
        <v>7001</v>
      </c>
      <c r="B6904" s="5" t="str">
        <f>IFERROR(__xludf.DUMMYFUNCTION("IF(A6904="""","""",INDEX(SPLIT(A6904,"" ""),COUNTA(SPLIT(A6904,"" ""))))"),"Finita")</f>
        <v>Finita</v>
      </c>
      <c r="C6904" s="6"/>
      <c r="D6904" s="6" t="s">
        <v>6882</v>
      </c>
      <c r="E6904" s="7" t="s">
        <v>6883</v>
      </c>
    </row>
    <row r="6905">
      <c r="A6905" s="4" t="s">
        <v>7002</v>
      </c>
      <c r="B6905" s="5" t="str">
        <f>IFERROR(__xludf.DUMMYFUNCTION("IF(A6905="""","""",INDEX(SPLIT(A6905,"" ""),COUNTA(SPLIT(A6905,"" ""))))"),"Arcella")</f>
        <v>Arcella</v>
      </c>
      <c r="C6905" s="6"/>
      <c r="D6905" s="6" t="s">
        <v>6882</v>
      </c>
      <c r="E6905" s="7" t="s">
        <v>6883</v>
      </c>
    </row>
    <row r="6906">
      <c r="A6906" s="4" t="s">
        <v>7003</v>
      </c>
      <c r="B6906" s="5" t="str">
        <f>IFERROR(__xludf.DUMMYFUNCTION("IF(A6906="""","""",INDEX(SPLIT(A6906,"" ""),COUNTA(SPLIT(A6906,"" ""))))"),"Amantea")</f>
        <v>Amantea</v>
      </c>
      <c r="C6906" s="6"/>
      <c r="D6906" s="6" t="s">
        <v>6882</v>
      </c>
      <c r="E6906" s="7" t="s">
        <v>6883</v>
      </c>
    </row>
    <row r="6907">
      <c r="A6907" s="4" t="s">
        <v>7004</v>
      </c>
      <c r="B6907" s="5" t="str">
        <f>IFERROR(__xludf.DUMMYFUNCTION("IF(A6907="""","""",INDEX(SPLIT(A6907,"" ""),COUNTA(SPLIT(A6907,"" ""))))"),"Guarano")</f>
        <v>Guarano</v>
      </c>
      <c r="C6907" s="6"/>
      <c r="D6907" s="6" t="s">
        <v>6882</v>
      </c>
      <c r="E6907" s="7" t="s">
        <v>6883</v>
      </c>
    </row>
    <row r="6908">
      <c r="A6908" s="4" t="s">
        <v>7005</v>
      </c>
      <c r="B6908" s="5" t="str">
        <f>IFERROR(__xludf.DUMMYFUNCTION("IF(A6908="""","""",INDEX(SPLIT(A6908,"" ""),COUNTA(SPLIT(A6908,"" ""))))"),"Sosti")</f>
        <v>Sosti</v>
      </c>
      <c r="C6908" s="6"/>
      <c r="D6908" s="6" t="s">
        <v>6882</v>
      </c>
      <c r="E6908" s="7" t="s">
        <v>6883</v>
      </c>
    </row>
    <row r="6909">
      <c r="A6909" s="4" t="s">
        <v>7006</v>
      </c>
      <c r="B6909" s="5" t="str">
        <f>IFERROR(__xludf.DUMMYFUNCTION("IF(A6909="""","""",INDEX(SPLIT(A6909,"" ""),COUNTA(SPLIT(A6909,"" ""))))"),"Albanese")</f>
        <v>Albanese</v>
      </c>
      <c r="C6909" s="6"/>
      <c r="D6909" s="6" t="s">
        <v>6882</v>
      </c>
      <c r="E6909" s="7" t="s">
        <v>6883</v>
      </c>
    </row>
    <row r="6910">
      <c r="A6910" s="4" t="s">
        <v>7007</v>
      </c>
      <c r="B6910" s="5" t="str">
        <f>IFERROR(__xludf.DUMMYFUNCTION("IF(A6910="""","""",INDEX(SPLIT(A6910,"" ""),COUNTA(SPLIT(A6910,"" ""))))"),"Talao")</f>
        <v>Talao</v>
      </c>
      <c r="C6910" s="6"/>
      <c r="D6910" s="6" t="s">
        <v>6882</v>
      </c>
      <c r="E6910" s="7" t="s">
        <v>6883</v>
      </c>
    </row>
    <row r="6911">
      <c r="A6911" s="4" t="s">
        <v>7008</v>
      </c>
      <c r="B6911" s="5" t="str">
        <f>IFERROR(__xludf.DUMMYFUNCTION("IF(A6911="""","""",INDEX(SPLIT(A6911,"" ""),COUNTA(SPLIT(A6911,"" ""))))"),"Esaro")</f>
        <v>Esaro</v>
      </c>
      <c r="C6911" s="6"/>
      <c r="D6911" s="6" t="s">
        <v>6882</v>
      </c>
      <c r="E6911" s="7" t="s">
        <v>6883</v>
      </c>
    </row>
    <row r="6912">
      <c r="A6912" s="4" t="s">
        <v>7009</v>
      </c>
      <c r="B6912" s="5" t="str">
        <f>IFERROR(__xludf.DUMMYFUNCTION("IF(A6912="""","""",INDEX(SPLIT(A6912,"" ""),COUNTA(SPLIT(A6912,"" ""))))"),"Cedro")</f>
        <v>Cedro</v>
      </c>
      <c r="C6912" s="6"/>
      <c r="D6912" s="6" t="s">
        <v>6882</v>
      </c>
      <c r="E6912" s="7" t="s">
        <v>6883</v>
      </c>
    </row>
    <row r="6913">
      <c r="A6913" s="4" t="s">
        <v>7010</v>
      </c>
      <c r="B6913" s="5" t="str">
        <f>IFERROR(__xludf.DUMMYFUNCTION("IF(A6913="""","""",INDEX(SPLIT(A6913,"" ""),COUNTA(SPLIT(A6913,"" ""))))"),"d'Epiro")</f>
        <v>d'Epiro</v>
      </c>
      <c r="C6913" s="6"/>
      <c r="D6913" s="6" t="s">
        <v>6882</v>
      </c>
      <c r="E6913" s="7" t="s">
        <v>6883</v>
      </c>
    </row>
    <row r="6914">
      <c r="A6914" s="4" t="s">
        <v>7011</v>
      </c>
      <c r="B6914" s="5" t="str">
        <f>IFERROR(__xludf.DUMMYFUNCTION("IF(A6914="""","""",INDEX(SPLIT(A6914,"" ""),COUNTA(SPLIT(A6914,"" ""))))"),"Rogliano")</f>
        <v>Rogliano</v>
      </c>
      <c r="C6914" s="6"/>
      <c r="D6914" s="6" t="s">
        <v>6882</v>
      </c>
      <c r="E6914" s="7" t="s">
        <v>6883</v>
      </c>
    </row>
    <row r="6915">
      <c r="A6915" s="4" t="s">
        <v>7012</v>
      </c>
      <c r="B6915" s="5" t="str">
        <f>IFERROR(__xludf.DUMMYFUNCTION("IF(A6915="""","""",INDEX(SPLIT(A6915,"" ""),COUNTA(SPLIT(A6915,"" ""))))"),"Costa")</f>
        <v>Costa</v>
      </c>
      <c r="C6915" s="6"/>
      <c r="D6915" s="6" t="s">
        <v>6882</v>
      </c>
      <c r="E6915" s="7" t="s">
        <v>6883</v>
      </c>
    </row>
    <row r="6916">
      <c r="A6916" s="4" t="s">
        <v>7013</v>
      </c>
      <c r="B6916" s="5" t="str">
        <f>IFERROR(__xludf.DUMMYFUNCTION("IF(A6916="""","""",INDEX(SPLIT(A6916,"" ""),COUNTA(SPLIT(A6916,"" ""))))"),"Saracena")</f>
        <v>Saracena</v>
      </c>
      <c r="C6916" s="6"/>
      <c r="D6916" s="6" t="s">
        <v>6882</v>
      </c>
      <c r="E6916" s="7" t="s">
        <v>6883</v>
      </c>
    </row>
    <row r="6917">
      <c r="A6917" s="4" t="s">
        <v>7014</v>
      </c>
      <c r="B6917" s="5" t="str">
        <f>IFERROR(__xludf.DUMMYFUNCTION("IF(A6917="""","""",INDEX(SPLIT(A6917,"" ""),COUNTA(SPLIT(A6917,"" ""))))"),"Coeli")</f>
        <v>Coeli</v>
      </c>
      <c r="C6917" s="6"/>
      <c r="D6917" s="6" t="s">
        <v>6882</v>
      </c>
      <c r="E6917" s="7" t="s">
        <v>6883</v>
      </c>
    </row>
    <row r="6918">
      <c r="A6918" s="4" t="s">
        <v>7015</v>
      </c>
      <c r="B6918" s="5" t="str">
        <f>IFERROR(__xludf.DUMMYFUNCTION("IF(A6918="""","""",INDEX(SPLIT(A6918,"" ""),COUNTA(SPLIT(A6918,"" ""))))"),"Scalea")</f>
        <v>Scalea</v>
      </c>
      <c r="C6918" s="6"/>
      <c r="D6918" s="6" t="s">
        <v>6882</v>
      </c>
      <c r="E6918" s="7" t="s">
        <v>6883</v>
      </c>
    </row>
    <row r="6919">
      <c r="A6919" s="4" t="s">
        <v>7016</v>
      </c>
      <c r="B6919" s="5" t="str">
        <f>IFERROR(__xludf.DUMMYFUNCTION("IF(A6919="""","""",INDEX(SPLIT(A6919,"" ""),COUNTA(SPLIT(A6919,"" ""))))"),"Scigliano")</f>
        <v>Scigliano</v>
      </c>
      <c r="C6919" s="6"/>
      <c r="D6919" s="6" t="s">
        <v>6882</v>
      </c>
      <c r="E6919" s="7" t="s">
        <v>6883</v>
      </c>
    </row>
    <row r="6920">
      <c r="A6920" s="4" t="s">
        <v>7017</v>
      </c>
      <c r="B6920" s="5" t="str">
        <f>IFERROR(__xludf.DUMMYFUNCTION("IF(A6920="""","""",INDEX(SPLIT(A6920,"" ""),COUNTA(SPLIT(A6920,"" ""))))"),"d'Aiello")</f>
        <v>d'Aiello</v>
      </c>
      <c r="C6920" s="6"/>
      <c r="D6920" s="6" t="s">
        <v>6882</v>
      </c>
      <c r="E6920" s="7" t="s">
        <v>6883</v>
      </c>
    </row>
    <row r="6921">
      <c r="A6921" s="4" t="s">
        <v>7018</v>
      </c>
      <c r="B6921" s="5" t="str">
        <f>IFERROR(__xludf.DUMMYFUNCTION("IF(A6921="""","""",INDEX(SPLIT(A6921,"" ""),COUNTA(SPLIT(A6921,"" ""))))"),"Albanese")</f>
        <v>Albanese</v>
      </c>
      <c r="C6921" s="6"/>
      <c r="D6921" s="6" t="s">
        <v>6882</v>
      </c>
      <c r="E6921" s="7" t="s">
        <v>6883</v>
      </c>
    </row>
    <row r="6922">
      <c r="A6922" s="4" t="s">
        <v>7019</v>
      </c>
      <c r="B6922" s="5" t="str">
        <f>IFERROR(__xludf.DUMMYFUNCTION("IF(A6922="""","""",INDEX(SPLIT(A6922,"" ""),COUNTA(SPLIT(A6922,"" ""))))"),"Sila")</f>
        <v>Sila</v>
      </c>
      <c r="C6922" s="6"/>
      <c r="D6922" s="6" t="s">
        <v>6882</v>
      </c>
      <c r="E6922" s="7" t="s">
        <v>6883</v>
      </c>
    </row>
    <row r="6923">
      <c r="A6923" s="4" t="s">
        <v>7020</v>
      </c>
      <c r="B6923" s="5" t="str">
        <f>IFERROR(__xludf.DUMMYFUNCTION("IF(A6923="""","""",INDEX(SPLIT(A6923,"" ""),COUNTA(SPLIT(A6923,"" ""))))"),"Tarsia")</f>
        <v>Tarsia</v>
      </c>
      <c r="C6923" s="6"/>
      <c r="D6923" s="6" t="s">
        <v>6882</v>
      </c>
      <c r="E6923" s="7" t="s">
        <v>6883</v>
      </c>
    </row>
    <row r="6924">
      <c r="A6924" s="4" t="s">
        <v>7021</v>
      </c>
      <c r="B6924" s="5" t="str">
        <f>IFERROR(__xludf.DUMMYFUNCTION("IF(A6924="""","""",INDEX(SPLIT(A6924,"" ""),COUNTA(SPLIT(A6924,"" ""))))"),"Sibari")</f>
        <v>Sibari</v>
      </c>
      <c r="C6924" s="6"/>
      <c r="D6924" s="6" t="s">
        <v>6882</v>
      </c>
      <c r="E6924" s="7" t="s">
        <v>6883</v>
      </c>
    </row>
    <row r="6925">
      <c r="A6925" s="4" t="s">
        <v>7022</v>
      </c>
      <c r="B6925" s="5" t="str">
        <f>IFERROR(__xludf.DUMMYFUNCTION("IF(A6925="""","""",INDEX(SPLIT(A6925,"" ""),COUNTA(SPLIT(A6925,"" ""))))"),"Terravecchia")</f>
        <v>Terravecchia</v>
      </c>
      <c r="C6925" s="6"/>
      <c r="D6925" s="6" t="s">
        <v>6882</v>
      </c>
      <c r="E6925" s="7" t="s">
        <v>6883</v>
      </c>
    </row>
    <row r="6926">
      <c r="A6926" s="4" t="s">
        <v>7023</v>
      </c>
      <c r="B6926" s="5" t="str">
        <f>IFERROR(__xludf.DUMMYFUNCTION("IF(A6926="""","""",INDEX(SPLIT(A6926,"" ""),COUNTA(SPLIT(A6926,"" ""))))"),"Castello")</f>
        <v>Castello</v>
      </c>
      <c r="C6926" s="6"/>
      <c r="D6926" s="6" t="s">
        <v>6882</v>
      </c>
      <c r="E6926" s="7" t="s">
        <v>6883</v>
      </c>
    </row>
    <row r="6927">
      <c r="A6927" s="4" t="s">
        <v>7024</v>
      </c>
      <c r="B6927" s="5" t="str">
        <f>IFERROR(__xludf.DUMMYFUNCTION("IF(A6927="""","""",INDEX(SPLIT(A6927,"" ""),COUNTA(SPLIT(A6927,"" ""))))"),"Tortora")</f>
        <v>Tortora</v>
      </c>
      <c r="C6927" s="6"/>
      <c r="D6927" s="6" t="s">
        <v>6882</v>
      </c>
      <c r="E6927" s="7" t="s">
        <v>6883</v>
      </c>
    </row>
    <row r="6928">
      <c r="A6928" s="4" t="s">
        <v>7025</v>
      </c>
      <c r="B6928" s="5" t="str">
        <f>IFERROR(__xludf.DUMMYFUNCTION("IF(A6928="""","""",INDEX(SPLIT(A6928,"" ""),COUNTA(SPLIT(A6928,"" ""))))"),"Trebisacce")</f>
        <v>Trebisacce</v>
      </c>
      <c r="C6928" s="6"/>
      <c r="D6928" s="6" t="s">
        <v>6882</v>
      </c>
      <c r="E6928" s="7" t="s">
        <v>6883</v>
      </c>
    </row>
    <row r="6929">
      <c r="A6929" s="4" t="s">
        <v>7026</v>
      </c>
      <c r="B6929" s="5" t="str">
        <f>IFERROR(__xludf.DUMMYFUNCTION("IF(A6929="""","""",INDEX(SPLIT(A6929,"" ""),COUNTA(SPLIT(A6929,"" ""))))"),"Albanese")</f>
        <v>Albanese</v>
      </c>
      <c r="C6929" s="6"/>
      <c r="D6929" s="6" t="s">
        <v>6882</v>
      </c>
      <c r="E6929" s="7" t="s">
        <v>6883</v>
      </c>
    </row>
    <row r="6930">
      <c r="A6930" s="4" t="s">
        <v>7027</v>
      </c>
      <c r="B6930" s="5" t="str">
        <f>IFERROR(__xludf.DUMMYFUNCTION("IF(A6930="""","""",INDEX(SPLIT(A6930,"" ""),COUNTA(SPLIT(A6930,"" ""))))"),"Verbicaro")</f>
        <v>Verbicaro</v>
      </c>
      <c r="C6930" s="6"/>
      <c r="D6930" s="6" t="s">
        <v>6882</v>
      </c>
      <c r="E6930" s="7" t="s">
        <v>6883</v>
      </c>
    </row>
    <row r="6931">
      <c r="A6931" s="4" t="s">
        <v>7028</v>
      </c>
      <c r="B6931" s="5" t="str">
        <f>IFERROR(__xludf.DUMMYFUNCTION("IF(A6931="""","""",INDEX(SPLIT(A6931,"" ""),COUNTA(SPLIT(A6931,"" ""))))"),"Villapiana")</f>
        <v>Villapiana</v>
      </c>
      <c r="C6931" s="6"/>
      <c r="D6931" s="6" t="s">
        <v>6882</v>
      </c>
      <c r="E6931" s="7" t="s">
        <v>6883</v>
      </c>
    </row>
    <row r="6932">
      <c r="A6932" s="4" t="s">
        <v>7029</v>
      </c>
      <c r="B6932" s="5" t="str">
        <f>IFERROR(__xludf.DUMMYFUNCTION("IF(A6932="""","""",INDEX(SPLIT(A6932,"" ""),COUNTA(SPLIT(A6932,"" ""))))"),"Zumpano")</f>
        <v>Zumpano</v>
      </c>
      <c r="C6932" s="6"/>
      <c r="D6932" s="6" t="s">
        <v>6882</v>
      </c>
      <c r="E6932" s="7" t="s">
        <v>6883</v>
      </c>
    </row>
    <row r="6933">
      <c r="A6933" s="4" t="s">
        <v>7030</v>
      </c>
      <c r="B6933" s="5" t="str">
        <f>IFERROR(__xludf.DUMMYFUNCTION("IF(A6933="""","""",INDEX(SPLIT(A6933,"" ""),COUNTA(SPLIT(A6933,"" ""))))"),"Manco")</f>
        <v>Manco</v>
      </c>
      <c r="C6933" s="6"/>
      <c r="D6933" s="6" t="s">
        <v>6882</v>
      </c>
      <c r="E6933" s="7" t="s">
        <v>6883</v>
      </c>
    </row>
    <row r="6934">
      <c r="A6934" s="4" t="s">
        <v>7031</v>
      </c>
      <c r="B6934" s="5" t="str">
        <f>IFERROR(__xludf.DUMMYFUNCTION("IF(A6934="""","""",INDEX(SPLIT(A6934,"" ""),COUNTA(SPLIT(A6934,"" ""))))"),"CoriglianoRossano")</f>
        <v>CoriglianoRossano</v>
      </c>
      <c r="C6934" s="6"/>
      <c r="D6934" s="6" t="s">
        <v>6882</v>
      </c>
      <c r="E6934" s="7" t="s">
        <v>6883</v>
      </c>
    </row>
    <row r="6935">
      <c r="A6935" s="4" t="s">
        <v>7032</v>
      </c>
      <c r="B6935" s="5" t="str">
        <f>IFERROR(__xludf.DUMMYFUNCTION("IF(A6935="""","""",INDEX(SPLIT(A6935,"" ""),COUNTA(SPLIT(A6935,"" ""))))"),"Albi")</f>
        <v>Albi</v>
      </c>
      <c r="C6935" s="6"/>
      <c r="D6935" s="6" t="s">
        <v>7033</v>
      </c>
      <c r="E6935" s="7" t="s">
        <v>7034</v>
      </c>
    </row>
    <row r="6936">
      <c r="A6936" s="4" t="s">
        <v>7035</v>
      </c>
      <c r="B6936" s="5" t="str">
        <f>IFERROR(__xludf.DUMMYFUNCTION("IF(A6936="""","""",INDEX(SPLIT(A6936,"" ""),COUNTA(SPLIT(A6936,"" ""))))"),"Amaroni")</f>
        <v>Amaroni</v>
      </c>
      <c r="C6936" s="6"/>
      <c r="D6936" s="6" t="s">
        <v>7033</v>
      </c>
      <c r="E6936" s="7" t="s">
        <v>7034</v>
      </c>
    </row>
    <row r="6937">
      <c r="A6937" s="4" t="s">
        <v>7036</v>
      </c>
      <c r="B6937" s="5" t="str">
        <f>IFERROR(__xludf.DUMMYFUNCTION("IF(A6937="""","""",INDEX(SPLIT(A6937,"" ""),COUNTA(SPLIT(A6937,"" ""))))"),"Amato")</f>
        <v>Amato</v>
      </c>
      <c r="C6937" s="6"/>
      <c r="D6937" s="6" t="s">
        <v>7033</v>
      </c>
      <c r="E6937" s="7" t="s">
        <v>7034</v>
      </c>
    </row>
    <row r="6938">
      <c r="A6938" s="4" t="s">
        <v>7037</v>
      </c>
      <c r="B6938" s="5" t="str">
        <f>IFERROR(__xludf.DUMMYFUNCTION("IF(A6938="""","""",INDEX(SPLIT(A6938,"" ""),COUNTA(SPLIT(A6938,"" ""))))"),"Andali")</f>
        <v>Andali</v>
      </c>
      <c r="C6938" s="6"/>
      <c r="D6938" s="6" t="s">
        <v>7033</v>
      </c>
      <c r="E6938" s="7" t="s">
        <v>7034</v>
      </c>
    </row>
    <row r="6939">
      <c r="A6939" s="4" t="s">
        <v>7038</v>
      </c>
      <c r="B6939" s="5" t="str">
        <f>IFERROR(__xludf.DUMMYFUNCTION("IF(A6939="""","""",INDEX(SPLIT(A6939,"" ""),COUNTA(SPLIT(A6939,"" ""))))"),"Argusto")</f>
        <v>Argusto</v>
      </c>
      <c r="C6939" s="6"/>
      <c r="D6939" s="6" t="s">
        <v>7033</v>
      </c>
      <c r="E6939" s="7" t="s">
        <v>7034</v>
      </c>
    </row>
    <row r="6940">
      <c r="A6940" s="4" t="s">
        <v>7039</v>
      </c>
      <c r="B6940" s="5" t="str">
        <f>IFERROR(__xludf.DUMMYFUNCTION("IF(A6940="""","""",INDEX(SPLIT(A6940,"" ""),COUNTA(SPLIT(A6940,"" ""))))"),"Badolato")</f>
        <v>Badolato</v>
      </c>
      <c r="C6940" s="6"/>
      <c r="D6940" s="6" t="s">
        <v>7033</v>
      </c>
      <c r="E6940" s="7" t="s">
        <v>7034</v>
      </c>
    </row>
    <row r="6941">
      <c r="A6941" s="4" t="s">
        <v>7040</v>
      </c>
      <c r="B6941" s="5" t="str">
        <f>IFERROR(__xludf.DUMMYFUNCTION("IF(A6941="""","""",INDEX(SPLIT(A6941,"" ""),COUNTA(SPLIT(A6941,"" ""))))"),"Belcastro")</f>
        <v>Belcastro</v>
      </c>
      <c r="C6941" s="6"/>
      <c r="D6941" s="6" t="s">
        <v>7033</v>
      </c>
      <c r="E6941" s="7" t="s">
        <v>7034</v>
      </c>
    </row>
    <row r="6942">
      <c r="A6942" s="4" t="s">
        <v>7041</v>
      </c>
      <c r="B6942" s="5" t="str">
        <f>IFERROR(__xludf.DUMMYFUNCTION("IF(A6942="""","""",INDEX(SPLIT(A6942,"" ""),COUNTA(SPLIT(A6942,"" ""))))"),"Borgia")</f>
        <v>Borgia</v>
      </c>
      <c r="C6942" s="6"/>
      <c r="D6942" s="6" t="s">
        <v>7033</v>
      </c>
      <c r="E6942" s="7" t="s">
        <v>7034</v>
      </c>
    </row>
    <row r="6943">
      <c r="A6943" s="4" t="s">
        <v>7042</v>
      </c>
      <c r="B6943" s="5" t="str">
        <f>IFERROR(__xludf.DUMMYFUNCTION("IF(A6943="""","""",INDEX(SPLIT(A6943,"" ""),COUNTA(SPLIT(A6943,"" ""))))"),"Botricello")</f>
        <v>Botricello</v>
      </c>
      <c r="C6943" s="6"/>
      <c r="D6943" s="6" t="s">
        <v>7033</v>
      </c>
      <c r="E6943" s="7" t="s">
        <v>7034</v>
      </c>
    </row>
    <row r="6944">
      <c r="A6944" s="4" t="s">
        <v>7043</v>
      </c>
      <c r="B6944" s="5" t="str">
        <f>IFERROR(__xludf.DUMMYFUNCTION("IF(A6944="""","""",INDEX(SPLIT(A6944,"" ""),COUNTA(SPLIT(A6944,"" ""))))"),"Catanzaro")</f>
        <v>Catanzaro</v>
      </c>
      <c r="C6944" s="6"/>
      <c r="D6944" s="6" t="s">
        <v>7033</v>
      </c>
      <c r="E6944" s="7" t="s">
        <v>7034</v>
      </c>
    </row>
    <row r="6945">
      <c r="A6945" s="4" t="s">
        <v>7044</v>
      </c>
      <c r="B6945" s="5" t="str">
        <f>IFERROR(__xludf.DUMMYFUNCTION("IF(A6945="""","""",INDEX(SPLIT(A6945,"" ""),COUNTA(SPLIT(A6945,"" ""))))"),"Cardinale")</f>
        <v>Cardinale</v>
      </c>
      <c r="C6945" s="6"/>
      <c r="D6945" s="6" t="s">
        <v>7033</v>
      </c>
      <c r="E6945" s="7" t="s">
        <v>7034</v>
      </c>
    </row>
    <row r="6946">
      <c r="A6946" s="4" t="s">
        <v>7045</v>
      </c>
      <c r="B6946" s="5" t="str">
        <f>IFERROR(__xludf.DUMMYFUNCTION("IF(A6946="""","""",INDEX(SPLIT(A6946,"" ""),COUNTA(SPLIT(A6946,"" ""))))"),"Carlopoli")</f>
        <v>Carlopoli</v>
      </c>
      <c r="C6946" s="6"/>
      <c r="D6946" s="6" t="s">
        <v>7033</v>
      </c>
      <c r="E6946" s="7" t="s">
        <v>7034</v>
      </c>
    </row>
    <row r="6947">
      <c r="A6947" s="4" t="s">
        <v>7033</v>
      </c>
      <c r="B6947" s="5" t="str">
        <f>IFERROR(__xludf.DUMMYFUNCTION("IF(A6947="""","""",INDEX(SPLIT(A6947,"" ""),COUNTA(SPLIT(A6947,"" ""))))"),"Catanzaro")</f>
        <v>Catanzaro</v>
      </c>
      <c r="C6947" s="6"/>
      <c r="D6947" s="6" t="s">
        <v>7033</v>
      </c>
      <c r="E6947" s="7" t="s">
        <v>7034</v>
      </c>
    </row>
    <row r="6948">
      <c r="A6948" s="4" t="s">
        <v>7046</v>
      </c>
      <c r="B6948" s="5" t="str">
        <f>IFERROR(__xludf.DUMMYFUNCTION("IF(A6948="""","""",INDEX(SPLIT(A6948,"" ""),COUNTA(SPLIT(A6948,"" ""))))"),"Cenadi")</f>
        <v>Cenadi</v>
      </c>
      <c r="C6948" s="6"/>
      <c r="D6948" s="6" t="s">
        <v>7033</v>
      </c>
      <c r="E6948" s="7" t="s">
        <v>7034</v>
      </c>
    </row>
    <row r="6949">
      <c r="A6949" s="4" t="s">
        <v>7047</v>
      </c>
      <c r="B6949" s="5" t="str">
        <f>IFERROR(__xludf.DUMMYFUNCTION("IF(A6949="""","""",INDEX(SPLIT(A6949,"" ""),COUNTA(SPLIT(A6949,"" ""))))"),"Centrache")</f>
        <v>Centrache</v>
      </c>
      <c r="C6949" s="6"/>
      <c r="D6949" s="6" t="s">
        <v>7033</v>
      </c>
      <c r="E6949" s="7" t="s">
        <v>7034</v>
      </c>
    </row>
    <row r="6950">
      <c r="A6950" s="4" t="s">
        <v>7048</v>
      </c>
      <c r="B6950" s="5" t="str">
        <f>IFERROR(__xludf.DUMMYFUNCTION("IF(A6950="""","""",INDEX(SPLIT(A6950,"" ""),COUNTA(SPLIT(A6950,"" ""))))"),"Cerva")</f>
        <v>Cerva</v>
      </c>
      <c r="C6950" s="6"/>
      <c r="D6950" s="6" t="s">
        <v>7033</v>
      </c>
      <c r="E6950" s="7" t="s">
        <v>7034</v>
      </c>
    </row>
    <row r="6951">
      <c r="A6951" s="4" t="s">
        <v>7049</v>
      </c>
      <c r="B6951" s="5" t="str">
        <f>IFERROR(__xludf.DUMMYFUNCTION("IF(A6951="""","""",INDEX(SPLIT(A6951,"" ""),COUNTA(SPLIT(A6951,"" ""))))"),"Centrale")</f>
        <v>Centrale</v>
      </c>
      <c r="C6951" s="6"/>
      <c r="D6951" s="6" t="s">
        <v>7033</v>
      </c>
      <c r="E6951" s="7" t="s">
        <v>7034</v>
      </c>
    </row>
    <row r="6952">
      <c r="A6952" s="4" t="s">
        <v>7050</v>
      </c>
      <c r="B6952" s="5" t="str">
        <f>IFERROR(__xludf.DUMMYFUNCTION("IF(A6952="""","""",INDEX(SPLIT(A6952,"" ""),COUNTA(SPLIT(A6952,"" ""))))"),"Cicala")</f>
        <v>Cicala</v>
      </c>
      <c r="C6952" s="6"/>
      <c r="D6952" s="6" t="s">
        <v>7033</v>
      </c>
      <c r="E6952" s="7" t="s">
        <v>7034</v>
      </c>
    </row>
    <row r="6953">
      <c r="A6953" s="4" t="s">
        <v>7051</v>
      </c>
      <c r="B6953" s="5" t="str">
        <f>IFERROR(__xludf.DUMMYFUNCTION("IF(A6953="""","""",INDEX(SPLIT(A6953,"" ""),COUNTA(SPLIT(A6953,"" ""))))"),"Conflenti")</f>
        <v>Conflenti</v>
      </c>
      <c r="C6953" s="6"/>
      <c r="D6953" s="6" t="s">
        <v>7033</v>
      </c>
      <c r="E6953" s="7" t="s">
        <v>7034</v>
      </c>
    </row>
    <row r="6954">
      <c r="A6954" s="4" t="s">
        <v>7052</v>
      </c>
      <c r="B6954" s="5" t="str">
        <f>IFERROR(__xludf.DUMMYFUNCTION("IF(A6954="""","""",INDEX(SPLIT(A6954,"" ""),COUNTA(SPLIT(A6954,"" ""))))"),"Cortale")</f>
        <v>Cortale</v>
      </c>
      <c r="C6954" s="6"/>
      <c r="D6954" s="6" t="s">
        <v>7033</v>
      </c>
      <c r="E6954" s="7" t="s">
        <v>7034</v>
      </c>
    </row>
    <row r="6955">
      <c r="A6955" s="4" t="s">
        <v>7053</v>
      </c>
      <c r="B6955" s="5" t="str">
        <f>IFERROR(__xludf.DUMMYFUNCTION("IF(A6955="""","""",INDEX(SPLIT(A6955,"" ""),COUNTA(SPLIT(A6955,"" ""))))"),"Cropani")</f>
        <v>Cropani</v>
      </c>
      <c r="C6955" s="6"/>
      <c r="D6955" s="6" t="s">
        <v>7033</v>
      </c>
      <c r="E6955" s="7" t="s">
        <v>7034</v>
      </c>
    </row>
    <row r="6956">
      <c r="A6956" s="4" t="s">
        <v>7054</v>
      </c>
      <c r="B6956" s="5" t="str">
        <f>IFERROR(__xludf.DUMMYFUNCTION("IF(A6956="""","""",INDEX(SPLIT(A6956,"" ""),COUNTA(SPLIT(A6956,"" ""))))"),"Curinga")</f>
        <v>Curinga</v>
      </c>
      <c r="C6956" s="6"/>
      <c r="D6956" s="6" t="s">
        <v>7033</v>
      </c>
      <c r="E6956" s="7" t="s">
        <v>7034</v>
      </c>
    </row>
    <row r="6957">
      <c r="A6957" s="4" t="s">
        <v>7055</v>
      </c>
      <c r="B6957" s="5" t="str">
        <f>IFERROR(__xludf.DUMMYFUNCTION("IF(A6957="""","""",INDEX(SPLIT(A6957,"" ""),COUNTA(SPLIT(A6957,"" ""))))"),"Davoli")</f>
        <v>Davoli</v>
      </c>
      <c r="C6957" s="6"/>
      <c r="D6957" s="6" t="s">
        <v>7033</v>
      </c>
      <c r="E6957" s="7" t="s">
        <v>7034</v>
      </c>
    </row>
    <row r="6958">
      <c r="A6958" s="4" t="s">
        <v>7056</v>
      </c>
      <c r="B6958" s="5" t="str">
        <f>IFERROR(__xludf.DUMMYFUNCTION("IF(A6958="""","""",INDEX(SPLIT(A6958,"" ""),COUNTA(SPLIT(A6958,"" ""))))"),"Decollatura")</f>
        <v>Decollatura</v>
      </c>
      <c r="C6958" s="6"/>
      <c r="D6958" s="6" t="s">
        <v>7033</v>
      </c>
      <c r="E6958" s="7" t="s">
        <v>7034</v>
      </c>
    </row>
    <row r="6959">
      <c r="A6959" s="4" t="s">
        <v>7057</v>
      </c>
      <c r="B6959" s="5" t="str">
        <f>IFERROR(__xludf.DUMMYFUNCTION("IF(A6959="""","""",INDEX(SPLIT(A6959,"" ""),COUNTA(SPLIT(A6959,"" ""))))"),"Falerna")</f>
        <v>Falerna</v>
      </c>
      <c r="C6959" s="6"/>
      <c r="D6959" s="6" t="s">
        <v>7033</v>
      </c>
      <c r="E6959" s="7" t="s">
        <v>7034</v>
      </c>
    </row>
    <row r="6960">
      <c r="A6960" s="4" t="s">
        <v>7058</v>
      </c>
      <c r="B6960" s="5" t="str">
        <f>IFERROR(__xludf.DUMMYFUNCTION("IF(A6960="""","""",INDEX(SPLIT(A6960,"" ""),COUNTA(SPLIT(A6960,"" ""))))"),"Antico")</f>
        <v>Antico</v>
      </c>
      <c r="C6960" s="6"/>
      <c r="D6960" s="6" t="s">
        <v>7033</v>
      </c>
      <c r="E6960" s="7" t="s">
        <v>7034</v>
      </c>
    </row>
    <row r="6961">
      <c r="A6961" s="4" t="s">
        <v>7059</v>
      </c>
      <c r="B6961" s="5" t="str">
        <f>IFERROR(__xludf.DUMMYFUNCTION("IF(A6961="""","""",INDEX(SPLIT(A6961,"" ""),COUNTA(SPLIT(A6961,"" ""))))"),"Serralta")</f>
        <v>Serralta</v>
      </c>
      <c r="C6961" s="6"/>
      <c r="D6961" s="6" t="s">
        <v>7033</v>
      </c>
      <c r="E6961" s="7" t="s">
        <v>7034</v>
      </c>
    </row>
    <row r="6962">
      <c r="A6962" s="4" t="s">
        <v>7060</v>
      </c>
      <c r="B6962" s="5" t="str">
        <f>IFERROR(__xludf.DUMMYFUNCTION("IF(A6962="""","""",INDEX(SPLIT(A6962,"" ""),COUNTA(SPLIT(A6962,"" ""))))"),"Gagliato")</f>
        <v>Gagliato</v>
      </c>
      <c r="C6962" s="6"/>
      <c r="D6962" s="6" t="s">
        <v>7033</v>
      </c>
      <c r="E6962" s="7" t="s">
        <v>7034</v>
      </c>
    </row>
    <row r="6963">
      <c r="A6963" s="4" t="s">
        <v>7061</v>
      </c>
      <c r="B6963" s="5" t="str">
        <f>IFERROR(__xludf.DUMMYFUNCTION("IF(A6963="""","""",INDEX(SPLIT(A6963,"" ""),COUNTA(SPLIT(A6963,"" ""))))"),"Gasperina")</f>
        <v>Gasperina</v>
      </c>
      <c r="C6963" s="6"/>
      <c r="D6963" s="6" t="s">
        <v>7033</v>
      </c>
      <c r="E6963" s="7" t="s">
        <v>7034</v>
      </c>
    </row>
    <row r="6964">
      <c r="A6964" s="4" t="s">
        <v>7062</v>
      </c>
      <c r="B6964" s="5" t="str">
        <f>IFERROR(__xludf.DUMMYFUNCTION("IF(A6964="""","""",INDEX(SPLIT(A6964,"" ""),COUNTA(SPLIT(A6964,"" ""))))"),"Gimigliano")</f>
        <v>Gimigliano</v>
      </c>
      <c r="C6964" s="6"/>
      <c r="D6964" s="6" t="s">
        <v>7033</v>
      </c>
      <c r="E6964" s="7" t="s">
        <v>7034</v>
      </c>
    </row>
    <row r="6965">
      <c r="A6965" s="4" t="s">
        <v>7063</v>
      </c>
      <c r="B6965" s="5" t="str">
        <f>IFERROR(__xludf.DUMMYFUNCTION("IF(A6965="""","""",INDEX(SPLIT(A6965,"" ""),COUNTA(SPLIT(A6965,"" ""))))"),"Girifalco")</f>
        <v>Girifalco</v>
      </c>
      <c r="C6965" s="6"/>
      <c r="D6965" s="6" t="s">
        <v>7033</v>
      </c>
      <c r="E6965" s="7" t="s">
        <v>7034</v>
      </c>
    </row>
    <row r="6966">
      <c r="A6966" s="4" t="s">
        <v>7064</v>
      </c>
      <c r="B6966" s="5" t="str">
        <f>IFERROR(__xludf.DUMMYFUNCTION("IF(A6966="""","""",INDEX(SPLIT(A6966,"" ""),COUNTA(SPLIT(A6966,"" ""))))"),"Gizzeria")</f>
        <v>Gizzeria</v>
      </c>
      <c r="C6966" s="6"/>
      <c r="D6966" s="6" t="s">
        <v>7033</v>
      </c>
      <c r="E6966" s="7" t="s">
        <v>7034</v>
      </c>
    </row>
    <row r="6967">
      <c r="A6967" s="4" t="s">
        <v>7065</v>
      </c>
      <c r="B6967" s="5" t="str">
        <f>IFERROR(__xludf.DUMMYFUNCTION("IF(A6967="""","""",INDEX(SPLIT(A6967,"" ""),COUNTA(SPLIT(A6967,"" ""))))"),"Guardavalle")</f>
        <v>Guardavalle</v>
      </c>
      <c r="C6967" s="6"/>
      <c r="D6967" s="6" t="s">
        <v>7033</v>
      </c>
      <c r="E6967" s="7" t="s">
        <v>7034</v>
      </c>
    </row>
    <row r="6968">
      <c r="A6968" s="4" t="s">
        <v>7066</v>
      </c>
      <c r="B6968" s="5" t="str">
        <f>IFERROR(__xludf.DUMMYFUNCTION("IF(A6968="""","""",INDEX(SPLIT(A6968,"" ""),COUNTA(SPLIT(A6968,"" ""))))"),"Ionio")</f>
        <v>Ionio</v>
      </c>
      <c r="C6968" s="6"/>
      <c r="D6968" s="6" t="s">
        <v>7033</v>
      </c>
      <c r="E6968" s="7" t="s">
        <v>7034</v>
      </c>
    </row>
    <row r="6969">
      <c r="A6969" s="4" t="s">
        <v>7067</v>
      </c>
      <c r="B6969" s="5" t="str">
        <f>IFERROR(__xludf.DUMMYFUNCTION("IF(A6969="""","""",INDEX(SPLIT(A6969,"" ""),COUNTA(SPLIT(A6969,"" ""))))"),"Jacurso")</f>
        <v>Jacurso</v>
      </c>
      <c r="C6969" s="6"/>
      <c r="D6969" s="6" t="s">
        <v>7033</v>
      </c>
      <c r="E6969" s="7" t="s">
        <v>7034</v>
      </c>
    </row>
    <row r="6970">
      <c r="A6970" s="4" t="s">
        <v>7068</v>
      </c>
      <c r="B6970" s="5" t="str">
        <f>IFERROR(__xludf.DUMMYFUNCTION("IF(A6970="""","""",INDEX(SPLIT(A6970,"" ""),COUNTA(SPLIT(A6970,"" ""))))"),"Magisano")</f>
        <v>Magisano</v>
      </c>
      <c r="C6970" s="6"/>
      <c r="D6970" s="6" t="s">
        <v>7033</v>
      </c>
      <c r="E6970" s="7" t="s">
        <v>7034</v>
      </c>
    </row>
    <row r="6971">
      <c r="A6971" s="4" t="s">
        <v>7069</v>
      </c>
      <c r="B6971" s="5" t="str">
        <f>IFERROR(__xludf.DUMMYFUNCTION("IF(A6971="""","""",INDEX(SPLIT(A6971,"" ""),COUNTA(SPLIT(A6971,"" ""))))"),"Maida")</f>
        <v>Maida</v>
      </c>
      <c r="C6971" s="6"/>
      <c r="D6971" s="6" t="s">
        <v>7033</v>
      </c>
      <c r="E6971" s="7" t="s">
        <v>7034</v>
      </c>
    </row>
    <row r="6972">
      <c r="A6972" s="4" t="s">
        <v>7070</v>
      </c>
      <c r="B6972" s="5" t="str">
        <f>IFERROR(__xludf.DUMMYFUNCTION("IF(A6972="""","""",INDEX(SPLIT(A6972,"" ""),COUNTA(SPLIT(A6972,"" ""))))"),"Marcedusa")</f>
        <v>Marcedusa</v>
      </c>
      <c r="C6972" s="6"/>
      <c r="D6972" s="6" t="s">
        <v>7033</v>
      </c>
      <c r="E6972" s="7" t="s">
        <v>7034</v>
      </c>
    </row>
    <row r="6973">
      <c r="A6973" s="4" t="s">
        <v>7071</v>
      </c>
      <c r="B6973" s="5" t="str">
        <f>IFERROR(__xludf.DUMMYFUNCTION("IF(A6973="""","""",INDEX(SPLIT(A6973,"" ""),COUNTA(SPLIT(A6973,"" ""))))"),"Marcellinara")</f>
        <v>Marcellinara</v>
      </c>
      <c r="C6973" s="6"/>
      <c r="D6973" s="6" t="s">
        <v>7033</v>
      </c>
      <c r="E6973" s="7" t="s">
        <v>7034</v>
      </c>
    </row>
    <row r="6974">
      <c r="A6974" s="4" t="s">
        <v>7072</v>
      </c>
      <c r="B6974" s="5" t="str">
        <f>IFERROR(__xludf.DUMMYFUNCTION("IF(A6974="""","""",INDEX(SPLIT(A6974,"" ""),COUNTA(SPLIT(A6974,"" ""))))"),"Martirano")</f>
        <v>Martirano</v>
      </c>
      <c r="C6974" s="6"/>
      <c r="D6974" s="6" t="s">
        <v>7033</v>
      </c>
      <c r="E6974" s="7" t="s">
        <v>7034</v>
      </c>
    </row>
    <row r="6975">
      <c r="A6975" s="4" t="s">
        <v>7073</v>
      </c>
      <c r="B6975" s="5" t="str">
        <f>IFERROR(__xludf.DUMMYFUNCTION("IF(A6975="""","""",INDEX(SPLIT(A6975,"" ""),COUNTA(SPLIT(A6975,"" ""))))"),"Lombardo")</f>
        <v>Lombardo</v>
      </c>
      <c r="C6975" s="6"/>
      <c r="D6975" s="6" t="s">
        <v>7033</v>
      </c>
      <c r="E6975" s="7" t="s">
        <v>7034</v>
      </c>
    </row>
    <row r="6976">
      <c r="A6976" s="4" t="s">
        <v>7074</v>
      </c>
      <c r="B6976" s="5" t="str">
        <f>IFERROR(__xludf.DUMMYFUNCTION("IF(A6976="""","""",INDEX(SPLIT(A6976,"" ""),COUNTA(SPLIT(A6976,"" ""))))"),"Miglierina")</f>
        <v>Miglierina</v>
      </c>
      <c r="C6976" s="6"/>
      <c r="D6976" s="6" t="s">
        <v>7033</v>
      </c>
      <c r="E6976" s="7" t="s">
        <v>7034</v>
      </c>
    </row>
    <row r="6977">
      <c r="A6977" s="4" t="s">
        <v>7075</v>
      </c>
      <c r="B6977" s="5" t="str">
        <f>IFERROR(__xludf.DUMMYFUNCTION("IF(A6977="""","""",INDEX(SPLIT(A6977,"" ""),COUNTA(SPLIT(A6977,"" ""))))"),"Montauro")</f>
        <v>Montauro</v>
      </c>
      <c r="C6977" s="6"/>
      <c r="D6977" s="6" t="s">
        <v>7033</v>
      </c>
      <c r="E6977" s="7" t="s">
        <v>7034</v>
      </c>
    </row>
    <row r="6978">
      <c r="A6978" s="4" t="s">
        <v>7076</v>
      </c>
      <c r="B6978" s="5" t="str">
        <f>IFERROR(__xludf.DUMMYFUNCTION("IF(A6978="""","""",INDEX(SPLIT(A6978,"" ""),COUNTA(SPLIT(A6978,"" ""))))"),"Montepaone")</f>
        <v>Montepaone</v>
      </c>
      <c r="C6978" s="6"/>
      <c r="D6978" s="6" t="s">
        <v>7033</v>
      </c>
      <c r="E6978" s="7" t="s">
        <v>7034</v>
      </c>
    </row>
    <row r="6979">
      <c r="A6979" s="4" t="s">
        <v>7077</v>
      </c>
      <c r="B6979" s="5" t="str">
        <f>IFERROR(__xludf.DUMMYFUNCTION("IF(A6979="""","""",INDEX(SPLIT(A6979,"" ""),COUNTA(SPLIT(A6979,"" ""))))"),"Lucia")</f>
        <v>Lucia</v>
      </c>
      <c r="C6979" s="6"/>
      <c r="D6979" s="6" t="s">
        <v>7033</v>
      </c>
      <c r="E6979" s="7" t="s">
        <v>7034</v>
      </c>
    </row>
    <row r="6980">
      <c r="A6980" s="4" t="s">
        <v>7078</v>
      </c>
      <c r="B6980" s="5" t="str">
        <f>IFERROR(__xludf.DUMMYFUNCTION("IF(A6980="""","""",INDEX(SPLIT(A6980,"" ""),COUNTA(SPLIT(A6980,"" ""))))"),"Terinese")</f>
        <v>Terinese</v>
      </c>
      <c r="C6980" s="6"/>
      <c r="D6980" s="6" t="s">
        <v>7033</v>
      </c>
      <c r="E6980" s="7" t="s">
        <v>7034</v>
      </c>
    </row>
    <row r="6981">
      <c r="A6981" s="4" t="s">
        <v>7079</v>
      </c>
      <c r="B6981" s="5" t="str">
        <f>IFERROR(__xludf.DUMMYFUNCTION("IF(A6981="""","""",INDEX(SPLIT(A6981,"" ""),COUNTA(SPLIT(A6981,"" ""))))"),"Olivadi")</f>
        <v>Olivadi</v>
      </c>
      <c r="C6981" s="6"/>
      <c r="D6981" s="6" t="s">
        <v>7033</v>
      </c>
      <c r="E6981" s="7" t="s">
        <v>7034</v>
      </c>
    </row>
    <row r="6982">
      <c r="A6982" s="4" t="s">
        <v>7080</v>
      </c>
      <c r="B6982" s="5" t="str">
        <f>IFERROR(__xludf.DUMMYFUNCTION("IF(A6982="""","""",INDEX(SPLIT(A6982,"" ""),COUNTA(SPLIT(A6982,"" ""))))"),"Palermiti")</f>
        <v>Palermiti</v>
      </c>
      <c r="C6982" s="6"/>
      <c r="D6982" s="6" t="s">
        <v>7033</v>
      </c>
      <c r="E6982" s="7" t="s">
        <v>7034</v>
      </c>
    </row>
    <row r="6983">
      <c r="A6983" s="4" t="s">
        <v>7081</v>
      </c>
      <c r="B6983" s="5" t="str">
        <f>IFERROR(__xludf.DUMMYFUNCTION("IF(A6983="""","""",INDEX(SPLIT(A6983,"" ""),COUNTA(SPLIT(A6983,"" ""))))"),"Pentone")</f>
        <v>Pentone</v>
      </c>
      <c r="C6983" s="6"/>
      <c r="D6983" s="6" t="s">
        <v>7033</v>
      </c>
      <c r="E6983" s="7" t="s">
        <v>7034</v>
      </c>
    </row>
    <row r="6984">
      <c r="A6984" s="4" t="s">
        <v>7082</v>
      </c>
      <c r="B6984" s="5" t="str">
        <f>IFERROR(__xludf.DUMMYFUNCTION("IF(A6984="""","""",INDEX(SPLIT(A6984,"" ""),COUNTA(SPLIT(A6984,"" ""))))"),"Petrizzi")</f>
        <v>Petrizzi</v>
      </c>
      <c r="C6984" s="6"/>
      <c r="D6984" s="6" t="s">
        <v>7033</v>
      </c>
      <c r="E6984" s="7" t="s">
        <v>7034</v>
      </c>
    </row>
    <row r="6985">
      <c r="A6985" s="4" t="s">
        <v>7083</v>
      </c>
      <c r="B6985" s="5" t="str">
        <f>IFERROR(__xludf.DUMMYFUNCTION("IF(A6985="""","""",INDEX(SPLIT(A6985,"" ""),COUNTA(SPLIT(A6985,"" ""))))"),"Petronà")</f>
        <v>Petronà</v>
      </c>
      <c r="C6985" s="6"/>
      <c r="D6985" s="6" t="s">
        <v>7033</v>
      </c>
      <c r="E6985" s="7" t="s">
        <v>7034</v>
      </c>
    </row>
    <row r="6986">
      <c r="A6986" s="4" t="s">
        <v>7084</v>
      </c>
      <c r="B6986" s="5" t="str">
        <f>IFERROR(__xludf.DUMMYFUNCTION("IF(A6986="""","""",INDEX(SPLIT(A6986,"" ""),COUNTA(SPLIT(A6986,"" ""))))"),"Pianopoli")</f>
        <v>Pianopoli</v>
      </c>
      <c r="C6986" s="6"/>
      <c r="D6986" s="6" t="s">
        <v>7033</v>
      </c>
      <c r="E6986" s="7" t="s">
        <v>7034</v>
      </c>
    </row>
    <row r="6987">
      <c r="A6987" s="4" t="s">
        <v>7085</v>
      </c>
      <c r="B6987" s="5" t="str">
        <f>IFERROR(__xludf.DUMMYFUNCTION("IF(A6987="""","""",INDEX(SPLIT(A6987,"" ""),COUNTA(SPLIT(A6987,"" ""))))"),"Platania")</f>
        <v>Platania</v>
      </c>
      <c r="C6987" s="6"/>
      <c r="D6987" s="6" t="s">
        <v>7033</v>
      </c>
      <c r="E6987" s="7" t="s">
        <v>7034</v>
      </c>
    </row>
    <row r="6988">
      <c r="A6988" s="4" t="s">
        <v>7086</v>
      </c>
      <c r="B6988" s="5" t="str">
        <f>IFERROR(__xludf.DUMMYFUNCTION("IF(A6988="""","""",INDEX(SPLIT(A6988,"" ""),COUNTA(SPLIT(A6988,"" ""))))"),"Floro")</f>
        <v>Floro</v>
      </c>
      <c r="C6988" s="6"/>
      <c r="D6988" s="6" t="s">
        <v>7033</v>
      </c>
      <c r="E6988" s="7" t="s">
        <v>7034</v>
      </c>
    </row>
    <row r="6989">
      <c r="A6989" s="4" t="s">
        <v>7087</v>
      </c>
      <c r="B6989" s="5" t="str">
        <f>IFERROR(__xludf.DUMMYFUNCTION("IF(A6989="""","""",INDEX(SPLIT(A6989,"" ""),COUNTA(SPLIT(A6989,"" ""))))"),"d'Aquino")</f>
        <v>d'Aquino</v>
      </c>
      <c r="C6989" s="6"/>
      <c r="D6989" s="6" t="s">
        <v>7033</v>
      </c>
      <c r="E6989" s="7" t="s">
        <v>7034</v>
      </c>
    </row>
    <row r="6990">
      <c r="A6990" s="4" t="s">
        <v>7088</v>
      </c>
      <c r="B6990" s="5" t="str">
        <f>IFERROR(__xludf.DUMMYFUNCTION("IF(A6990="""","""",INDEX(SPLIT(A6990,"" ""),COUNTA(SPLIT(A6990,"" ""))))"),"Maida")</f>
        <v>Maida</v>
      </c>
      <c r="C6990" s="6"/>
      <c r="D6990" s="6" t="s">
        <v>7033</v>
      </c>
      <c r="E6990" s="7" t="s">
        <v>7034</v>
      </c>
    </row>
    <row r="6991">
      <c r="A6991" s="4" t="s">
        <v>7089</v>
      </c>
      <c r="B6991" s="5" t="str">
        <f>IFERROR(__xludf.DUMMYFUNCTION("IF(A6991="""","""",INDEX(SPLIT(A6991,"" ""),COUNTA(SPLIT(A6991,"" ""))))"),"Apostolo")</f>
        <v>Apostolo</v>
      </c>
      <c r="C6991" s="6"/>
      <c r="D6991" s="6" t="s">
        <v>7033</v>
      </c>
      <c r="E6991" s="7" t="s">
        <v>7034</v>
      </c>
    </row>
    <row r="6992">
      <c r="A6992" s="4" t="s">
        <v>7090</v>
      </c>
      <c r="B6992" s="5" t="str">
        <f>IFERROR(__xludf.DUMMYFUNCTION("IF(A6992="""","""",INDEX(SPLIT(A6992,"" ""),COUNTA(SPLIT(A6992,"" ""))))"),"Sostene")</f>
        <v>Sostene</v>
      </c>
      <c r="C6992" s="6"/>
      <c r="D6992" s="6" t="s">
        <v>7033</v>
      </c>
      <c r="E6992" s="7" t="s">
        <v>7034</v>
      </c>
    </row>
    <row r="6993">
      <c r="A6993" s="4" t="s">
        <v>7091</v>
      </c>
      <c r="B6993" s="5" t="str">
        <f>IFERROR(__xludf.DUMMYFUNCTION("IF(A6993="""","""",INDEX(SPLIT(A6993,"" ""),COUNTA(SPLIT(A6993,"" ""))))"),"Ionio")</f>
        <v>Ionio</v>
      </c>
      <c r="C6993" s="6"/>
      <c r="D6993" s="6" t="s">
        <v>7033</v>
      </c>
      <c r="E6993" s="7" t="s">
        <v>7034</v>
      </c>
    </row>
    <row r="6994">
      <c r="A6994" s="4" t="s">
        <v>7092</v>
      </c>
      <c r="B6994" s="5" t="str">
        <f>IFERROR(__xludf.DUMMYFUNCTION("IF(A6994="""","""",INDEX(SPLIT(A6994,"" ""),COUNTA(SPLIT(A6994,"" ""))))"),"Ionio")</f>
        <v>Ionio</v>
      </c>
      <c r="C6994" s="6"/>
      <c r="D6994" s="6" t="s">
        <v>7033</v>
      </c>
      <c r="E6994" s="7" t="s">
        <v>7034</v>
      </c>
    </row>
    <row r="6995">
      <c r="A6995" s="4" t="s">
        <v>7093</v>
      </c>
      <c r="B6995" s="5" t="str">
        <f>IFERROR(__xludf.DUMMYFUNCTION("IF(A6995="""","""",INDEX(SPLIT(A6995,"" ""),COUNTA(SPLIT(A6995,"" ""))))"),"Ionio")</f>
        <v>Ionio</v>
      </c>
      <c r="C6995" s="6"/>
      <c r="D6995" s="6" t="s">
        <v>7033</v>
      </c>
      <c r="E6995" s="7" t="s">
        <v>7034</v>
      </c>
    </row>
    <row r="6996">
      <c r="A6996" s="4" t="s">
        <v>7094</v>
      </c>
      <c r="B6996" s="5" t="str">
        <f>IFERROR(__xludf.DUMMYFUNCTION("IF(A6996="""","""",INDEX(SPLIT(A6996,"" ""),COUNTA(SPLIT(A6996,"" ""))))"),"Satriano")</f>
        <v>Satriano</v>
      </c>
      <c r="C6996" s="6"/>
      <c r="D6996" s="6" t="s">
        <v>7033</v>
      </c>
      <c r="E6996" s="7" t="s">
        <v>7034</v>
      </c>
    </row>
    <row r="6997">
      <c r="A6997" s="4" t="s">
        <v>7095</v>
      </c>
      <c r="B6997" s="5" t="str">
        <f>IFERROR(__xludf.DUMMYFUNCTION("IF(A6997="""","""",INDEX(SPLIT(A6997,"" ""),COUNTA(SPLIT(A6997,"" ""))))"),"Sellia")</f>
        <v>Sellia</v>
      </c>
      <c r="C6997" s="6"/>
      <c r="D6997" s="6" t="s">
        <v>7033</v>
      </c>
      <c r="E6997" s="7" t="s">
        <v>7034</v>
      </c>
    </row>
    <row r="6998">
      <c r="A6998" s="4" t="s">
        <v>7096</v>
      </c>
      <c r="B6998" s="5" t="str">
        <f>IFERROR(__xludf.DUMMYFUNCTION("IF(A6998="""","""",INDEX(SPLIT(A6998,"" ""),COUNTA(SPLIT(A6998,"" ""))))"),"Marina")</f>
        <v>Marina</v>
      </c>
      <c r="C6998" s="6"/>
      <c r="D6998" s="6" t="s">
        <v>7033</v>
      </c>
      <c r="E6998" s="7" t="s">
        <v>7034</v>
      </c>
    </row>
    <row r="6999">
      <c r="A6999" s="4" t="s">
        <v>7097</v>
      </c>
      <c r="B6999" s="5" t="str">
        <f>IFERROR(__xludf.DUMMYFUNCTION("IF(A6999="""","""",INDEX(SPLIT(A6999,"" ""),COUNTA(SPLIT(A6999,"" ""))))"),"Serrastretta")</f>
        <v>Serrastretta</v>
      </c>
      <c r="C6999" s="6"/>
      <c r="D6999" s="6" t="s">
        <v>7033</v>
      </c>
      <c r="E6999" s="7" t="s">
        <v>7034</v>
      </c>
    </row>
    <row r="7000">
      <c r="A7000" s="4" t="s">
        <v>7098</v>
      </c>
      <c r="B7000" s="5" t="str">
        <f>IFERROR(__xludf.DUMMYFUNCTION("IF(A7000="""","""",INDEX(SPLIT(A7000,"" ""),COUNTA(SPLIT(A7000,"" ""))))"),"Sersale")</f>
        <v>Sersale</v>
      </c>
      <c r="C7000" s="6"/>
      <c r="D7000" s="6" t="s">
        <v>7033</v>
      </c>
      <c r="E7000" s="7" t="s">
        <v>7034</v>
      </c>
    </row>
    <row r="7001">
      <c r="A7001" s="4" t="s">
        <v>7099</v>
      </c>
      <c r="B7001" s="5" t="str">
        <f>IFERROR(__xludf.DUMMYFUNCTION("IF(A7001="""","""",INDEX(SPLIT(A7001,"" ""),COUNTA(SPLIT(A7001,"" ""))))"),"Settingiano")</f>
        <v>Settingiano</v>
      </c>
      <c r="C7001" s="6"/>
      <c r="D7001" s="6" t="s">
        <v>7033</v>
      </c>
      <c r="E7001" s="7" t="s">
        <v>7034</v>
      </c>
    </row>
    <row r="7002">
      <c r="A7002" s="4" t="s">
        <v>7100</v>
      </c>
      <c r="B7002" s="5" t="str">
        <f>IFERROR(__xludf.DUMMYFUNCTION("IF(A7002="""","""",INDEX(SPLIT(A7002,"" ""),COUNTA(SPLIT(A7002,"" ""))))"),"Crichi")</f>
        <v>Crichi</v>
      </c>
      <c r="C7002" s="6"/>
      <c r="D7002" s="6" t="s">
        <v>7033</v>
      </c>
      <c r="E7002" s="7" t="s">
        <v>7034</v>
      </c>
    </row>
    <row r="7003">
      <c r="A7003" s="4" t="s">
        <v>7101</v>
      </c>
      <c r="B7003" s="5" t="str">
        <f>IFERROR(__xludf.DUMMYFUNCTION("IF(A7003="""","""",INDEX(SPLIT(A7003,"" ""),COUNTA(SPLIT(A7003,"" ""))))"),"Basile")</f>
        <v>Basile</v>
      </c>
      <c r="C7003" s="6"/>
      <c r="D7003" s="6" t="s">
        <v>7033</v>
      </c>
      <c r="E7003" s="7" t="s">
        <v>7034</v>
      </c>
    </row>
    <row r="7004">
      <c r="A7004" s="4" t="s">
        <v>7102</v>
      </c>
      <c r="B7004" s="5" t="str">
        <f>IFERROR(__xludf.DUMMYFUNCTION("IF(A7004="""","""",INDEX(SPLIT(A7004,"" ""),COUNTA(SPLIT(A7004,"" ""))))"),"Soverato")</f>
        <v>Soverato</v>
      </c>
      <c r="C7004" s="6"/>
      <c r="D7004" s="6" t="s">
        <v>7033</v>
      </c>
      <c r="E7004" s="7" t="s">
        <v>7034</v>
      </c>
    </row>
    <row r="7005">
      <c r="A7005" s="4" t="s">
        <v>7103</v>
      </c>
      <c r="B7005" s="5" t="str">
        <f>IFERROR(__xludf.DUMMYFUNCTION("IF(A7005="""","""",INDEX(SPLIT(A7005,"" ""),COUNTA(SPLIT(A7005,"" ""))))"),"Mannelli")</f>
        <v>Mannelli</v>
      </c>
      <c r="C7005" s="6"/>
      <c r="D7005" s="6" t="s">
        <v>7033</v>
      </c>
      <c r="E7005" s="7" t="s">
        <v>7034</v>
      </c>
    </row>
    <row r="7006">
      <c r="A7006" s="4" t="s">
        <v>7104</v>
      </c>
      <c r="B7006" s="5" t="str">
        <f>IFERROR(__xludf.DUMMYFUNCTION("IF(A7006="""","""",INDEX(SPLIT(A7006,"" ""),COUNTA(SPLIT(A7006,"" ""))))"),"Simeri")</f>
        <v>Simeri</v>
      </c>
      <c r="C7006" s="6"/>
      <c r="D7006" s="6" t="s">
        <v>7033</v>
      </c>
      <c r="E7006" s="7" t="s">
        <v>7034</v>
      </c>
    </row>
    <row r="7007">
      <c r="A7007" s="4" t="s">
        <v>7105</v>
      </c>
      <c r="B7007" s="5" t="str">
        <f>IFERROR(__xludf.DUMMYFUNCTION("IF(A7007="""","""",INDEX(SPLIT(A7007,"" ""),COUNTA(SPLIT(A7007,"" ""))))"),"Squillace")</f>
        <v>Squillace</v>
      </c>
      <c r="C7007" s="6"/>
      <c r="D7007" s="6" t="s">
        <v>7033</v>
      </c>
      <c r="E7007" s="7" t="s">
        <v>7034</v>
      </c>
    </row>
    <row r="7008">
      <c r="A7008" s="4" t="s">
        <v>7106</v>
      </c>
      <c r="B7008" s="5" t="str">
        <f>IFERROR(__xludf.DUMMYFUNCTION("IF(A7008="""","""",INDEX(SPLIT(A7008,"" ""),COUNTA(SPLIT(A7008,"" ""))))"),"Stalettì")</f>
        <v>Stalettì</v>
      </c>
      <c r="C7008" s="6"/>
      <c r="D7008" s="6" t="s">
        <v>7033</v>
      </c>
      <c r="E7008" s="7" t="s">
        <v>7034</v>
      </c>
    </row>
    <row r="7009">
      <c r="A7009" s="4" t="s">
        <v>7107</v>
      </c>
      <c r="B7009" s="5" t="str">
        <f>IFERROR(__xludf.DUMMYFUNCTION("IF(A7009="""","""",INDEX(SPLIT(A7009,"" ""),COUNTA(SPLIT(A7009,"" ""))))"),"Taverna")</f>
        <v>Taverna</v>
      </c>
      <c r="C7009" s="6"/>
      <c r="D7009" s="6" t="s">
        <v>7033</v>
      </c>
      <c r="E7009" s="7" t="s">
        <v>7034</v>
      </c>
    </row>
    <row r="7010">
      <c r="A7010" s="4" t="s">
        <v>7108</v>
      </c>
      <c r="B7010" s="5" t="str">
        <f>IFERROR(__xludf.DUMMYFUNCTION("IF(A7010="""","""",INDEX(SPLIT(A7010,"" ""),COUNTA(SPLIT(A7010,"" ""))))"),"Tiriolo")</f>
        <v>Tiriolo</v>
      </c>
      <c r="C7010" s="6"/>
      <c r="D7010" s="6" t="s">
        <v>7033</v>
      </c>
      <c r="E7010" s="7" t="s">
        <v>7034</v>
      </c>
    </row>
    <row r="7011">
      <c r="A7011" s="4" t="s">
        <v>7109</v>
      </c>
      <c r="B7011" s="5" t="str">
        <f>IFERROR(__xludf.DUMMYFUNCTION("IF(A7011="""","""",INDEX(SPLIT(A7011,"" ""),COUNTA(SPLIT(A7011,"" ""))))"),"Ruggiero")</f>
        <v>Ruggiero</v>
      </c>
      <c r="C7011" s="6"/>
      <c r="D7011" s="6" t="s">
        <v>7033</v>
      </c>
      <c r="E7011" s="7" t="s">
        <v>7034</v>
      </c>
    </row>
    <row r="7012">
      <c r="A7012" s="4" t="s">
        <v>7110</v>
      </c>
      <c r="B7012" s="5" t="str">
        <f>IFERROR(__xludf.DUMMYFUNCTION("IF(A7012="""","""",INDEX(SPLIT(A7012,"" ""),COUNTA(SPLIT(A7012,"" ""))))"),"Vallefiorita")</f>
        <v>Vallefiorita</v>
      </c>
      <c r="C7012" s="6"/>
      <c r="D7012" s="6" t="s">
        <v>7033</v>
      </c>
      <c r="E7012" s="7" t="s">
        <v>7034</v>
      </c>
    </row>
    <row r="7013">
      <c r="A7013" s="4" t="s">
        <v>7111</v>
      </c>
      <c r="B7013" s="5" t="str">
        <f>IFERROR(__xludf.DUMMYFUNCTION("IF(A7013="""","""",INDEX(SPLIT(A7013,"" ""),COUNTA(SPLIT(A7013,"" ""))))"),"Zagarise")</f>
        <v>Zagarise</v>
      </c>
      <c r="C7013" s="6"/>
      <c r="D7013" s="6" t="s">
        <v>7033</v>
      </c>
      <c r="E7013" s="7" t="s">
        <v>7034</v>
      </c>
    </row>
    <row r="7014">
      <c r="A7014" s="4" t="s">
        <v>7112</v>
      </c>
      <c r="B7014" s="5" t="str">
        <f>IFERROR(__xludf.DUMMYFUNCTION("IF(A7014="""","""",INDEX(SPLIT(A7014,"" ""),COUNTA(SPLIT(A7014,"" ""))))"),"Terme")</f>
        <v>Terme</v>
      </c>
      <c r="C7014" s="6"/>
      <c r="D7014" s="6" t="s">
        <v>7033</v>
      </c>
      <c r="E7014" s="7" t="s">
        <v>7034</v>
      </c>
    </row>
    <row r="7015">
      <c r="A7015" s="4" t="s">
        <v>7113</v>
      </c>
      <c r="B7015" s="5" t="str">
        <f>IFERROR(__xludf.DUMMYFUNCTION("IF(A7015="""","""",INDEX(SPLIT(A7015,"" ""),COUNTA(SPLIT(A7015,"" ""))))"),"Africo")</f>
        <v>Africo</v>
      </c>
      <c r="C7015" s="6" t="s">
        <v>7114</v>
      </c>
      <c r="D7015" s="6"/>
      <c r="E7015" s="7" t="s">
        <v>7115</v>
      </c>
    </row>
    <row r="7016">
      <c r="A7016" s="4" t="s">
        <v>7116</v>
      </c>
      <c r="B7016" s="5" t="str">
        <f>IFERROR(__xludf.DUMMYFUNCTION("IF(A7016="""","""",INDEX(SPLIT(A7016,"" ""),COUNTA(SPLIT(A7016,"" ""))))"),"Calabra")</f>
        <v>Calabra</v>
      </c>
      <c r="C7016" s="6" t="s">
        <v>7114</v>
      </c>
      <c r="D7016" s="6"/>
      <c r="E7016" s="7" t="s">
        <v>7115</v>
      </c>
    </row>
    <row r="7017">
      <c r="A7017" s="4" t="s">
        <v>7117</v>
      </c>
      <c r="B7017" s="5" t="str">
        <f>IFERROR(__xludf.DUMMYFUNCTION("IF(A7017="""","""",INDEX(SPLIT(A7017,"" ""),COUNTA(SPLIT(A7017,"" ""))))"),"Anoia")</f>
        <v>Anoia</v>
      </c>
      <c r="C7017" s="6" t="s">
        <v>7114</v>
      </c>
      <c r="D7017" s="6"/>
      <c r="E7017" s="7" t="s">
        <v>7115</v>
      </c>
    </row>
    <row r="7018">
      <c r="A7018" s="4" t="s">
        <v>7118</v>
      </c>
      <c r="B7018" s="5" t="str">
        <f>IFERROR(__xludf.DUMMYFUNCTION("IF(A7018="""","""",INDEX(SPLIT(A7018,"" ""),COUNTA(SPLIT(A7018,"" ""))))"),"Antonimina")</f>
        <v>Antonimina</v>
      </c>
      <c r="C7018" s="6" t="s">
        <v>7114</v>
      </c>
      <c r="D7018" s="6"/>
      <c r="E7018" s="7" t="s">
        <v>7115</v>
      </c>
    </row>
    <row r="7019">
      <c r="A7019" s="4" t="s">
        <v>7119</v>
      </c>
      <c r="B7019" s="5" t="str">
        <f>IFERROR(__xludf.DUMMYFUNCTION("IF(A7019="""","""",INDEX(SPLIT(A7019,"" ""),COUNTA(SPLIT(A7019,"" ""))))"),"Ardore")</f>
        <v>Ardore</v>
      </c>
      <c r="C7019" s="6" t="s">
        <v>7114</v>
      </c>
      <c r="D7019" s="6"/>
      <c r="E7019" s="7" t="s">
        <v>7115</v>
      </c>
    </row>
    <row r="7020">
      <c r="A7020" s="4" t="s">
        <v>7120</v>
      </c>
      <c r="B7020" s="5" t="str">
        <f>IFERROR(__xludf.DUMMYFUNCTION("IF(A7020="""","""",INDEX(SPLIT(A7020,"" ""),COUNTA(SPLIT(A7020,"" ""))))"),"Bagaladi")</f>
        <v>Bagaladi</v>
      </c>
      <c r="C7020" s="6" t="s">
        <v>7114</v>
      </c>
      <c r="D7020" s="6"/>
      <c r="E7020" s="7" t="s">
        <v>7115</v>
      </c>
    </row>
    <row r="7021">
      <c r="A7021" s="4" t="s">
        <v>7121</v>
      </c>
      <c r="B7021" s="5" t="str">
        <f>IFERROR(__xludf.DUMMYFUNCTION("IF(A7021="""","""",INDEX(SPLIT(A7021,"" ""),COUNTA(SPLIT(A7021,"" ""))))"),"Calabra")</f>
        <v>Calabra</v>
      </c>
      <c r="C7021" s="6" t="s">
        <v>7114</v>
      </c>
      <c r="D7021" s="6"/>
      <c r="E7021" s="7" t="s">
        <v>7115</v>
      </c>
    </row>
    <row r="7022">
      <c r="A7022" s="4" t="s">
        <v>7122</v>
      </c>
      <c r="B7022" s="5" t="str">
        <f>IFERROR(__xludf.DUMMYFUNCTION("IF(A7022="""","""",INDEX(SPLIT(A7022,"" ""),COUNTA(SPLIT(A7022,"" ""))))"),"Benestare")</f>
        <v>Benestare</v>
      </c>
      <c r="C7022" s="6" t="s">
        <v>7114</v>
      </c>
      <c r="D7022" s="6"/>
      <c r="E7022" s="7" t="s">
        <v>7115</v>
      </c>
    </row>
    <row r="7023">
      <c r="A7023" s="4" t="s">
        <v>7123</v>
      </c>
      <c r="B7023" s="5" t="str">
        <f>IFERROR(__xludf.DUMMYFUNCTION("IF(A7023="""","""",INDEX(SPLIT(A7023,"" ""),COUNTA(SPLIT(A7023,"" ""))))"),"Bianco")</f>
        <v>Bianco</v>
      </c>
      <c r="C7023" s="6" t="s">
        <v>7114</v>
      </c>
      <c r="D7023" s="6"/>
      <c r="E7023" s="7" t="s">
        <v>7115</v>
      </c>
    </row>
    <row r="7024">
      <c r="A7024" s="4" t="s">
        <v>7124</v>
      </c>
      <c r="B7024" s="5" t="str">
        <f>IFERROR(__xludf.DUMMYFUNCTION("IF(A7024="""","""",INDEX(SPLIT(A7024,"" ""),COUNTA(SPLIT(A7024,"" ""))))"),"Bivongi")</f>
        <v>Bivongi</v>
      </c>
      <c r="C7024" s="6" t="s">
        <v>7114</v>
      </c>
      <c r="D7024" s="6"/>
      <c r="E7024" s="7" t="s">
        <v>7115</v>
      </c>
    </row>
    <row r="7025">
      <c r="A7025" s="4" t="s">
        <v>7125</v>
      </c>
      <c r="B7025" s="5" t="str">
        <f>IFERROR(__xludf.DUMMYFUNCTION("IF(A7025="""","""",INDEX(SPLIT(A7025,"" ""),COUNTA(SPLIT(A7025,"" ""))))"),"Bova")</f>
        <v>Bova</v>
      </c>
      <c r="C7025" s="6" t="s">
        <v>7114</v>
      </c>
      <c r="D7025" s="6"/>
      <c r="E7025" s="7" t="s">
        <v>7115</v>
      </c>
    </row>
    <row r="7026">
      <c r="A7026" s="4" t="s">
        <v>7126</v>
      </c>
      <c r="B7026" s="5" t="str">
        <f>IFERROR(__xludf.DUMMYFUNCTION("IF(A7026="""","""",INDEX(SPLIT(A7026,"" ""),COUNTA(SPLIT(A7026,"" ""))))"),"Bovalino")</f>
        <v>Bovalino</v>
      </c>
      <c r="C7026" s="6" t="s">
        <v>7114</v>
      </c>
      <c r="D7026" s="6"/>
      <c r="E7026" s="7" t="s">
        <v>7115</v>
      </c>
    </row>
    <row r="7027">
      <c r="A7027" s="4" t="s">
        <v>7127</v>
      </c>
      <c r="B7027" s="5" t="str">
        <f>IFERROR(__xludf.DUMMYFUNCTION("IF(A7027="""","""",INDEX(SPLIT(A7027,"" ""),COUNTA(SPLIT(A7027,"" ""))))"),"Marina")</f>
        <v>Marina</v>
      </c>
      <c r="C7027" s="6" t="s">
        <v>7114</v>
      </c>
      <c r="D7027" s="6"/>
      <c r="E7027" s="7" t="s">
        <v>7115</v>
      </c>
    </row>
    <row r="7028">
      <c r="A7028" s="4" t="s">
        <v>7128</v>
      </c>
      <c r="B7028" s="5" t="str">
        <f>IFERROR(__xludf.DUMMYFUNCTION("IF(A7028="""","""",INDEX(SPLIT(A7028,"" ""),COUNTA(SPLIT(A7028,"" ""))))"),"Brancaleone")</f>
        <v>Brancaleone</v>
      </c>
      <c r="C7028" s="6" t="s">
        <v>7114</v>
      </c>
      <c r="D7028" s="6"/>
      <c r="E7028" s="7" t="s">
        <v>7115</v>
      </c>
    </row>
    <row r="7029">
      <c r="A7029" s="4" t="s">
        <v>7129</v>
      </c>
      <c r="B7029" s="5" t="str">
        <f>IFERROR(__xludf.DUMMYFUNCTION("IF(A7029="""","""",INDEX(SPLIT(A7029,"" ""),COUNTA(SPLIT(A7029,"" ""))))"),"Zeffirio")</f>
        <v>Zeffirio</v>
      </c>
      <c r="C7029" s="6" t="s">
        <v>7114</v>
      </c>
      <c r="D7029" s="6"/>
      <c r="E7029" s="7" t="s">
        <v>7115</v>
      </c>
    </row>
    <row r="7030">
      <c r="A7030" s="4" t="s">
        <v>7130</v>
      </c>
      <c r="B7030" s="5" t="str">
        <f>IFERROR(__xludf.DUMMYFUNCTION("IF(A7030="""","""",INDEX(SPLIT(A7030,"" ""),COUNTA(SPLIT(A7030,"" ""))))"),"Calanna")</f>
        <v>Calanna</v>
      </c>
      <c r="C7030" s="6" t="s">
        <v>7114</v>
      </c>
      <c r="D7030" s="6"/>
      <c r="E7030" s="7" t="s">
        <v>7115</v>
      </c>
    </row>
    <row r="7031">
      <c r="A7031" s="4" t="s">
        <v>7131</v>
      </c>
      <c r="B7031" s="5" t="str">
        <f>IFERROR(__xludf.DUMMYFUNCTION("IF(A7031="""","""",INDEX(SPLIT(A7031,"" ""),COUNTA(SPLIT(A7031,"" ""))))"),"Camini")</f>
        <v>Camini</v>
      </c>
      <c r="C7031" s="6" t="s">
        <v>7114</v>
      </c>
      <c r="D7031" s="6"/>
      <c r="E7031" s="7" t="s">
        <v>7115</v>
      </c>
    </row>
    <row r="7032">
      <c r="A7032" s="4" t="s">
        <v>7132</v>
      </c>
      <c r="B7032" s="5" t="str">
        <f>IFERROR(__xludf.DUMMYFUNCTION("IF(A7032="""","""",INDEX(SPLIT(A7032,"" ""),COUNTA(SPLIT(A7032,"" ""))))"),"Calabro")</f>
        <v>Calabro</v>
      </c>
      <c r="C7032" s="6" t="s">
        <v>7114</v>
      </c>
      <c r="D7032" s="6"/>
      <c r="E7032" s="7" t="s">
        <v>7115</v>
      </c>
    </row>
    <row r="7033">
      <c r="A7033" s="4" t="s">
        <v>7133</v>
      </c>
      <c r="B7033" s="5" t="str">
        <f>IFERROR(__xludf.DUMMYFUNCTION("IF(A7033="""","""",INDEX(SPLIT(A7033,"" ""),COUNTA(SPLIT(A7033,"" ""))))"),"Candidoni")</f>
        <v>Candidoni</v>
      </c>
      <c r="C7033" s="6" t="s">
        <v>7114</v>
      </c>
      <c r="D7033" s="6"/>
      <c r="E7033" s="7" t="s">
        <v>7115</v>
      </c>
    </row>
    <row r="7034">
      <c r="A7034" s="4" t="s">
        <v>7134</v>
      </c>
      <c r="B7034" s="5" t="str">
        <f>IFERROR(__xludf.DUMMYFUNCTION("IF(A7034="""","""",INDEX(SPLIT(A7034,"" ""),COUNTA(SPLIT(A7034,"" ""))))"),"Canolo")</f>
        <v>Canolo</v>
      </c>
      <c r="C7034" s="6" t="s">
        <v>7114</v>
      </c>
      <c r="D7034" s="6"/>
      <c r="E7034" s="7" t="s">
        <v>7115</v>
      </c>
    </row>
    <row r="7035">
      <c r="A7035" s="4" t="s">
        <v>7135</v>
      </c>
      <c r="B7035" s="5" t="str">
        <f>IFERROR(__xludf.DUMMYFUNCTION("IF(A7035="""","""",INDEX(SPLIT(A7035,"" ""),COUNTA(SPLIT(A7035,"" ""))))"),"Bianco")</f>
        <v>Bianco</v>
      </c>
      <c r="C7035" s="6" t="s">
        <v>7114</v>
      </c>
      <c r="D7035" s="6"/>
      <c r="E7035" s="7" t="s">
        <v>7115</v>
      </c>
    </row>
    <row r="7036">
      <c r="A7036" s="4" t="s">
        <v>7136</v>
      </c>
      <c r="B7036" s="5" t="str">
        <f>IFERROR(__xludf.DUMMYFUNCTION("IF(A7036="""","""",INDEX(SPLIT(A7036,"" ""),COUNTA(SPLIT(A7036,"" ""))))"),"Cardeto")</f>
        <v>Cardeto</v>
      </c>
      <c r="C7036" s="6" t="s">
        <v>7114</v>
      </c>
      <c r="D7036" s="6"/>
      <c r="E7036" s="7" t="s">
        <v>7115</v>
      </c>
    </row>
    <row r="7037">
      <c r="A7037" s="4" t="s">
        <v>7137</v>
      </c>
      <c r="B7037" s="5" t="str">
        <f>IFERROR(__xludf.DUMMYFUNCTION("IF(A7037="""","""",INDEX(SPLIT(A7037,"" ""),COUNTA(SPLIT(A7037,"" ""))))"),"Careri")</f>
        <v>Careri</v>
      </c>
      <c r="C7037" s="6" t="s">
        <v>7114</v>
      </c>
      <c r="D7037" s="6"/>
      <c r="E7037" s="7" t="s">
        <v>7115</v>
      </c>
    </row>
    <row r="7038">
      <c r="A7038" s="4" t="s">
        <v>7138</v>
      </c>
      <c r="B7038" s="5" t="str">
        <f>IFERROR(__xludf.DUMMYFUNCTION("IF(A7038="""","""",INDEX(SPLIT(A7038,"" ""),COUNTA(SPLIT(A7038,"" ""))))"),"Casignana")</f>
        <v>Casignana</v>
      </c>
      <c r="C7038" s="6" t="s">
        <v>7114</v>
      </c>
      <c r="D7038" s="6"/>
      <c r="E7038" s="7" t="s">
        <v>7115</v>
      </c>
    </row>
    <row r="7039">
      <c r="A7039" s="4" t="s">
        <v>7139</v>
      </c>
      <c r="B7039" s="5" t="str">
        <f>IFERROR(__xludf.DUMMYFUNCTION("IF(A7039="""","""",INDEX(SPLIT(A7039,"" ""),COUNTA(SPLIT(A7039,"" ""))))"),"Caulonia")</f>
        <v>Caulonia</v>
      </c>
      <c r="C7039" s="6" t="s">
        <v>7114</v>
      </c>
      <c r="D7039" s="6"/>
      <c r="E7039" s="7" t="s">
        <v>7115</v>
      </c>
    </row>
    <row r="7040">
      <c r="A7040" s="4" t="s">
        <v>7140</v>
      </c>
      <c r="B7040" s="5" t="str">
        <f>IFERROR(__xludf.DUMMYFUNCTION("IF(A7040="""","""",INDEX(SPLIT(A7040,"" ""),COUNTA(SPLIT(A7040,"" ""))))"),"Ciminà")</f>
        <v>Ciminà</v>
      </c>
      <c r="C7040" s="6" t="s">
        <v>7114</v>
      </c>
      <c r="D7040" s="6"/>
      <c r="E7040" s="7" t="s">
        <v>7115</v>
      </c>
    </row>
    <row r="7041">
      <c r="A7041" s="4" t="s">
        <v>7141</v>
      </c>
      <c r="B7041" s="5" t="str">
        <f>IFERROR(__xludf.DUMMYFUNCTION("IF(A7041="""","""",INDEX(SPLIT(A7041,"" ""),COUNTA(SPLIT(A7041,"" ""))))"),"Cinquefrondi")</f>
        <v>Cinquefrondi</v>
      </c>
      <c r="C7041" s="6" t="s">
        <v>7114</v>
      </c>
      <c r="D7041" s="6"/>
      <c r="E7041" s="7" t="s">
        <v>7115</v>
      </c>
    </row>
    <row r="7042">
      <c r="A7042" s="4" t="s">
        <v>7142</v>
      </c>
      <c r="B7042" s="5" t="str">
        <f>IFERROR(__xludf.DUMMYFUNCTION("IF(A7042="""","""",INDEX(SPLIT(A7042,"" ""),COUNTA(SPLIT(A7042,"" ""))))"),"Cittanova")</f>
        <v>Cittanova</v>
      </c>
      <c r="C7042" s="6" t="s">
        <v>7114</v>
      </c>
      <c r="D7042" s="6"/>
      <c r="E7042" s="7" t="s">
        <v>7115</v>
      </c>
    </row>
    <row r="7043">
      <c r="A7043" s="4" t="s">
        <v>7143</v>
      </c>
      <c r="B7043" s="5" t="str">
        <f>IFERROR(__xludf.DUMMYFUNCTION("IF(A7043="""","""",INDEX(SPLIT(A7043,"" ""),COUNTA(SPLIT(A7043,"" ""))))"),"Condofuri")</f>
        <v>Condofuri</v>
      </c>
      <c r="C7043" s="6" t="s">
        <v>7114</v>
      </c>
      <c r="D7043" s="6"/>
      <c r="E7043" s="7" t="s">
        <v>7115</v>
      </c>
    </row>
    <row r="7044">
      <c r="A7044" s="4" t="s">
        <v>7144</v>
      </c>
      <c r="B7044" s="5" t="str">
        <f>IFERROR(__xludf.DUMMYFUNCTION("IF(A7044="""","""",INDEX(SPLIT(A7044,"" ""),COUNTA(SPLIT(A7044,"" ""))))"),"Cosoleto")</f>
        <v>Cosoleto</v>
      </c>
      <c r="C7044" s="6" t="s">
        <v>7114</v>
      </c>
      <c r="D7044" s="6"/>
      <c r="E7044" s="7" t="s">
        <v>7115</v>
      </c>
    </row>
    <row r="7045">
      <c r="A7045" s="4" t="s">
        <v>7145</v>
      </c>
      <c r="B7045" s="5" t="str">
        <f>IFERROR(__xludf.DUMMYFUNCTION("IF(A7045="""","""",INDEX(SPLIT(A7045,"" ""),COUNTA(SPLIT(A7045,"" ""))))"),"Delianuova")</f>
        <v>Delianuova</v>
      </c>
      <c r="C7045" s="6" t="s">
        <v>7114</v>
      </c>
      <c r="D7045" s="6"/>
      <c r="E7045" s="7" t="s">
        <v>7115</v>
      </c>
    </row>
    <row r="7046">
      <c r="A7046" s="4" t="s">
        <v>7146</v>
      </c>
      <c r="B7046" s="5" t="str">
        <f>IFERROR(__xludf.DUMMYFUNCTION("IF(A7046="""","""",INDEX(SPLIT(A7046,"" ""),COUNTA(SPLIT(A7046,"" ""))))"),"Chiesa")</f>
        <v>Chiesa</v>
      </c>
      <c r="C7046" s="6" t="s">
        <v>7114</v>
      </c>
      <c r="D7046" s="6"/>
      <c r="E7046" s="7" t="s">
        <v>7115</v>
      </c>
    </row>
    <row r="7047">
      <c r="A7047" s="4" t="s">
        <v>7147</v>
      </c>
      <c r="B7047" s="5" t="str">
        <f>IFERROR(__xludf.DUMMYFUNCTION("IF(A7047="""","""",INDEX(SPLIT(A7047,"" ""),COUNTA(SPLIT(A7047,"" ""))))"),"Ferruzzano")</f>
        <v>Ferruzzano</v>
      </c>
      <c r="C7047" s="6" t="s">
        <v>7114</v>
      </c>
      <c r="D7047" s="6"/>
      <c r="E7047" s="7" t="s">
        <v>7115</v>
      </c>
    </row>
    <row r="7048">
      <c r="A7048" s="4" t="s">
        <v>7148</v>
      </c>
      <c r="B7048" s="5" t="str">
        <f>IFERROR(__xludf.DUMMYFUNCTION("IF(A7048="""","""",INDEX(SPLIT(A7048,"" ""),COUNTA(SPLIT(A7048,"" ""))))"),"Fiumara")</f>
        <v>Fiumara</v>
      </c>
      <c r="C7048" s="6" t="s">
        <v>7114</v>
      </c>
      <c r="D7048" s="6"/>
      <c r="E7048" s="7" t="s">
        <v>7115</v>
      </c>
    </row>
    <row r="7049">
      <c r="A7049" s="4" t="s">
        <v>7149</v>
      </c>
      <c r="B7049" s="5" t="str">
        <f>IFERROR(__xludf.DUMMYFUNCTION("IF(A7049="""","""",INDEX(SPLIT(A7049,"" ""),COUNTA(SPLIT(A7049,"" ""))))"),"Galatro")</f>
        <v>Galatro</v>
      </c>
      <c r="C7049" s="6" t="s">
        <v>7114</v>
      </c>
      <c r="D7049" s="6"/>
      <c r="E7049" s="7" t="s">
        <v>7115</v>
      </c>
    </row>
    <row r="7050">
      <c r="A7050" s="4" t="s">
        <v>7150</v>
      </c>
      <c r="B7050" s="5" t="str">
        <f>IFERROR(__xludf.DUMMYFUNCTION("IF(A7050="""","""",INDEX(SPLIT(A7050,"" ""),COUNTA(SPLIT(A7050,"" ""))))"),"Gerace")</f>
        <v>Gerace</v>
      </c>
      <c r="C7050" s="6" t="s">
        <v>7114</v>
      </c>
      <c r="D7050" s="6"/>
      <c r="E7050" s="7" t="s">
        <v>7115</v>
      </c>
    </row>
    <row r="7051">
      <c r="A7051" s="4" t="s">
        <v>7151</v>
      </c>
      <c r="B7051" s="5" t="str">
        <f>IFERROR(__xludf.DUMMYFUNCTION("IF(A7051="""","""",INDEX(SPLIT(A7051,"" ""),COUNTA(SPLIT(A7051,"" ""))))"),"Giffone")</f>
        <v>Giffone</v>
      </c>
      <c r="C7051" s="6" t="s">
        <v>7114</v>
      </c>
      <c r="D7051" s="6"/>
      <c r="E7051" s="7" t="s">
        <v>7115</v>
      </c>
    </row>
    <row r="7052">
      <c r="A7052" s="4" t="s">
        <v>7152</v>
      </c>
      <c r="B7052" s="5" t="str">
        <f>IFERROR(__xludf.DUMMYFUNCTION("IF(A7052="""","""",INDEX(SPLIT(A7052,"" ""),COUNTA(SPLIT(A7052,"" ""))))"),"Tauro")</f>
        <v>Tauro</v>
      </c>
      <c r="C7052" s="6" t="s">
        <v>7114</v>
      </c>
      <c r="D7052" s="6"/>
      <c r="E7052" s="7" t="s">
        <v>7115</v>
      </c>
    </row>
    <row r="7053">
      <c r="A7053" s="4" t="s">
        <v>7153</v>
      </c>
      <c r="B7053" s="5" t="str">
        <f>IFERROR(__xludf.DUMMYFUNCTION("IF(A7053="""","""",INDEX(SPLIT(A7053,"" ""),COUNTA(SPLIT(A7053,"" ""))))"),"Ionica")</f>
        <v>Ionica</v>
      </c>
      <c r="C7053" s="6" t="s">
        <v>7114</v>
      </c>
      <c r="D7053" s="6"/>
      <c r="E7053" s="7" t="s">
        <v>7115</v>
      </c>
    </row>
    <row r="7054">
      <c r="A7054" s="4" t="s">
        <v>7154</v>
      </c>
      <c r="B7054" s="5" t="str">
        <f>IFERROR(__xludf.DUMMYFUNCTION("IF(A7054="""","""",INDEX(SPLIT(A7054,"" ""),COUNTA(SPLIT(A7054,"" ""))))"),"Grotteria")</f>
        <v>Grotteria</v>
      </c>
      <c r="C7054" s="6" t="s">
        <v>7114</v>
      </c>
      <c r="D7054" s="6"/>
      <c r="E7054" s="7" t="s">
        <v>7115</v>
      </c>
    </row>
    <row r="7055">
      <c r="A7055" s="4" t="s">
        <v>7155</v>
      </c>
      <c r="B7055" s="5" t="str">
        <f>IFERROR(__xludf.DUMMYFUNCTION("IF(A7055="""","""",INDEX(SPLIT(A7055,"" ""),COUNTA(SPLIT(A7055,"" ""))))"),"Laganadi")</f>
        <v>Laganadi</v>
      </c>
      <c r="C7055" s="6" t="s">
        <v>7114</v>
      </c>
      <c r="D7055" s="6"/>
      <c r="E7055" s="7" t="s">
        <v>7115</v>
      </c>
    </row>
    <row r="7056">
      <c r="A7056" s="4" t="s">
        <v>7156</v>
      </c>
      <c r="B7056" s="5" t="str">
        <f>IFERROR(__xludf.DUMMYFUNCTION("IF(A7056="""","""",INDEX(SPLIT(A7056,"" ""),COUNTA(SPLIT(A7056,"" ""))))"),"Borrello")</f>
        <v>Borrello</v>
      </c>
      <c r="C7056" s="6" t="s">
        <v>7114</v>
      </c>
      <c r="D7056" s="6"/>
      <c r="E7056" s="7" t="s">
        <v>7115</v>
      </c>
    </row>
    <row r="7057">
      <c r="A7057" s="4" t="s">
        <v>7157</v>
      </c>
      <c r="B7057" s="5" t="str">
        <f>IFERROR(__xludf.DUMMYFUNCTION("IF(A7057="""","""",INDEX(SPLIT(A7057,"" ""),COUNTA(SPLIT(A7057,"" ""))))"),"Locri")</f>
        <v>Locri</v>
      </c>
      <c r="C7057" s="6" t="s">
        <v>7114</v>
      </c>
      <c r="D7057" s="6"/>
      <c r="E7057" s="7" t="s">
        <v>7115</v>
      </c>
    </row>
    <row r="7058">
      <c r="A7058" s="4" t="s">
        <v>7158</v>
      </c>
      <c r="B7058" s="5" t="str">
        <f>IFERROR(__xludf.DUMMYFUNCTION("IF(A7058="""","""",INDEX(SPLIT(A7058,"" ""),COUNTA(SPLIT(A7058,"" ""))))"),"Mammola")</f>
        <v>Mammola</v>
      </c>
      <c r="C7058" s="6" t="s">
        <v>7114</v>
      </c>
      <c r="D7058" s="6"/>
      <c r="E7058" s="7" t="s">
        <v>7115</v>
      </c>
    </row>
    <row r="7059">
      <c r="A7059" s="4" t="s">
        <v>7159</v>
      </c>
      <c r="B7059" s="5" t="str">
        <f>IFERROR(__xludf.DUMMYFUNCTION("IF(A7059="""","""",INDEX(SPLIT(A7059,"" ""),COUNTA(SPLIT(A7059,"" ""))))"),"Ionica")</f>
        <v>Ionica</v>
      </c>
      <c r="C7059" s="6" t="s">
        <v>7114</v>
      </c>
      <c r="D7059" s="6"/>
      <c r="E7059" s="7" t="s">
        <v>7115</v>
      </c>
    </row>
    <row r="7060">
      <c r="A7060" s="4" t="s">
        <v>7160</v>
      </c>
      <c r="B7060" s="5" t="str">
        <f>IFERROR(__xludf.DUMMYFUNCTION("IF(A7060="""","""",INDEX(SPLIT(A7060,"" ""),COUNTA(SPLIT(A7060,"" ""))))"),"Maropati")</f>
        <v>Maropati</v>
      </c>
      <c r="C7060" s="6" t="s">
        <v>7114</v>
      </c>
      <c r="D7060" s="6"/>
      <c r="E7060" s="7" t="s">
        <v>7115</v>
      </c>
    </row>
    <row r="7061">
      <c r="A7061" s="4" t="s">
        <v>7161</v>
      </c>
      <c r="B7061" s="5" t="str">
        <f>IFERROR(__xludf.DUMMYFUNCTION("IF(A7061="""","""",INDEX(SPLIT(A7061,"" ""),COUNTA(SPLIT(A7061,"" ""))))"),"Martone")</f>
        <v>Martone</v>
      </c>
      <c r="C7061" s="6" t="s">
        <v>7114</v>
      </c>
      <c r="D7061" s="6"/>
      <c r="E7061" s="7" t="s">
        <v>7115</v>
      </c>
    </row>
    <row r="7062">
      <c r="A7062" s="4" t="s">
        <v>7162</v>
      </c>
      <c r="B7062" s="5" t="str">
        <f>IFERROR(__xludf.DUMMYFUNCTION("IF(A7062="""","""",INDEX(SPLIT(A7062,"" ""),COUNTA(SPLIT(A7062,"" ""))))"),"Melicuccà")</f>
        <v>Melicuccà</v>
      </c>
      <c r="C7062" s="6" t="s">
        <v>7114</v>
      </c>
      <c r="D7062" s="6"/>
      <c r="E7062" s="7" t="s">
        <v>7115</v>
      </c>
    </row>
    <row r="7063">
      <c r="A7063" s="4" t="s">
        <v>7163</v>
      </c>
      <c r="B7063" s="5" t="str">
        <f>IFERROR(__xludf.DUMMYFUNCTION("IF(A7063="""","""",INDEX(SPLIT(A7063,"" ""),COUNTA(SPLIT(A7063,"" ""))))"),"Melicucco")</f>
        <v>Melicucco</v>
      </c>
      <c r="C7063" s="6" t="s">
        <v>7114</v>
      </c>
      <c r="D7063" s="6"/>
      <c r="E7063" s="7" t="s">
        <v>7115</v>
      </c>
    </row>
    <row r="7064">
      <c r="A7064" s="4" t="s">
        <v>7164</v>
      </c>
      <c r="B7064" s="5" t="str">
        <f>IFERROR(__xludf.DUMMYFUNCTION("IF(A7064="""","""",INDEX(SPLIT(A7064,"" ""),COUNTA(SPLIT(A7064,"" ""))))"),"Salvo")</f>
        <v>Salvo</v>
      </c>
      <c r="C7064" s="6" t="s">
        <v>7114</v>
      </c>
      <c r="D7064" s="6"/>
      <c r="E7064" s="7" t="s">
        <v>7115</v>
      </c>
    </row>
    <row r="7065">
      <c r="A7065" s="4" t="s">
        <v>7165</v>
      </c>
      <c r="B7065" s="5" t="str">
        <f>IFERROR(__xludf.DUMMYFUNCTION("IF(A7065="""","""",INDEX(SPLIT(A7065,"" ""),COUNTA(SPLIT(A7065,"" ""))))"),"Molochio")</f>
        <v>Molochio</v>
      </c>
      <c r="C7065" s="6" t="s">
        <v>7114</v>
      </c>
      <c r="D7065" s="6"/>
      <c r="E7065" s="7" t="s">
        <v>7115</v>
      </c>
    </row>
    <row r="7066">
      <c r="A7066" s="4" t="s">
        <v>7166</v>
      </c>
      <c r="B7066" s="5" t="str">
        <f>IFERROR(__xludf.DUMMYFUNCTION("IF(A7066="""","""",INDEX(SPLIT(A7066,"" ""),COUNTA(SPLIT(A7066,"" ""))))"),"Monasterace")</f>
        <v>Monasterace</v>
      </c>
      <c r="C7066" s="6" t="s">
        <v>7114</v>
      </c>
      <c r="D7066" s="6"/>
      <c r="E7066" s="7" t="s">
        <v>7115</v>
      </c>
    </row>
    <row r="7067">
      <c r="A7067" s="4" t="s">
        <v>7167</v>
      </c>
      <c r="B7067" s="5" t="str">
        <f>IFERROR(__xludf.DUMMYFUNCTION("IF(A7067="""","""",INDEX(SPLIT(A7067,"" ""),COUNTA(SPLIT(A7067,"" ""))))"),"Jonico")</f>
        <v>Jonico</v>
      </c>
      <c r="C7067" s="6" t="s">
        <v>7114</v>
      </c>
      <c r="D7067" s="6"/>
      <c r="E7067" s="7" t="s">
        <v>7115</v>
      </c>
    </row>
    <row r="7068">
      <c r="A7068" s="4" t="s">
        <v>7168</v>
      </c>
      <c r="B7068" s="5" t="str">
        <f>IFERROR(__xludf.DUMMYFUNCTION("IF(A7068="""","""",INDEX(SPLIT(A7068,"" ""),COUNTA(SPLIT(A7068,"" ""))))"),"Giovanni")</f>
        <v>Giovanni</v>
      </c>
      <c r="C7068" s="6" t="s">
        <v>7114</v>
      </c>
      <c r="D7068" s="6"/>
      <c r="E7068" s="7" t="s">
        <v>7115</v>
      </c>
    </row>
    <row r="7069">
      <c r="A7069" s="4" t="s">
        <v>7169</v>
      </c>
      <c r="B7069" s="5" t="str">
        <f>IFERROR(__xludf.DUMMYFUNCTION("IF(A7069="""","""",INDEX(SPLIT(A7069,"" ""),COUNTA(SPLIT(A7069,"" ""))))"),"Mamertina")</f>
        <v>Mamertina</v>
      </c>
      <c r="C7069" s="6" t="s">
        <v>7114</v>
      </c>
      <c r="D7069" s="6"/>
      <c r="E7069" s="7" t="s">
        <v>7115</v>
      </c>
    </row>
    <row r="7070">
      <c r="A7070" s="4" t="s">
        <v>7170</v>
      </c>
      <c r="B7070" s="5" t="str">
        <f>IFERROR(__xludf.DUMMYFUNCTION("IF(A7070="""","""",INDEX(SPLIT(A7070,"" ""),COUNTA(SPLIT(A7070,"" ""))))"),"Palizzi")</f>
        <v>Palizzi</v>
      </c>
      <c r="C7070" s="6" t="s">
        <v>7114</v>
      </c>
      <c r="D7070" s="6"/>
      <c r="E7070" s="7" t="s">
        <v>7115</v>
      </c>
    </row>
    <row r="7071">
      <c r="A7071" s="4" t="s">
        <v>7171</v>
      </c>
      <c r="B7071" s="5" t="str">
        <f>IFERROR(__xludf.DUMMYFUNCTION("IF(A7071="""","""",INDEX(SPLIT(A7071,"" ""),COUNTA(SPLIT(A7071,"" ""))))"),"Palmi")</f>
        <v>Palmi</v>
      </c>
      <c r="C7071" s="6" t="s">
        <v>7114</v>
      </c>
      <c r="D7071" s="6"/>
      <c r="E7071" s="7" t="s">
        <v>7115</v>
      </c>
    </row>
    <row r="7072">
      <c r="A7072" s="4" t="s">
        <v>7172</v>
      </c>
      <c r="B7072" s="5" t="str">
        <f>IFERROR(__xludf.DUMMYFUNCTION("IF(A7072="""","""",INDEX(SPLIT(A7072,"" ""),COUNTA(SPLIT(A7072,"" ""))))"),"Pazzano")</f>
        <v>Pazzano</v>
      </c>
      <c r="C7072" s="6" t="s">
        <v>7114</v>
      </c>
      <c r="D7072" s="6"/>
      <c r="E7072" s="7" t="s">
        <v>7115</v>
      </c>
    </row>
    <row r="7073">
      <c r="A7073" s="4" t="s">
        <v>7173</v>
      </c>
      <c r="B7073" s="5" t="str">
        <f>IFERROR(__xludf.DUMMYFUNCTION("IF(A7073="""","""",INDEX(SPLIT(A7073,"" ""),COUNTA(SPLIT(A7073,"" ""))))"),"Placanica")</f>
        <v>Placanica</v>
      </c>
      <c r="C7073" s="6" t="s">
        <v>7114</v>
      </c>
      <c r="D7073" s="6"/>
      <c r="E7073" s="7" t="s">
        <v>7115</v>
      </c>
    </row>
    <row r="7074">
      <c r="A7074" s="4" t="s">
        <v>7174</v>
      </c>
      <c r="B7074" s="5" t="str">
        <f>IFERROR(__xludf.DUMMYFUNCTION("IF(A7074="""","""",INDEX(SPLIT(A7074,"" ""),COUNTA(SPLIT(A7074,"" ""))))"),"Platì")</f>
        <v>Platì</v>
      </c>
      <c r="C7074" s="6" t="s">
        <v>7114</v>
      </c>
      <c r="D7074" s="6"/>
      <c r="E7074" s="7" t="s">
        <v>7115</v>
      </c>
    </row>
    <row r="7075">
      <c r="A7075" s="4" t="s">
        <v>7175</v>
      </c>
      <c r="B7075" s="5" t="str">
        <f>IFERROR(__xludf.DUMMYFUNCTION("IF(A7075="""","""",INDEX(SPLIT(A7075,"" ""),COUNTA(SPLIT(A7075,"" ""))))"),"Polistena")</f>
        <v>Polistena</v>
      </c>
      <c r="C7075" s="6" t="s">
        <v>7114</v>
      </c>
      <c r="D7075" s="6"/>
      <c r="E7075" s="7" t="s">
        <v>7115</v>
      </c>
    </row>
    <row r="7076">
      <c r="A7076" s="4" t="s">
        <v>7176</v>
      </c>
      <c r="B7076" s="5" t="str">
        <f>IFERROR(__xludf.DUMMYFUNCTION("IF(A7076="""","""",INDEX(SPLIT(A7076,"" ""),COUNTA(SPLIT(A7076,"" ""))))"),"Portigliola")</f>
        <v>Portigliola</v>
      </c>
      <c r="C7076" s="6" t="s">
        <v>7114</v>
      </c>
      <c r="D7076" s="6"/>
      <c r="E7076" s="7" t="s">
        <v>7115</v>
      </c>
    </row>
    <row r="7077">
      <c r="A7077" s="4" t="s">
        <v>7177</v>
      </c>
      <c r="B7077" s="5" t="str">
        <f>IFERROR(__xludf.DUMMYFUNCTION("IF(A7077="""","""",INDEX(SPLIT(A7077,"" ""),COUNTA(SPLIT(A7077,"" ""))))"),"Calabria")</f>
        <v>Calabria</v>
      </c>
      <c r="C7077" s="6" t="s">
        <v>7114</v>
      </c>
      <c r="D7077" s="6"/>
      <c r="E7077" s="7" t="s">
        <v>7115</v>
      </c>
    </row>
    <row r="7078">
      <c r="A7078" s="4" t="s">
        <v>7178</v>
      </c>
      <c r="B7078" s="5" t="str">
        <f>IFERROR(__xludf.DUMMYFUNCTION("IF(A7078="""","""",INDEX(SPLIT(A7078,"" ""),COUNTA(SPLIT(A7078,"" ""))))"),"Riace")</f>
        <v>Riace</v>
      </c>
      <c r="C7078" s="6" t="s">
        <v>7114</v>
      </c>
      <c r="D7078" s="6"/>
      <c r="E7078" s="7" t="s">
        <v>7115</v>
      </c>
    </row>
    <row r="7079">
      <c r="A7079" s="4" t="s">
        <v>7179</v>
      </c>
      <c r="B7079" s="5" t="str">
        <f>IFERROR(__xludf.DUMMYFUNCTION("IF(A7079="""","""",INDEX(SPLIT(A7079,"" ""),COUNTA(SPLIT(A7079,"" ""))))"),"Rizziconi")</f>
        <v>Rizziconi</v>
      </c>
      <c r="C7079" s="6" t="s">
        <v>7114</v>
      </c>
      <c r="D7079" s="6"/>
      <c r="E7079" s="7" t="s">
        <v>7115</v>
      </c>
    </row>
    <row r="7080">
      <c r="A7080" s="4" t="s">
        <v>7180</v>
      </c>
      <c r="B7080" s="5" t="str">
        <f>IFERROR(__xludf.DUMMYFUNCTION("IF(A7080="""","""",INDEX(SPLIT(A7080,"" ""),COUNTA(SPLIT(A7080,"" ""))))"),"Greco")</f>
        <v>Greco</v>
      </c>
      <c r="C7080" s="6" t="s">
        <v>7114</v>
      </c>
      <c r="D7080" s="6"/>
      <c r="E7080" s="7" t="s">
        <v>7115</v>
      </c>
    </row>
    <row r="7081">
      <c r="A7081" s="4" t="s">
        <v>7181</v>
      </c>
      <c r="B7081" s="5" t="str">
        <f>IFERROR(__xludf.DUMMYFUNCTION("IF(A7081="""","""",INDEX(SPLIT(A7081,"" ""),COUNTA(SPLIT(A7081,"" ""))))"),"Ionica")</f>
        <v>Ionica</v>
      </c>
      <c r="C7081" s="6" t="s">
        <v>7114</v>
      </c>
      <c r="D7081" s="6"/>
      <c r="E7081" s="7" t="s">
        <v>7115</v>
      </c>
    </row>
    <row r="7082">
      <c r="A7082" s="4" t="s">
        <v>7182</v>
      </c>
      <c r="B7082" s="5" t="str">
        <f>IFERROR(__xludf.DUMMYFUNCTION("IF(A7082="""","""",INDEX(SPLIT(A7082,"" ""),COUNTA(SPLIT(A7082,"" ""))))"),"Roghudi")</f>
        <v>Roghudi</v>
      </c>
      <c r="C7082" s="6" t="s">
        <v>7114</v>
      </c>
      <c r="D7082" s="6"/>
      <c r="E7082" s="7" t="s">
        <v>7115</v>
      </c>
    </row>
    <row r="7083">
      <c r="A7083" s="4" t="s">
        <v>7183</v>
      </c>
      <c r="B7083" s="5" t="str">
        <f>IFERROR(__xludf.DUMMYFUNCTION("IF(A7083="""","""",INDEX(SPLIT(A7083,"" ""),COUNTA(SPLIT(A7083,"" ""))))"),"Rosarno")</f>
        <v>Rosarno</v>
      </c>
      <c r="C7083" s="6" t="s">
        <v>7114</v>
      </c>
      <c r="D7083" s="6"/>
      <c r="E7083" s="7" t="s">
        <v>7115</v>
      </c>
    </row>
    <row r="7084">
      <c r="A7084" s="4" t="s">
        <v>7184</v>
      </c>
      <c r="B7084" s="5" t="str">
        <f>IFERROR(__xludf.DUMMYFUNCTION("IF(A7084="""","""",INDEX(SPLIT(A7084,"" ""),COUNTA(SPLIT(A7084,"" ""))))"),"Samo")</f>
        <v>Samo</v>
      </c>
      <c r="C7084" s="6" t="s">
        <v>7114</v>
      </c>
      <c r="D7084" s="6"/>
      <c r="E7084" s="7" t="s">
        <v>7115</v>
      </c>
    </row>
    <row r="7085">
      <c r="A7085" s="4" t="s">
        <v>7185</v>
      </c>
      <c r="B7085" s="5" t="str">
        <f>IFERROR(__xludf.DUMMYFUNCTION("IF(A7085="""","""",INDEX(SPLIT(A7085,"" ""),COUNTA(SPLIT(A7085,"" ""))))"),"Morgeto")</f>
        <v>Morgeto</v>
      </c>
      <c r="C7085" s="6" t="s">
        <v>7114</v>
      </c>
      <c r="D7085" s="6"/>
      <c r="E7085" s="7" t="s">
        <v>7115</v>
      </c>
    </row>
    <row r="7086">
      <c r="A7086" s="4" t="s">
        <v>7186</v>
      </c>
      <c r="B7086" s="5" t="str">
        <f>IFERROR(__xludf.DUMMYFUNCTION("IF(A7086="""","""",INDEX(SPLIT(A7086,"" ""),COUNTA(SPLIT(A7086,"" ""))))"),"Gerace")</f>
        <v>Gerace</v>
      </c>
      <c r="C7086" s="6" t="s">
        <v>7114</v>
      </c>
      <c r="D7086" s="6"/>
      <c r="E7086" s="7" t="s">
        <v>7115</v>
      </c>
    </row>
    <row r="7087">
      <c r="A7087" s="4" t="s">
        <v>7187</v>
      </c>
      <c r="B7087" s="5" t="str">
        <f>IFERROR(__xludf.DUMMYFUNCTION("IF(A7087="""","""",INDEX(SPLIT(A7087,"" ""),COUNTA(SPLIT(A7087,"" ""))))"),"Lorenzo")</f>
        <v>Lorenzo</v>
      </c>
      <c r="C7087" s="6" t="s">
        <v>7114</v>
      </c>
      <c r="D7087" s="6"/>
      <c r="E7087" s="7" t="s">
        <v>7115</v>
      </c>
    </row>
    <row r="7088">
      <c r="A7088" s="4" t="s">
        <v>7188</v>
      </c>
      <c r="B7088" s="5" t="str">
        <f>IFERROR(__xludf.DUMMYFUNCTION("IF(A7088="""","""",INDEX(SPLIT(A7088,"" ""),COUNTA(SPLIT(A7088,"" ""))))"),"Luca")</f>
        <v>Luca</v>
      </c>
      <c r="C7088" s="6" t="s">
        <v>7114</v>
      </c>
      <c r="D7088" s="6"/>
      <c r="E7088" s="7" t="s">
        <v>7115</v>
      </c>
    </row>
    <row r="7089">
      <c r="A7089" s="4" t="s">
        <v>7189</v>
      </c>
      <c r="B7089" s="5" t="str">
        <f>IFERROR(__xludf.DUMMYFUNCTION("IF(A7089="""","""",INDEX(SPLIT(A7089,"" ""),COUNTA(SPLIT(A7089,"" ""))))"),"Caridà")</f>
        <v>Caridà</v>
      </c>
      <c r="C7089" s="6" t="s">
        <v>7114</v>
      </c>
      <c r="D7089" s="6"/>
      <c r="E7089" s="7" t="s">
        <v>7115</v>
      </c>
    </row>
    <row r="7090">
      <c r="A7090" s="4" t="s">
        <v>7190</v>
      </c>
      <c r="B7090" s="5" t="str">
        <f>IFERROR(__xludf.DUMMYFUNCTION("IF(A7090="""","""",INDEX(SPLIT(A7090,"" ""),COUNTA(SPLIT(A7090,"" ""))))"),"Procopio")</f>
        <v>Procopio</v>
      </c>
      <c r="C7090" s="6" t="s">
        <v>7114</v>
      </c>
      <c r="D7090" s="6"/>
      <c r="E7090" s="7" t="s">
        <v>7115</v>
      </c>
    </row>
    <row r="7091">
      <c r="A7091" s="4" t="s">
        <v>7191</v>
      </c>
      <c r="B7091" s="5" t="str">
        <f>IFERROR(__xludf.DUMMYFUNCTION("IF(A7091="""","""",INDEX(SPLIT(A7091,"" ""),COUNTA(SPLIT(A7091,"" ""))))"),"Roberto")</f>
        <v>Roberto</v>
      </c>
      <c r="C7091" s="6" t="s">
        <v>7114</v>
      </c>
      <c r="D7091" s="6"/>
      <c r="E7091" s="7" t="s">
        <v>7115</v>
      </c>
    </row>
    <row r="7092">
      <c r="A7092" s="4" t="s">
        <v>7192</v>
      </c>
      <c r="B7092" s="5" t="str">
        <f>IFERROR(__xludf.DUMMYFUNCTION("IF(A7092="""","""",INDEX(SPLIT(A7092,"" ""),COUNTA(SPLIT(A7092,"" ""))))"),"d'Aspromonte")</f>
        <v>d'Aspromonte</v>
      </c>
      <c r="C7092" s="6" t="s">
        <v>7114</v>
      </c>
      <c r="D7092" s="6"/>
      <c r="E7092" s="7" t="s">
        <v>7115</v>
      </c>
    </row>
    <row r="7093">
      <c r="A7093" s="4" t="s">
        <v>7193</v>
      </c>
      <c r="B7093" s="5" t="str">
        <f>IFERROR(__xludf.DUMMYFUNCTION("IF(A7093="""","""",INDEX(SPLIT(A7093,"" ""),COUNTA(SPLIT(A7093,"" ""))))"),"Bianco")</f>
        <v>Bianco</v>
      </c>
      <c r="C7093" s="6" t="s">
        <v>7114</v>
      </c>
      <c r="D7093" s="6"/>
      <c r="E7093" s="7" t="s">
        <v>7115</v>
      </c>
    </row>
    <row r="7094">
      <c r="A7094" s="4" t="s">
        <v>7194</v>
      </c>
      <c r="B7094" s="5" t="str">
        <f>IFERROR(__xludf.DUMMYFUNCTION("IF(A7094="""","""",INDEX(SPLIT(A7094,"" ""),COUNTA(SPLIT(A7094,"" ""))))"),"Aspromonte")</f>
        <v>Aspromonte</v>
      </c>
      <c r="C7094" s="6" t="s">
        <v>7114</v>
      </c>
      <c r="D7094" s="6"/>
      <c r="E7094" s="7" t="s">
        <v>7115</v>
      </c>
    </row>
    <row r="7095">
      <c r="A7095" s="4" t="s">
        <v>7195</v>
      </c>
      <c r="B7095" s="5" t="str">
        <f>IFERROR(__xludf.DUMMYFUNCTION("IF(A7095="""","""",INDEX(SPLIT(A7095,"" ""),COUNTA(SPLIT(A7095,"" ""))))"),"d'Aspromonte")</f>
        <v>d'Aspromonte</v>
      </c>
      <c r="C7095" s="6" t="s">
        <v>7114</v>
      </c>
      <c r="D7095" s="6"/>
      <c r="E7095" s="7" t="s">
        <v>7115</v>
      </c>
    </row>
    <row r="7096">
      <c r="A7096" s="4" t="s">
        <v>7196</v>
      </c>
      <c r="B7096" s="5" t="str">
        <f>IFERROR(__xludf.DUMMYFUNCTION("IF(A7096="""","""",INDEX(SPLIT(A7096,"" ""),COUNTA(SPLIT(A7096,"" ""))))"),"Ionio")</f>
        <v>Ionio</v>
      </c>
      <c r="C7096" s="6" t="s">
        <v>7114</v>
      </c>
      <c r="D7096" s="6"/>
      <c r="E7096" s="7" t="s">
        <v>7115</v>
      </c>
    </row>
    <row r="7097">
      <c r="A7097" s="4" t="s">
        <v>7197</v>
      </c>
      <c r="B7097" s="5" t="str">
        <f>IFERROR(__xludf.DUMMYFUNCTION("IF(A7097="""","""",INDEX(SPLIT(A7097,"" ""),COUNTA(SPLIT(A7097,"" ""))))"),"Aspromonte")</f>
        <v>Aspromonte</v>
      </c>
      <c r="C7097" s="6" t="s">
        <v>7114</v>
      </c>
      <c r="D7097" s="6"/>
      <c r="E7097" s="7" t="s">
        <v>7115</v>
      </c>
    </row>
    <row r="7098">
      <c r="A7098" s="4" t="s">
        <v>7198</v>
      </c>
      <c r="B7098" s="5" t="str">
        <f>IFERROR(__xludf.DUMMYFUNCTION("IF(A7098="""","""",INDEX(SPLIT(A7098,"" ""),COUNTA(SPLIT(A7098,"" ""))))"),"Scido")</f>
        <v>Scido</v>
      </c>
      <c r="C7098" s="6" t="s">
        <v>7114</v>
      </c>
      <c r="D7098" s="6"/>
      <c r="E7098" s="7" t="s">
        <v>7115</v>
      </c>
    </row>
    <row r="7099">
      <c r="A7099" s="4" t="s">
        <v>7199</v>
      </c>
      <c r="B7099" s="5" t="str">
        <f>IFERROR(__xludf.DUMMYFUNCTION("IF(A7099="""","""",INDEX(SPLIT(A7099,"" ""),COUNTA(SPLIT(A7099,"" ""))))"),"Scilla")</f>
        <v>Scilla</v>
      </c>
      <c r="C7099" s="6" t="s">
        <v>7114</v>
      </c>
      <c r="D7099" s="6"/>
      <c r="E7099" s="7" t="s">
        <v>7115</v>
      </c>
    </row>
    <row r="7100">
      <c r="A7100" s="4" t="s">
        <v>7200</v>
      </c>
      <c r="B7100" s="5" t="str">
        <f>IFERROR(__xludf.DUMMYFUNCTION("IF(A7100="""","""",INDEX(SPLIT(A7100,"" ""),COUNTA(SPLIT(A7100,"" ""))))"),"Seminara")</f>
        <v>Seminara</v>
      </c>
      <c r="C7100" s="6" t="s">
        <v>7114</v>
      </c>
      <c r="D7100" s="6"/>
      <c r="E7100" s="7" t="s">
        <v>7115</v>
      </c>
    </row>
    <row r="7101">
      <c r="A7101" s="4" t="s">
        <v>7201</v>
      </c>
      <c r="B7101" s="5" t="str">
        <f>IFERROR(__xludf.DUMMYFUNCTION("IF(A7101="""","""",INDEX(SPLIT(A7101,"" ""),COUNTA(SPLIT(A7101,"" ""))))"),"Serrata")</f>
        <v>Serrata</v>
      </c>
      <c r="C7101" s="6" t="s">
        <v>7114</v>
      </c>
      <c r="D7101" s="6"/>
      <c r="E7101" s="7" t="s">
        <v>7115</v>
      </c>
    </row>
    <row r="7102">
      <c r="A7102" s="4" t="s">
        <v>7202</v>
      </c>
      <c r="B7102" s="5" t="str">
        <f>IFERROR(__xludf.DUMMYFUNCTION("IF(A7102="""","""",INDEX(SPLIT(A7102,"" ""),COUNTA(SPLIT(A7102,"" ""))))"),"Siderno")</f>
        <v>Siderno</v>
      </c>
      <c r="C7102" s="6" t="s">
        <v>7114</v>
      </c>
      <c r="D7102" s="6"/>
      <c r="E7102" s="7" t="s">
        <v>7115</v>
      </c>
    </row>
    <row r="7103">
      <c r="A7103" s="4" t="s">
        <v>7203</v>
      </c>
      <c r="B7103" s="5" t="str">
        <f>IFERROR(__xludf.DUMMYFUNCTION("IF(A7103="""","""",INDEX(SPLIT(A7103,"" ""),COUNTA(SPLIT(A7103,"" ""))))"),"Sinopoli")</f>
        <v>Sinopoli</v>
      </c>
      <c r="C7103" s="6" t="s">
        <v>7114</v>
      </c>
      <c r="D7103" s="6"/>
      <c r="E7103" s="7" t="s">
        <v>7115</v>
      </c>
    </row>
    <row r="7104">
      <c r="A7104" s="4" t="s">
        <v>7204</v>
      </c>
      <c r="B7104" s="5" t="str">
        <f>IFERROR(__xludf.DUMMYFUNCTION("IF(A7104="""","""",INDEX(SPLIT(A7104,"" ""),COUNTA(SPLIT(A7104,"" ""))))"),"Staiti")</f>
        <v>Staiti</v>
      </c>
      <c r="C7104" s="6" t="s">
        <v>7114</v>
      </c>
      <c r="D7104" s="6"/>
      <c r="E7104" s="7" t="s">
        <v>7115</v>
      </c>
    </row>
    <row r="7105">
      <c r="A7105" s="4" t="s">
        <v>7205</v>
      </c>
      <c r="B7105" s="5" t="str">
        <f>IFERROR(__xludf.DUMMYFUNCTION("IF(A7105="""","""",INDEX(SPLIT(A7105,"" ""),COUNTA(SPLIT(A7105,"" ""))))"),"Stignano")</f>
        <v>Stignano</v>
      </c>
      <c r="C7105" s="6" t="s">
        <v>7114</v>
      </c>
      <c r="D7105" s="6"/>
      <c r="E7105" s="7" t="s">
        <v>7115</v>
      </c>
    </row>
    <row r="7106">
      <c r="A7106" s="4" t="s">
        <v>7206</v>
      </c>
      <c r="B7106" s="5" t="str">
        <f>IFERROR(__xludf.DUMMYFUNCTION("IF(A7106="""","""",INDEX(SPLIT(A7106,"" ""),COUNTA(SPLIT(A7106,"" ""))))"),"Stilo")</f>
        <v>Stilo</v>
      </c>
      <c r="C7106" s="6" t="s">
        <v>7114</v>
      </c>
      <c r="D7106" s="6"/>
      <c r="E7106" s="7" t="s">
        <v>7115</v>
      </c>
    </row>
    <row r="7107">
      <c r="A7107" s="4" t="s">
        <v>7207</v>
      </c>
      <c r="B7107" s="5" t="str">
        <f>IFERROR(__xludf.DUMMYFUNCTION("IF(A7107="""","""",INDEX(SPLIT(A7107,"" ""),COUNTA(SPLIT(A7107,"" ""))))"),"Taurianova")</f>
        <v>Taurianova</v>
      </c>
      <c r="C7107" s="6" t="s">
        <v>7114</v>
      </c>
      <c r="D7107" s="6"/>
      <c r="E7107" s="7" t="s">
        <v>7115</v>
      </c>
    </row>
    <row r="7108">
      <c r="A7108" s="4" t="s">
        <v>7208</v>
      </c>
      <c r="B7108" s="5" t="str">
        <f>IFERROR(__xludf.DUMMYFUNCTION("IF(A7108="""","""",INDEX(SPLIT(A7108,"" ""),COUNTA(SPLIT(A7108,"" ""))))"),"Minulio")</f>
        <v>Minulio</v>
      </c>
      <c r="C7108" s="6" t="s">
        <v>7114</v>
      </c>
      <c r="D7108" s="6"/>
      <c r="E7108" s="7" t="s">
        <v>7115</v>
      </c>
    </row>
    <row r="7109">
      <c r="A7109" s="4" t="s">
        <v>7209</v>
      </c>
      <c r="B7109" s="5" t="str">
        <f>IFERROR(__xludf.DUMMYFUNCTION("IF(A7109="""","""",INDEX(SPLIT(A7109,"" ""),COUNTA(SPLIT(A7109,"" ""))))"),"Varapodio")</f>
        <v>Varapodio</v>
      </c>
      <c r="C7109" s="6" t="s">
        <v>7114</v>
      </c>
      <c r="D7109" s="6"/>
      <c r="E7109" s="7" t="s">
        <v>7115</v>
      </c>
    </row>
    <row r="7110">
      <c r="A7110" s="4" t="s">
        <v>7210</v>
      </c>
      <c r="B7110" s="5" t="str">
        <f>IFERROR(__xludf.DUMMYFUNCTION("IF(A7110="""","""",INDEX(SPLIT(A7110,"" ""),COUNTA(SPLIT(A7110,"" ""))))"),"Giovanni")</f>
        <v>Giovanni</v>
      </c>
      <c r="C7110" s="6" t="s">
        <v>7114</v>
      </c>
      <c r="D7110" s="6"/>
      <c r="E7110" s="7" t="s">
        <v>7115</v>
      </c>
    </row>
    <row r="7111">
      <c r="A7111" s="4" t="s">
        <v>7211</v>
      </c>
      <c r="B7111" s="5" t="str">
        <f>IFERROR(__xludf.DUMMYFUNCTION("IF(A7111="""","""",INDEX(SPLIT(A7111,"" ""),COUNTA(SPLIT(A7111,"" ""))))"),"Ferdinando")</f>
        <v>Ferdinando</v>
      </c>
      <c r="C7111" s="6" t="s">
        <v>7114</v>
      </c>
      <c r="D7111" s="6"/>
      <c r="E7111" s="7" t="s">
        <v>7115</v>
      </c>
    </row>
    <row r="7112">
      <c r="A7112" s="4" t="s">
        <v>7212</v>
      </c>
      <c r="B7112" s="5" t="str">
        <f>IFERROR(__xludf.DUMMYFUNCTION("IF(A7112="""","""",INDEX(SPLIT(A7112,"" ""),COUNTA(SPLIT(A7112,"" ""))))"),"Spinello")</f>
        <v>Spinello</v>
      </c>
      <c r="C7112" s="6"/>
      <c r="D7112" s="6" t="s">
        <v>7213</v>
      </c>
      <c r="E7112" s="7" t="s">
        <v>7214</v>
      </c>
    </row>
    <row r="7113">
      <c r="A7113" s="4" t="s">
        <v>7215</v>
      </c>
      <c r="B7113" s="5" t="str">
        <f>IFERROR(__xludf.DUMMYFUNCTION("IF(A7113="""","""",INDEX(SPLIT(A7113,"" ""),COUNTA(SPLIT(A7113,"" ""))))"),"Caccuri")</f>
        <v>Caccuri</v>
      </c>
      <c r="C7113" s="6"/>
      <c r="D7113" s="6" t="s">
        <v>7213</v>
      </c>
      <c r="E7113" s="7" t="s">
        <v>7214</v>
      </c>
    </row>
    <row r="7114">
      <c r="A7114" s="4" t="s">
        <v>7216</v>
      </c>
      <c r="B7114" s="5" t="str">
        <f>IFERROR(__xludf.DUMMYFUNCTION("IF(A7114="""","""",INDEX(SPLIT(A7114,"" ""),COUNTA(SPLIT(A7114,"" ""))))"),"Carfizzi")</f>
        <v>Carfizzi</v>
      </c>
      <c r="C7114" s="6"/>
      <c r="D7114" s="6" t="s">
        <v>7213</v>
      </c>
      <c r="E7114" s="7" t="s">
        <v>7214</v>
      </c>
    </row>
    <row r="7115">
      <c r="A7115" s="4" t="s">
        <v>7217</v>
      </c>
      <c r="B7115" s="5" t="str">
        <f>IFERROR(__xludf.DUMMYFUNCTION("IF(A7115="""","""",INDEX(SPLIT(A7115,"" ""),COUNTA(SPLIT(A7115,"" ""))))"),"Casabona")</f>
        <v>Casabona</v>
      </c>
      <c r="C7115" s="6"/>
      <c r="D7115" s="6" t="s">
        <v>7213</v>
      </c>
      <c r="E7115" s="7" t="s">
        <v>7214</v>
      </c>
    </row>
    <row r="7116">
      <c r="A7116" s="4" t="s">
        <v>7218</v>
      </c>
      <c r="B7116" s="5" t="str">
        <f>IFERROR(__xludf.DUMMYFUNCTION("IF(A7116="""","""",INDEX(SPLIT(A7116,"" ""),COUNTA(SPLIT(A7116,"" ""))))"),"Castelsilano")</f>
        <v>Castelsilano</v>
      </c>
      <c r="C7116" s="6"/>
      <c r="D7116" s="6" t="s">
        <v>7213</v>
      </c>
      <c r="E7116" s="7" t="s">
        <v>7214</v>
      </c>
    </row>
    <row r="7117">
      <c r="A7117" s="4" t="s">
        <v>7219</v>
      </c>
      <c r="B7117" s="5" t="str">
        <f>IFERROR(__xludf.DUMMYFUNCTION("IF(A7117="""","""",INDEX(SPLIT(A7117,"" ""),COUNTA(SPLIT(A7117,"" ""))))"),"Cerenzia")</f>
        <v>Cerenzia</v>
      </c>
      <c r="C7117" s="6"/>
      <c r="D7117" s="6" t="s">
        <v>7213</v>
      </c>
      <c r="E7117" s="7" t="s">
        <v>7214</v>
      </c>
    </row>
    <row r="7118">
      <c r="A7118" s="4" t="s">
        <v>7220</v>
      </c>
      <c r="B7118" s="5" t="str">
        <f>IFERROR(__xludf.DUMMYFUNCTION("IF(A7118="""","""",INDEX(SPLIT(A7118,"" ""),COUNTA(SPLIT(A7118,"" ""))))"),"Cirò")</f>
        <v>Cirò</v>
      </c>
      <c r="C7118" s="6"/>
      <c r="D7118" s="6" t="s">
        <v>7213</v>
      </c>
      <c r="E7118" s="7" t="s">
        <v>7214</v>
      </c>
    </row>
    <row r="7119">
      <c r="A7119" s="4" t="s">
        <v>7221</v>
      </c>
      <c r="B7119" s="5" t="str">
        <f>IFERROR(__xludf.DUMMYFUNCTION("IF(A7119="""","""",INDEX(SPLIT(A7119,"" ""),COUNTA(SPLIT(A7119,"" ""))))"),"Marina")</f>
        <v>Marina</v>
      </c>
      <c r="C7119" s="6"/>
      <c r="D7119" s="6" t="s">
        <v>7213</v>
      </c>
      <c r="E7119" s="7" t="s">
        <v>7214</v>
      </c>
    </row>
    <row r="7120">
      <c r="A7120" s="4" t="s">
        <v>7222</v>
      </c>
      <c r="B7120" s="5" t="str">
        <f>IFERROR(__xludf.DUMMYFUNCTION("IF(A7120="""","""",INDEX(SPLIT(A7120,"" ""),COUNTA(SPLIT(A7120,"" ""))))"),"Cotronei")</f>
        <v>Cotronei</v>
      </c>
      <c r="C7120" s="6"/>
      <c r="D7120" s="6" t="s">
        <v>7213</v>
      </c>
      <c r="E7120" s="7" t="s">
        <v>7214</v>
      </c>
    </row>
    <row r="7121">
      <c r="A7121" s="4" t="s">
        <v>7213</v>
      </c>
      <c r="B7121" s="5" t="str">
        <f>IFERROR(__xludf.DUMMYFUNCTION("IF(A7121="""","""",INDEX(SPLIT(A7121,"" ""),COUNTA(SPLIT(A7121,"" ""))))"),"Crotone")</f>
        <v>Crotone</v>
      </c>
      <c r="C7121" s="6"/>
      <c r="D7121" s="6" t="s">
        <v>7213</v>
      </c>
      <c r="E7121" s="7" t="s">
        <v>7214</v>
      </c>
    </row>
    <row r="7122">
      <c r="A7122" s="4" t="s">
        <v>7223</v>
      </c>
      <c r="B7122" s="5" t="str">
        <f>IFERROR(__xludf.DUMMYFUNCTION("IF(A7122="""","""",INDEX(SPLIT(A7122,"" ""),COUNTA(SPLIT(A7122,"" ""))))"),"Crucoli")</f>
        <v>Crucoli</v>
      </c>
      <c r="C7122" s="6"/>
      <c r="D7122" s="6" t="s">
        <v>7213</v>
      </c>
      <c r="E7122" s="7" t="s">
        <v>7214</v>
      </c>
    </row>
    <row r="7123">
      <c r="A7123" s="4" t="s">
        <v>7224</v>
      </c>
      <c r="B7123" s="5" t="str">
        <f>IFERROR(__xludf.DUMMYFUNCTION("IF(A7123="""","""",INDEX(SPLIT(A7123,"" ""),COUNTA(SPLIT(A7123,"" ""))))"),"Cutro")</f>
        <v>Cutro</v>
      </c>
      <c r="C7123" s="6"/>
      <c r="D7123" s="6" t="s">
        <v>7213</v>
      </c>
      <c r="E7123" s="7" t="s">
        <v>7214</v>
      </c>
    </row>
    <row r="7124">
      <c r="A7124" s="4" t="s">
        <v>7225</v>
      </c>
      <c r="B7124" s="5" t="str">
        <f>IFERROR(__xludf.DUMMYFUNCTION("IF(A7124="""","""",INDEX(SPLIT(A7124,"" ""),COUNTA(SPLIT(A7124,"" ""))))"),"Rizzuto")</f>
        <v>Rizzuto</v>
      </c>
      <c r="C7124" s="6"/>
      <c r="D7124" s="6" t="s">
        <v>7213</v>
      </c>
      <c r="E7124" s="7" t="s">
        <v>7214</v>
      </c>
    </row>
    <row r="7125">
      <c r="A7125" s="4" t="s">
        <v>7226</v>
      </c>
      <c r="B7125" s="5" t="str">
        <f>IFERROR(__xludf.DUMMYFUNCTION("IF(A7125="""","""",INDEX(SPLIT(A7125,"" ""),COUNTA(SPLIT(A7125,"" ""))))"),"Melissa")</f>
        <v>Melissa</v>
      </c>
      <c r="C7125" s="6"/>
      <c r="D7125" s="6" t="s">
        <v>7213</v>
      </c>
      <c r="E7125" s="7" t="s">
        <v>7214</v>
      </c>
    </row>
    <row r="7126">
      <c r="A7126" s="4" t="s">
        <v>7227</v>
      </c>
      <c r="B7126" s="5" t="str">
        <f>IFERROR(__xludf.DUMMYFUNCTION("IF(A7126="""","""",INDEX(SPLIT(A7126,"" ""),COUNTA(SPLIT(A7126,"" ""))))"),"Mesoraca")</f>
        <v>Mesoraca</v>
      </c>
      <c r="C7126" s="6"/>
      <c r="D7126" s="6" t="s">
        <v>7213</v>
      </c>
      <c r="E7126" s="7" t="s">
        <v>7214</v>
      </c>
    </row>
    <row r="7127">
      <c r="A7127" s="4" t="s">
        <v>7228</v>
      </c>
      <c r="B7127" s="5" t="str">
        <f>IFERROR(__xludf.DUMMYFUNCTION("IF(A7127="""","""",INDEX(SPLIT(A7127,"" ""),COUNTA(SPLIT(A7127,"" ""))))"),"Pallagorio")</f>
        <v>Pallagorio</v>
      </c>
      <c r="C7127" s="6"/>
      <c r="D7127" s="6" t="s">
        <v>7213</v>
      </c>
      <c r="E7127" s="7" t="s">
        <v>7214</v>
      </c>
    </row>
    <row r="7128">
      <c r="A7128" s="4" t="s">
        <v>7229</v>
      </c>
      <c r="B7128" s="5" t="str">
        <f>IFERROR(__xludf.DUMMYFUNCTION("IF(A7128="""","""",INDEX(SPLIT(A7128,"" ""),COUNTA(SPLIT(A7128,"" ""))))"),"Policastro")</f>
        <v>Policastro</v>
      </c>
      <c r="C7128" s="6"/>
      <c r="D7128" s="6" t="s">
        <v>7213</v>
      </c>
      <c r="E7128" s="7" t="s">
        <v>7214</v>
      </c>
    </row>
    <row r="7129">
      <c r="A7129" s="4" t="s">
        <v>7230</v>
      </c>
      <c r="B7129" s="5" t="str">
        <f>IFERROR(__xludf.DUMMYFUNCTION("IF(A7129="""","""",INDEX(SPLIT(A7129,"" ""),COUNTA(SPLIT(A7129,"" ""))))"),"Roccabernarda")</f>
        <v>Roccabernarda</v>
      </c>
      <c r="C7129" s="6"/>
      <c r="D7129" s="6" t="s">
        <v>7213</v>
      </c>
      <c r="E7129" s="7" t="s">
        <v>7214</v>
      </c>
    </row>
    <row r="7130">
      <c r="A7130" s="4" t="s">
        <v>7231</v>
      </c>
      <c r="B7130" s="5" t="str">
        <f>IFERROR(__xludf.DUMMYFUNCTION("IF(A7130="""","""",INDEX(SPLIT(A7130,"" ""),COUNTA(SPLIT(A7130,"" ""))))"),"Neto")</f>
        <v>Neto</v>
      </c>
      <c r="C7130" s="6"/>
      <c r="D7130" s="6" t="s">
        <v>7213</v>
      </c>
      <c r="E7130" s="7" t="s">
        <v>7214</v>
      </c>
    </row>
    <row r="7131">
      <c r="A7131" s="4" t="s">
        <v>7232</v>
      </c>
      <c r="B7131" s="5" t="str">
        <f>IFERROR(__xludf.DUMMYFUNCTION("IF(A7131="""","""",INDEX(SPLIT(A7131,"" ""),COUNTA(SPLIT(A7131,"" ""))))"),"Marchesato")</f>
        <v>Marchesato</v>
      </c>
      <c r="C7131" s="6"/>
      <c r="D7131" s="6" t="s">
        <v>7213</v>
      </c>
      <c r="E7131" s="7" t="s">
        <v>7214</v>
      </c>
    </row>
    <row r="7132">
      <c r="A7132" s="4" t="s">
        <v>7233</v>
      </c>
      <c r="B7132" s="5" t="str">
        <f>IFERROR(__xludf.DUMMYFUNCTION("IF(A7132="""","""",INDEX(SPLIT(A7132,"" ""),COUNTA(SPLIT(A7132,"" ""))))"),"dell'Alto")</f>
        <v>dell'Alto</v>
      </c>
      <c r="C7132" s="6"/>
      <c r="D7132" s="6" t="s">
        <v>7213</v>
      </c>
      <c r="E7132" s="7" t="s">
        <v>7214</v>
      </c>
    </row>
    <row r="7133">
      <c r="A7133" s="4" t="s">
        <v>7234</v>
      </c>
      <c r="B7133" s="5" t="str">
        <f>IFERROR(__xludf.DUMMYFUNCTION("IF(A7133="""","""",INDEX(SPLIT(A7133,"" ""),COUNTA(SPLIT(A7133,"" ""))))"),"Severina")</f>
        <v>Severina</v>
      </c>
      <c r="C7133" s="6"/>
      <c r="D7133" s="6" t="s">
        <v>7213</v>
      </c>
      <c r="E7133" s="7" t="s">
        <v>7214</v>
      </c>
    </row>
    <row r="7134">
      <c r="A7134" s="4" t="s">
        <v>7235</v>
      </c>
      <c r="B7134" s="5" t="str">
        <f>IFERROR(__xludf.DUMMYFUNCTION("IF(A7134="""","""",INDEX(SPLIT(A7134,"" ""),COUNTA(SPLIT(A7134,"" ""))))"),"Savelli")</f>
        <v>Savelli</v>
      </c>
      <c r="C7134" s="6"/>
      <c r="D7134" s="6" t="s">
        <v>7213</v>
      </c>
      <c r="E7134" s="7" t="s">
        <v>7214</v>
      </c>
    </row>
    <row r="7135">
      <c r="A7135" s="4" t="s">
        <v>7236</v>
      </c>
      <c r="B7135" s="5" t="str">
        <f>IFERROR(__xludf.DUMMYFUNCTION("IF(A7135="""","""",INDEX(SPLIT(A7135,"" ""),COUNTA(SPLIT(A7135,"" ""))))"),"Scandale")</f>
        <v>Scandale</v>
      </c>
      <c r="C7135" s="6"/>
      <c r="D7135" s="6" t="s">
        <v>7213</v>
      </c>
      <c r="E7135" s="7" t="s">
        <v>7214</v>
      </c>
    </row>
    <row r="7136">
      <c r="A7136" s="4" t="s">
        <v>7237</v>
      </c>
      <c r="B7136" s="5" t="str">
        <f>IFERROR(__xludf.DUMMYFUNCTION("IF(A7136="""","""",INDEX(SPLIT(A7136,"" ""),COUNTA(SPLIT(A7136,"" ""))))"),"Strongoli")</f>
        <v>Strongoli</v>
      </c>
      <c r="C7136" s="6"/>
      <c r="D7136" s="6" t="s">
        <v>7213</v>
      </c>
      <c r="E7136" s="7" t="s">
        <v>7214</v>
      </c>
    </row>
    <row r="7137">
      <c r="A7137" s="4" t="s">
        <v>7238</v>
      </c>
      <c r="B7137" s="5" t="str">
        <f>IFERROR(__xludf.DUMMYFUNCTION("IF(A7137="""","""",INDEX(SPLIT(A7137,"" ""),COUNTA(SPLIT(A7137,"" ""))))"),"Umbriatico")</f>
        <v>Umbriatico</v>
      </c>
      <c r="C7137" s="6"/>
      <c r="D7137" s="6" t="s">
        <v>7213</v>
      </c>
      <c r="E7137" s="7" t="s">
        <v>7214</v>
      </c>
    </row>
    <row r="7138">
      <c r="A7138" s="4" t="s">
        <v>7239</v>
      </c>
      <c r="B7138" s="5" t="str">
        <f>IFERROR(__xludf.DUMMYFUNCTION("IF(A7138="""","""",INDEX(SPLIT(A7138,"" ""),COUNTA(SPLIT(A7138,"" ""))))"),"Verzino")</f>
        <v>Verzino</v>
      </c>
      <c r="C7138" s="6"/>
      <c r="D7138" s="6" t="s">
        <v>7213</v>
      </c>
      <c r="E7138" s="7" t="s">
        <v>7214</v>
      </c>
    </row>
    <row r="7139">
      <c r="A7139" s="4" t="s">
        <v>7240</v>
      </c>
      <c r="B7139" s="5" t="str">
        <f>IFERROR(__xludf.DUMMYFUNCTION("IF(A7139="""","""",INDEX(SPLIT(A7139,"" ""),COUNTA(SPLIT(A7139,"" ""))))"),"Acquaro")</f>
        <v>Acquaro</v>
      </c>
      <c r="C7139" s="6"/>
      <c r="D7139" s="6" t="s">
        <v>7241</v>
      </c>
      <c r="E7139" s="7" t="s">
        <v>7242</v>
      </c>
    </row>
    <row r="7140">
      <c r="A7140" s="4" t="s">
        <v>7243</v>
      </c>
      <c r="B7140" s="5" t="str">
        <f>IFERROR(__xludf.DUMMYFUNCTION("IF(A7140="""","""",INDEX(SPLIT(A7140,"" ""),COUNTA(SPLIT(A7140,"" ""))))"),"Arena")</f>
        <v>Arena</v>
      </c>
      <c r="C7140" s="6"/>
      <c r="D7140" s="6" t="s">
        <v>7241</v>
      </c>
      <c r="E7140" s="7" t="s">
        <v>7242</v>
      </c>
    </row>
    <row r="7141">
      <c r="A7141" s="4" t="s">
        <v>7244</v>
      </c>
      <c r="B7141" s="5" t="str">
        <f>IFERROR(__xludf.DUMMYFUNCTION("IF(A7141="""","""",INDEX(SPLIT(A7141,"" ""),COUNTA(SPLIT(A7141,"" ""))))"),"Briatico")</f>
        <v>Briatico</v>
      </c>
      <c r="C7141" s="6"/>
      <c r="D7141" s="6" t="s">
        <v>7241</v>
      </c>
      <c r="E7141" s="7" t="s">
        <v>7242</v>
      </c>
    </row>
    <row r="7142">
      <c r="A7142" s="4" t="s">
        <v>7245</v>
      </c>
      <c r="B7142" s="5" t="str">
        <f>IFERROR(__xludf.DUMMYFUNCTION("IF(A7142="""","""",INDEX(SPLIT(A7142,"" ""),COUNTA(SPLIT(A7142,"" ""))))"),"Brognaturo")</f>
        <v>Brognaturo</v>
      </c>
      <c r="C7142" s="6"/>
      <c r="D7142" s="6" t="s">
        <v>7241</v>
      </c>
      <c r="E7142" s="7" t="s">
        <v>7242</v>
      </c>
    </row>
    <row r="7143">
      <c r="A7143" s="4" t="s">
        <v>7246</v>
      </c>
      <c r="B7143" s="5" t="str">
        <f>IFERROR(__xludf.DUMMYFUNCTION("IF(A7143="""","""",INDEX(SPLIT(A7143,"" ""),COUNTA(SPLIT(A7143,"" ""))))"),"Capistrano")</f>
        <v>Capistrano</v>
      </c>
      <c r="C7143" s="6"/>
      <c r="D7143" s="6" t="s">
        <v>7241</v>
      </c>
      <c r="E7143" s="7" t="s">
        <v>7242</v>
      </c>
    </row>
    <row r="7144">
      <c r="A7144" s="4" t="s">
        <v>7247</v>
      </c>
      <c r="B7144" s="5" t="str">
        <f>IFERROR(__xludf.DUMMYFUNCTION("IF(A7144="""","""",INDEX(SPLIT(A7144,"" ""),COUNTA(SPLIT(A7144,"" ""))))"),"Cessaniti")</f>
        <v>Cessaniti</v>
      </c>
      <c r="C7144" s="6"/>
      <c r="D7144" s="6" t="s">
        <v>7241</v>
      </c>
      <c r="E7144" s="7" t="s">
        <v>7242</v>
      </c>
    </row>
    <row r="7145">
      <c r="A7145" s="4" t="s">
        <v>7248</v>
      </c>
      <c r="B7145" s="5" t="str">
        <f>IFERROR(__xludf.DUMMYFUNCTION("IF(A7145="""","""",INDEX(SPLIT(A7145,"" ""),COUNTA(SPLIT(A7145,"" ""))))"),"Dasà")</f>
        <v>Dasà</v>
      </c>
      <c r="C7145" s="6"/>
      <c r="D7145" s="6" t="s">
        <v>7241</v>
      </c>
      <c r="E7145" s="7" t="s">
        <v>7242</v>
      </c>
    </row>
    <row r="7146">
      <c r="A7146" s="4" t="s">
        <v>7249</v>
      </c>
      <c r="B7146" s="5" t="str">
        <f>IFERROR(__xludf.DUMMYFUNCTION("IF(A7146="""","""",INDEX(SPLIT(A7146,"" ""),COUNTA(SPLIT(A7146,"" ""))))"),"Dinami")</f>
        <v>Dinami</v>
      </c>
      <c r="C7146" s="6"/>
      <c r="D7146" s="6" t="s">
        <v>7241</v>
      </c>
      <c r="E7146" s="7" t="s">
        <v>7242</v>
      </c>
    </row>
    <row r="7147">
      <c r="A7147" s="4" t="s">
        <v>7250</v>
      </c>
      <c r="B7147" s="5" t="str">
        <f>IFERROR(__xludf.DUMMYFUNCTION("IF(A7147="""","""",INDEX(SPLIT(A7147,"" ""),COUNTA(SPLIT(A7147,"" ""))))"),"Drapia")</f>
        <v>Drapia</v>
      </c>
      <c r="C7147" s="6"/>
      <c r="D7147" s="6" t="s">
        <v>7241</v>
      </c>
      <c r="E7147" s="7" t="s">
        <v>7242</v>
      </c>
    </row>
    <row r="7148">
      <c r="A7148" s="4" t="s">
        <v>7251</v>
      </c>
      <c r="B7148" s="5" t="str">
        <f>IFERROR(__xludf.DUMMYFUNCTION("IF(A7148="""","""",INDEX(SPLIT(A7148,"" ""),COUNTA(SPLIT(A7148,"" ""))))"),"Fabrizia")</f>
        <v>Fabrizia</v>
      </c>
      <c r="C7148" s="6"/>
      <c r="D7148" s="6" t="s">
        <v>7241</v>
      </c>
      <c r="E7148" s="7" t="s">
        <v>7242</v>
      </c>
    </row>
    <row r="7149">
      <c r="A7149" s="4" t="s">
        <v>7252</v>
      </c>
      <c r="B7149" s="5" t="str">
        <f>IFERROR(__xludf.DUMMYFUNCTION("IF(A7149="""","""",INDEX(SPLIT(A7149,"" ""),COUNTA(SPLIT(A7149,"" ""))))"),"Filadelfia")</f>
        <v>Filadelfia</v>
      </c>
      <c r="C7149" s="6"/>
      <c r="D7149" s="6" t="s">
        <v>7241</v>
      </c>
      <c r="E7149" s="7" t="s">
        <v>7242</v>
      </c>
    </row>
    <row r="7150">
      <c r="A7150" s="4" t="s">
        <v>7253</v>
      </c>
      <c r="B7150" s="5" t="str">
        <f>IFERROR(__xludf.DUMMYFUNCTION("IF(A7150="""","""",INDEX(SPLIT(A7150,"" ""),COUNTA(SPLIT(A7150,"" ""))))"),"Filandari")</f>
        <v>Filandari</v>
      </c>
      <c r="C7150" s="6"/>
      <c r="D7150" s="6" t="s">
        <v>7241</v>
      </c>
      <c r="E7150" s="7" t="s">
        <v>7242</v>
      </c>
    </row>
    <row r="7151">
      <c r="A7151" s="4" t="s">
        <v>7254</v>
      </c>
      <c r="B7151" s="5" t="str">
        <f>IFERROR(__xludf.DUMMYFUNCTION("IF(A7151="""","""",INDEX(SPLIT(A7151,"" ""),COUNTA(SPLIT(A7151,"" ""))))"),"Filogaso")</f>
        <v>Filogaso</v>
      </c>
      <c r="C7151" s="6"/>
      <c r="D7151" s="6" t="s">
        <v>7241</v>
      </c>
      <c r="E7151" s="7" t="s">
        <v>7242</v>
      </c>
    </row>
    <row r="7152">
      <c r="A7152" s="4" t="s">
        <v>7255</v>
      </c>
      <c r="B7152" s="5" t="str">
        <f>IFERROR(__xludf.DUMMYFUNCTION("IF(A7152="""","""",INDEX(SPLIT(A7152,"" ""),COUNTA(SPLIT(A7152,"" ""))))"),"Angitola")</f>
        <v>Angitola</v>
      </c>
      <c r="C7152" s="6"/>
      <c r="D7152" s="6" t="s">
        <v>7241</v>
      </c>
      <c r="E7152" s="7" t="s">
        <v>7242</v>
      </c>
    </row>
    <row r="7153">
      <c r="A7153" s="4" t="s">
        <v>7256</v>
      </c>
      <c r="B7153" s="5" t="str">
        <f>IFERROR(__xludf.DUMMYFUNCTION("IF(A7153="""","""",INDEX(SPLIT(A7153,"" ""),COUNTA(SPLIT(A7153,"" ""))))"),"Francica")</f>
        <v>Francica</v>
      </c>
      <c r="C7153" s="6"/>
      <c r="D7153" s="6" t="s">
        <v>7241</v>
      </c>
      <c r="E7153" s="7" t="s">
        <v>7242</v>
      </c>
    </row>
    <row r="7154">
      <c r="A7154" s="4" t="s">
        <v>7257</v>
      </c>
      <c r="B7154" s="5" t="str">
        <f>IFERROR(__xludf.DUMMYFUNCTION("IF(A7154="""","""",INDEX(SPLIT(A7154,"" ""),COUNTA(SPLIT(A7154,"" ""))))"),"Gerocarne")</f>
        <v>Gerocarne</v>
      </c>
      <c r="C7154" s="6"/>
      <c r="D7154" s="6" t="s">
        <v>7241</v>
      </c>
      <c r="E7154" s="7" t="s">
        <v>7242</v>
      </c>
    </row>
    <row r="7155">
      <c r="A7155" s="4" t="s">
        <v>7258</v>
      </c>
      <c r="B7155" s="5" t="str">
        <f>IFERROR(__xludf.DUMMYFUNCTION("IF(A7155="""","""",INDEX(SPLIT(A7155,"" ""),COUNTA(SPLIT(A7155,"" ""))))"),"Ionadi")</f>
        <v>Ionadi</v>
      </c>
      <c r="C7155" s="6"/>
      <c r="D7155" s="6" t="s">
        <v>7241</v>
      </c>
      <c r="E7155" s="7" t="s">
        <v>7242</v>
      </c>
    </row>
    <row r="7156">
      <c r="A7156" s="4" t="s">
        <v>7259</v>
      </c>
      <c r="B7156" s="5" t="str">
        <f>IFERROR(__xludf.DUMMYFUNCTION("IF(A7156="""","""",INDEX(SPLIT(A7156,"" ""),COUNTA(SPLIT(A7156,"" ""))))"),"Joppolo")</f>
        <v>Joppolo</v>
      </c>
      <c r="C7156" s="6"/>
      <c r="D7156" s="6" t="s">
        <v>7241</v>
      </c>
      <c r="E7156" s="7" t="s">
        <v>7242</v>
      </c>
    </row>
    <row r="7157">
      <c r="A7157" s="4" t="s">
        <v>7260</v>
      </c>
      <c r="B7157" s="5" t="str">
        <f>IFERROR(__xludf.DUMMYFUNCTION("IF(A7157="""","""",INDEX(SPLIT(A7157,"" ""),COUNTA(SPLIT(A7157,"" ""))))"),"Limbadi")</f>
        <v>Limbadi</v>
      </c>
      <c r="C7157" s="6"/>
      <c r="D7157" s="6" t="s">
        <v>7241</v>
      </c>
      <c r="E7157" s="7" t="s">
        <v>7242</v>
      </c>
    </row>
    <row r="7158">
      <c r="A7158" s="4" t="s">
        <v>7261</v>
      </c>
      <c r="B7158" s="5" t="str">
        <f>IFERROR(__xludf.DUMMYFUNCTION("IF(A7158="""","""",INDEX(SPLIT(A7158,"" ""),COUNTA(SPLIT(A7158,"" ""))))"),"Maierato")</f>
        <v>Maierato</v>
      </c>
      <c r="C7158" s="6"/>
      <c r="D7158" s="6" t="s">
        <v>7241</v>
      </c>
      <c r="E7158" s="7" t="s">
        <v>7242</v>
      </c>
    </row>
    <row r="7159">
      <c r="A7159" s="4" t="s">
        <v>7262</v>
      </c>
      <c r="B7159" s="5" t="str">
        <f>IFERROR(__xludf.DUMMYFUNCTION("IF(A7159="""","""",INDEX(SPLIT(A7159,"" ""),COUNTA(SPLIT(A7159,"" ""))))"),"Mileto")</f>
        <v>Mileto</v>
      </c>
      <c r="C7159" s="6"/>
      <c r="D7159" s="6" t="s">
        <v>7241</v>
      </c>
      <c r="E7159" s="7" t="s">
        <v>7242</v>
      </c>
    </row>
    <row r="7160">
      <c r="A7160" s="4" t="s">
        <v>7263</v>
      </c>
      <c r="B7160" s="5" t="str">
        <f>IFERROR(__xludf.DUMMYFUNCTION("IF(A7160="""","""",INDEX(SPLIT(A7160,"" ""),COUNTA(SPLIT(A7160,"" ""))))"),"Mongiana")</f>
        <v>Mongiana</v>
      </c>
      <c r="C7160" s="6"/>
      <c r="D7160" s="6" t="s">
        <v>7241</v>
      </c>
      <c r="E7160" s="7" t="s">
        <v>7242</v>
      </c>
    </row>
    <row r="7161">
      <c r="A7161" s="4" t="s">
        <v>7264</v>
      </c>
      <c r="B7161" s="5" t="str">
        <f>IFERROR(__xludf.DUMMYFUNCTION("IF(A7161="""","""",INDEX(SPLIT(A7161,"" ""),COUNTA(SPLIT(A7161,"" ""))))"),"Calabro")</f>
        <v>Calabro</v>
      </c>
      <c r="C7161" s="6"/>
      <c r="D7161" s="6" t="s">
        <v>7241</v>
      </c>
      <c r="E7161" s="7" t="s">
        <v>7242</v>
      </c>
    </row>
    <row r="7162">
      <c r="A7162" s="4" t="s">
        <v>7265</v>
      </c>
      <c r="B7162" s="5" t="str">
        <f>IFERROR(__xludf.DUMMYFUNCTION("IF(A7162="""","""",INDEX(SPLIT(A7162,"" ""),COUNTA(SPLIT(A7162,"" ""))))"),"Nardodipace")</f>
        <v>Nardodipace</v>
      </c>
      <c r="C7162" s="6"/>
      <c r="D7162" s="6" t="s">
        <v>7241</v>
      </c>
      <c r="E7162" s="7" t="s">
        <v>7242</v>
      </c>
    </row>
    <row r="7163">
      <c r="A7163" s="4" t="s">
        <v>7266</v>
      </c>
      <c r="B7163" s="5" t="str">
        <f>IFERROR(__xludf.DUMMYFUNCTION("IF(A7163="""","""",INDEX(SPLIT(A7163,"" ""),COUNTA(SPLIT(A7163,"" ""))))"),"Nicotera")</f>
        <v>Nicotera</v>
      </c>
      <c r="C7163" s="6"/>
      <c r="D7163" s="6" t="s">
        <v>7241</v>
      </c>
      <c r="E7163" s="7" t="s">
        <v>7242</v>
      </c>
    </row>
    <row r="7164">
      <c r="A7164" s="4" t="s">
        <v>7267</v>
      </c>
      <c r="B7164" s="5" t="str">
        <f>IFERROR(__xludf.DUMMYFUNCTION("IF(A7164="""","""",INDEX(SPLIT(A7164,"" ""),COUNTA(SPLIT(A7164,"" ""))))"),"Parghelia")</f>
        <v>Parghelia</v>
      </c>
      <c r="C7164" s="6"/>
      <c r="D7164" s="6" t="s">
        <v>7241</v>
      </c>
      <c r="E7164" s="7" t="s">
        <v>7242</v>
      </c>
    </row>
    <row r="7165">
      <c r="A7165" s="4" t="s">
        <v>7268</v>
      </c>
      <c r="B7165" s="5" t="str">
        <f>IFERROR(__xludf.DUMMYFUNCTION("IF(A7165="""","""",INDEX(SPLIT(A7165,"" ""),COUNTA(SPLIT(A7165,"" ""))))"),"Pizzo")</f>
        <v>Pizzo</v>
      </c>
      <c r="C7165" s="6"/>
      <c r="D7165" s="6" t="s">
        <v>7241</v>
      </c>
      <c r="E7165" s="7" t="s">
        <v>7242</v>
      </c>
    </row>
    <row r="7166">
      <c r="A7166" s="4" t="s">
        <v>7269</v>
      </c>
      <c r="B7166" s="5" t="str">
        <f>IFERROR(__xludf.DUMMYFUNCTION("IF(A7166="""","""",INDEX(SPLIT(A7166,"" ""),COUNTA(SPLIT(A7166,"" ""))))"),"Pizzoni")</f>
        <v>Pizzoni</v>
      </c>
      <c r="C7166" s="6"/>
      <c r="D7166" s="6" t="s">
        <v>7241</v>
      </c>
      <c r="E7166" s="7" t="s">
        <v>7242</v>
      </c>
    </row>
    <row r="7167">
      <c r="A7167" s="4" t="s">
        <v>7270</v>
      </c>
      <c r="B7167" s="5" t="str">
        <f>IFERROR(__xludf.DUMMYFUNCTION("IF(A7167="""","""",INDEX(SPLIT(A7167,"" ""),COUNTA(SPLIT(A7167,"" ""))))"),"Polia")</f>
        <v>Polia</v>
      </c>
      <c r="C7167" s="6"/>
      <c r="D7167" s="6" t="s">
        <v>7241</v>
      </c>
      <c r="E7167" s="7" t="s">
        <v>7242</v>
      </c>
    </row>
    <row r="7168">
      <c r="A7168" s="4" t="s">
        <v>7271</v>
      </c>
      <c r="B7168" s="5" t="str">
        <f>IFERROR(__xludf.DUMMYFUNCTION("IF(A7168="""","""",INDEX(SPLIT(A7168,"" ""),COUNTA(SPLIT(A7168,"" ""))))"),"Ricadi")</f>
        <v>Ricadi</v>
      </c>
      <c r="C7168" s="6"/>
      <c r="D7168" s="6" t="s">
        <v>7241</v>
      </c>
      <c r="E7168" s="7" t="s">
        <v>7242</v>
      </c>
    </row>
    <row r="7169">
      <c r="A7169" s="4" t="s">
        <v>7272</v>
      </c>
      <c r="B7169" s="5" t="str">
        <f>IFERROR(__xludf.DUMMYFUNCTION("IF(A7169="""","""",INDEX(SPLIT(A7169,"" ""),COUNTA(SPLIT(A7169,"" ""))))"),"Rombiolo")</f>
        <v>Rombiolo</v>
      </c>
      <c r="C7169" s="6"/>
      <c r="D7169" s="6" t="s">
        <v>7241</v>
      </c>
      <c r="E7169" s="7" t="s">
        <v>7242</v>
      </c>
    </row>
    <row r="7170">
      <c r="A7170" s="4" t="s">
        <v>7273</v>
      </c>
      <c r="B7170" s="5" t="str">
        <f>IFERROR(__xludf.DUMMYFUNCTION("IF(A7170="""","""",INDEX(SPLIT(A7170,"" ""),COUNTA(SPLIT(A7170,"" ""))))"),"Calogero")</f>
        <v>Calogero</v>
      </c>
      <c r="C7170" s="6"/>
      <c r="D7170" s="6" t="s">
        <v>7241</v>
      </c>
      <c r="E7170" s="7" t="s">
        <v>7242</v>
      </c>
    </row>
    <row r="7171">
      <c r="A7171" s="4" t="s">
        <v>7274</v>
      </c>
      <c r="B7171" s="5" t="str">
        <f>IFERROR(__xludf.DUMMYFUNCTION("IF(A7171="""","""",INDEX(SPLIT(A7171,"" ""),COUNTA(SPLIT(A7171,"" ""))))"),"Calabro")</f>
        <v>Calabro</v>
      </c>
      <c r="C7171" s="6"/>
      <c r="D7171" s="6" t="s">
        <v>7241</v>
      </c>
      <c r="E7171" s="7" t="s">
        <v>7242</v>
      </c>
    </row>
    <row r="7172">
      <c r="A7172" s="4" t="s">
        <v>7275</v>
      </c>
      <c r="B7172" s="5" t="str">
        <f>IFERROR(__xludf.DUMMYFUNCTION("IF(A7172="""","""",INDEX(SPLIT(A7172,"" ""),COUNTA(SPLIT(A7172,"" ""))))"),"d'Ippona")</f>
        <v>d'Ippona</v>
      </c>
      <c r="C7172" s="6"/>
      <c r="D7172" s="6" t="s">
        <v>7241</v>
      </c>
      <c r="E7172" s="7" t="s">
        <v>7242</v>
      </c>
    </row>
    <row r="7173">
      <c r="A7173" s="4" t="s">
        <v>7276</v>
      </c>
      <c r="B7173" s="5" t="str">
        <f>IFERROR(__xludf.DUMMYFUNCTION("IF(A7173="""","""",INDEX(SPLIT(A7173,"" ""),COUNTA(SPLIT(A7173,"" ""))))"),"Crissa")</f>
        <v>Crissa</v>
      </c>
      <c r="C7173" s="6"/>
      <c r="D7173" s="6" t="s">
        <v>7241</v>
      </c>
      <c r="E7173" s="7" t="s">
        <v>7242</v>
      </c>
    </row>
    <row r="7174">
      <c r="A7174" s="4" t="s">
        <v>7277</v>
      </c>
      <c r="B7174" s="5" t="str">
        <f>IFERROR(__xludf.DUMMYFUNCTION("IF(A7174="""","""",INDEX(SPLIT(A7174,"" ""),COUNTA(SPLIT(A7174,"" ""))))"),"Sant'Onofrio")</f>
        <v>Sant'Onofrio</v>
      </c>
      <c r="C7174" s="6"/>
      <c r="D7174" s="6" t="s">
        <v>7241</v>
      </c>
      <c r="E7174" s="7" t="s">
        <v>7242</v>
      </c>
    </row>
    <row r="7175">
      <c r="A7175" s="4" t="s">
        <v>7278</v>
      </c>
      <c r="B7175" s="5" t="str">
        <f>IFERROR(__xludf.DUMMYFUNCTION("IF(A7175="""","""",INDEX(SPLIT(A7175,"" ""),COUNTA(SPLIT(A7175,"" ""))))"),"Bruno")</f>
        <v>Bruno</v>
      </c>
      <c r="C7175" s="6"/>
      <c r="D7175" s="6" t="s">
        <v>7241</v>
      </c>
      <c r="E7175" s="7" t="s">
        <v>7242</v>
      </c>
    </row>
    <row r="7176">
      <c r="A7176" s="4" t="s">
        <v>7279</v>
      </c>
      <c r="B7176" s="5" t="str">
        <f>IFERROR(__xludf.DUMMYFUNCTION("IF(A7176="""","""",INDEX(SPLIT(A7176,"" ""),COUNTA(SPLIT(A7176,"" ""))))"),"Simbario")</f>
        <v>Simbario</v>
      </c>
      <c r="C7176" s="6"/>
      <c r="D7176" s="6" t="s">
        <v>7241</v>
      </c>
      <c r="E7176" s="7" t="s">
        <v>7242</v>
      </c>
    </row>
    <row r="7177">
      <c r="A7177" s="4" t="s">
        <v>7280</v>
      </c>
      <c r="B7177" s="5" t="str">
        <f>IFERROR(__xludf.DUMMYFUNCTION("IF(A7177="""","""",INDEX(SPLIT(A7177,"" ""),COUNTA(SPLIT(A7177,"" ""))))"),"Sorianello")</f>
        <v>Sorianello</v>
      </c>
      <c r="C7177" s="6"/>
      <c r="D7177" s="6" t="s">
        <v>7241</v>
      </c>
      <c r="E7177" s="7" t="s">
        <v>7242</v>
      </c>
    </row>
    <row r="7178">
      <c r="A7178" s="4" t="s">
        <v>7281</v>
      </c>
      <c r="B7178" s="5" t="str">
        <f>IFERROR(__xludf.DUMMYFUNCTION("IF(A7178="""","""",INDEX(SPLIT(A7178,"" ""),COUNTA(SPLIT(A7178,"" ""))))"),"Calabro")</f>
        <v>Calabro</v>
      </c>
      <c r="C7178" s="6"/>
      <c r="D7178" s="6" t="s">
        <v>7241</v>
      </c>
      <c r="E7178" s="7" t="s">
        <v>7242</v>
      </c>
    </row>
    <row r="7179">
      <c r="A7179" s="4" t="s">
        <v>7282</v>
      </c>
      <c r="B7179" s="5" t="str">
        <f>IFERROR(__xludf.DUMMYFUNCTION("IF(A7179="""","""",INDEX(SPLIT(A7179,"" ""),COUNTA(SPLIT(A7179,"" ""))))"),"Spadola")</f>
        <v>Spadola</v>
      </c>
      <c r="C7179" s="6"/>
      <c r="D7179" s="6" t="s">
        <v>7241</v>
      </c>
      <c r="E7179" s="7" t="s">
        <v>7242</v>
      </c>
    </row>
    <row r="7180">
      <c r="A7180" s="4" t="s">
        <v>7283</v>
      </c>
      <c r="B7180" s="5" t="str">
        <f>IFERROR(__xludf.DUMMYFUNCTION("IF(A7180="""","""",INDEX(SPLIT(A7180,"" ""),COUNTA(SPLIT(A7180,"" ""))))"),"Spilinga")</f>
        <v>Spilinga</v>
      </c>
      <c r="C7180" s="6"/>
      <c r="D7180" s="6" t="s">
        <v>7241</v>
      </c>
      <c r="E7180" s="7" t="s">
        <v>7242</v>
      </c>
    </row>
    <row r="7181">
      <c r="A7181" s="4" t="s">
        <v>7284</v>
      </c>
      <c r="B7181" s="5" t="str">
        <f>IFERROR(__xludf.DUMMYFUNCTION("IF(A7181="""","""",INDEX(SPLIT(A7181,"" ""),COUNTA(SPLIT(A7181,"" ""))))"),"Stefanaconi")</f>
        <v>Stefanaconi</v>
      </c>
      <c r="C7181" s="6"/>
      <c r="D7181" s="6" t="s">
        <v>7241</v>
      </c>
      <c r="E7181" s="7" t="s">
        <v>7242</v>
      </c>
    </row>
    <row r="7182">
      <c r="A7182" s="4" t="s">
        <v>7285</v>
      </c>
      <c r="B7182" s="5" t="str">
        <f>IFERROR(__xludf.DUMMYFUNCTION("IF(A7182="""","""",INDEX(SPLIT(A7182,"" ""),COUNTA(SPLIT(A7182,"" ""))))"),"Tropea")</f>
        <v>Tropea</v>
      </c>
      <c r="C7182" s="6"/>
      <c r="D7182" s="6" t="s">
        <v>7241</v>
      </c>
      <c r="E7182" s="7" t="s">
        <v>7242</v>
      </c>
    </row>
    <row r="7183">
      <c r="A7183" s="4" t="s">
        <v>7286</v>
      </c>
      <c r="B7183" s="5" t="str">
        <f>IFERROR(__xludf.DUMMYFUNCTION("IF(A7183="""","""",INDEX(SPLIT(A7183,"" ""),COUNTA(SPLIT(A7183,"" ""))))"),"Vallelonga")</f>
        <v>Vallelonga</v>
      </c>
      <c r="C7183" s="6"/>
      <c r="D7183" s="6" t="s">
        <v>7241</v>
      </c>
      <c r="E7183" s="7" t="s">
        <v>7242</v>
      </c>
    </row>
    <row r="7184">
      <c r="A7184" s="4" t="s">
        <v>7287</v>
      </c>
      <c r="B7184" s="5" t="str">
        <f>IFERROR(__xludf.DUMMYFUNCTION("IF(A7184="""","""",INDEX(SPLIT(A7184,"" ""),COUNTA(SPLIT(A7184,"" ""))))"),"Vazzano")</f>
        <v>Vazzano</v>
      </c>
      <c r="C7184" s="6"/>
      <c r="D7184" s="6" t="s">
        <v>7241</v>
      </c>
      <c r="E7184" s="7" t="s">
        <v>7242</v>
      </c>
    </row>
    <row r="7185">
      <c r="A7185" s="4" t="s">
        <v>7288</v>
      </c>
      <c r="B7185" s="5" t="str">
        <f>IFERROR(__xludf.DUMMYFUNCTION("IF(A7185="""","""",INDEX(SPLIT(A7185,"" ""),COUNTA(SPLIT(A7185,"" ""))))"),"Valentia")</f>
        <v>Valentia</v>
      </c>
      <c r="C7185" s="6"/>
      <c r="D7185" s="6" t="s">
        <v>7241</v>
      </c>
      <c r="E7185" s="7" t="s">
        <v>7242</v>
      </c>
    </row>
    <row r="7186">
      <c r="A7186" s="4" t="s">
        <v>7289</v>
      </c>
      <c r="B7186" s="5" t="str">
        <f>IFERROR(__xludf.DUMMYFUNCTION("IF(A7186="""","""",INDEX(SPLIT(A7186,"" ""),COUNTA(SPLIT(A7186,"" ""))))"),"Zaccanopoli")</f>
        <v>Zaccanopoli</v>
      </c>
      <c r="C7186" s="6"/>
      <c r="D7186" s="6" t="s">
        <v>7241</v>
      </c>
      <c r="E7186" s="7" t="s">
        <v>7242</v>
      </c>
    </row>
    <row r="7187">
      <c r="A7187" s="4" t="s">
        <v>7290</v>
      </c>
      <c r="B7187" s="5" t="str">
        <f>IFERROR(__xludf.DUMMYFUNCTION("IF(A7187="""","""",INDEX(SPLIT(A7187,"" ""),COUNTA(SPLIT(A7187,"" ""))))"),"Zambrone")</f>
        <v>Zambrone</v>
      </c>
      <c r="C7187" s="6"/>
      <c r="D7187" s="6" t="s">
        <v>7241</v>
      </c>
      <c r="E7187" s="7" t="s">
        <v>7242</v>
      </c>
    </row>
    <row r="7188">
      <c r="A7188" s="4" t="s">
        <v>7291</v>
      </c>
      <c r="B7188" s="5" t="str">
        <f>IFERROR(__xludf.DUMMYFUNCTION("IF(A7188="""","""",INDEX(SPLIT(A7188,"" ""),COUNTA(SPLIT(A7188,"" ""))))"),"Zungri")</f>
        <v>Zungri</v>
      </c>
      <c r="C7188" s="6"/>
      <c r="D7188" s="6" t="s">
        <v>7241</v>
      </c>
      <c r="E7188" s="7" t="s">
        <v>7242</v>
      </c>
    </row>
    <row r="7189">
      <c r="A7189" s="4" t="s">
        <v>7292</v>
      </c>
      <c r="B7189" s="5" t="str">
        <f>IFERROR(__xludf.DUMMYFUNCTION("IF(A7189="""","""",INDEX(SPLIT(A7189,"" ""),COUNTA(SPLIT(A7189,"" ""))))"),"Alcamo")</f>
        <v>Alcamo</v>
      </c>
      <c r="C7189" s="6"/>
      <c r="D7189" s="6" t="s">
        <v>7293</v>
      </c>
      <c r="E7189" s="7" t="s">
        <v>7294</v>
      </c>
    </row>
    <row r="7190">
      <c r="A7190" s="4" t="s">
        <v>7295</v>
      </c>
      <c r="B7190" s="5" t="str">
        <f>IFERROR(__xludf.DUMMYFUNCTION("IF(A7190="""","""",INDEX(SPLIT(A7190,"" ""),COUNTA(SPLIT(A7190,"" ""))))"),"Palizzolo")</f>
        <v>Palizzolo</v>
      </c>
      <c r="C7190" s="6"/>
      <c r="D7190" s="6" t="s">
        <v>7293</v>
      </c>
      <c r="E7190" s="7" t="s">
        <v>7294</v>
      </c>
    </row>
    <row r="7191">
      <c r="A7191" s="4" t="s">
        <v>7296</v>
      </c>
      <c r="B7191" s="5" t="str">
        <f>IFERROR(__xludf.DUMMYFUNCTION("IF(A7191="""","""",INDEX(SPLIT(A7191,"" ""),COUNTA(SPLIT(A7191,"" ""))))"),"CalatafimiSegesta")</f>
        <v>CalatafimiSegesta</v>
      </c>
      <c r="C7191" s="6"/>
      <c r="D7191" s="6" t="s">
        <v>7293</v>
      </c>
      <c r="E7191" s="7" t="s">
        <v>7294</v>
      </c>
    </row>
    <row r="7192">
      <c r="A7192" s="4" t="s">
        <v>7297</v>
      </c>
      <c r="B7192" s="5" t="str">
        <f>IFERROR(__xludf.DUMMYFUNCTION("IF(A7192="""","""",INDEX(SPLIT(A7192,"" ""),COUNTA(SPLIT(A7192,"" ""))))"),"Mazara")</f>
        <v>Mazara</v>
      </c>
      <c r="C7192" s="6"/>
      <c r="D7192" s="6" t="s">
        <v>7293</v>
      </c>
      <c r="E7192" s="7" t="s">
        <v>7294</v>
      </c>
    </row>
    <row r="7193">
      <c r="A7193" s="4" t="s">
        <v>7298</v>
      </c>
      <c r="B7193" s="5" t="str">
        <f>IFERROR(__xludf.DUMMYFUNCTION("IF(A7193="""","""",INDEX(SPLIT(A7193,"" ""),COUNTA(SPLIT(A7193,"" ""))))"),"Golfo")</f>
        <v>Golfo</v>
      </c>
      <c r="C7193" s="6"/>
      <c r="D7193" s="6" t="s">
        <v>7293</v>
      </c>
      <c r="E7193" s="7" t="s">
        <v>7294</v>
      </c>
    </row>
    <row r="7194">
      <c r="A7194" s="4" t="s">
        <v>7299</v>
      </c>
      <c r="B7194" s="5" t="str">
        <f>IFERROR(__xludf.DUMMYFUNCTION("IF(A7194="""","""",INDEX(SPLIT(A7194,"" ""),COUNTA(SPLIT(A7194,"" ""))))"),"Castelvetrano")</f>
        <v>Castelvetrano</v>
      </c>
      <c r="C7194" s="6"/>
      <c r="D7194" s="6" t="s">
        <v>7293</v>
      </c>
      <c r="E7194" s="7" t="s">
        <v>7294</v>
      </c>
    </row>
    <row r="7195">
      <c r="A7195" s="4" t="s">
        <v>7300</v>
      </c>
      <c r="B7195" s="5" t="str">
        <f>IFERROR(__xludf.DUMMYFUNCTION("IF(A7195="""","""",INDEX(SPLIT(A7195,"" ""),COUNTA(SPLIT(A7195,"" ""))))"),"Custonaci")</f>
        <v>Custonaci</v>
      </c>
      <c r="C7195" s="6"/>
      <c r="D7195" s="6" t="s">
        <v>7293</v>
      </c>
      <c r="E7195" s="7" t="s">
        <v>7294</v>
      </c>
    </row>
    <row r="7196">
      <c r="A7196" s="4" t="s">
        <v>7301</v>
      </c>
      <c r="B7196" s="5" t="str">
        <f>IFERROR(__xludf.DUMMYFUNCTION("IF(A7196="""","""",INDEX(SPLIT(A7196,"" ""),COUNTA(SPLIT(A7196,"" ""))))"),"Erice")</f>
        <v>Erice</v>
      </c>
      <c r="C7196" s="6"/>
      <c r="D7196" s="6" t="s">
        <v>7293</v>
      </c>
      <c r="E7196" s="7" t="s">
        <v>7294</v>
      </c>
    </row>
    <row r="7197">
      <c r="A7197" s="4" t="s">
        <v>7302</v>
      </c>
      <c r="B7197" s="5" t="str">
        <f>IFERROR(__xludf.DUMMYFUNCTION("IF(A7197="""","""",INDEX(SPLIT(A7197,"" ""),COUNTA(SPLIT(A7197,"" ""))))"),"Favignana")</f>
        <v>Favignana</v>
      </c>
      <c r="C7197" s="6"/>
      <c r="D7197" s="6" t="s">
        <v>7293</v>
      </c>
      <c r="E7197" s="7" t="s">
        <v>7294</v>
      </c>
    </row>
    <row r="7198">
      <c r="A7198" s="4" t="s">
        <v>7303</v>
      </c>
      <c r="B7198" s="5" t="str">
        <f>IFERROR(__xludf.DUMMYFUNCTION("IF(A7198="""","""",INDEX(SPLIT(A7198,"" ""),COUNTA(SPLIT(A7198,"" ""))))"),"Gibellina")</f>
        <v>Gibellina</v>
      </c>
      <c r="C7198" s="6"/>
      <c r="D7198" s="6" t="s">
        <v>7293</v>
      </c>
      <c r="E7198" s="7" t="s">
        <v>7294</v>
      </c>
    </row>
    <row r="7199">
      <c r="A7199" s="4" t="s">
        <v>7304</v>
      </c>
      <c r="B7199" s="5" t="str">
        <f>IFERROR(__xludf.DUMMYFUNCTION("IF(A7199="""","""",INDEX(SPLIT(A7199,"" ""),COUNTA(SPLIT(A7199,"" ""))))"),"Marsala")</f>
        <v>Marsala</v>
      </c>
      <c r="C7199" s="6"/>
      <c r="D7199" s="6" t="s">
        <v>7293</v>
      </c>
      <c r="E7199" s="7" t="s">
        <v>7294</v>
      </c>
    </row>
    <row r="7200">
      <c r="A7200" s="4" t="s">
        <v>7305</v>
      </c>
      <c r="B7200" s="5" t="str">
        <f>IFERROR(__xludf.DUMMYFUNCTION("IF(A7200="""","""",INDEX(SPLIT(A7200,"" ""),COUNTA(SPLIT(A7200,"" ""))))"),"Vallo")</f>
        <v>Vallo</v>
      </c>
      <c r="C7200" s="6"/>
      <c r="D7200" s="6" t="s">
        <v>7293</v>
      </c>
      <c r="E7200" s="7" t="s">
        <v>7294</v>
      </c>
    </row>
    <row r="7201">
      <c r="A7201" s="4" t="s">
        <v>7306</v>
      </c>
      <c r="B7201" s="5" t="str">
        <f>IFERROR(__xludf.DUMMYFUNCTION("IF(A7201="""","""",INDEX(SPLIT(A7201,"" ""),COUNTA(SPLIT(A7201,"" ""))))"),"Paceco")</f>
        <v>Paceco</v>
      </c>
      <c r="C7201" s="6"/>
      <c r="D7201" s="6" t="s">
        <v>7293</v>
      </c>
      <c r="E7201" s="7" t="s">
        <v>7294</v>
      </c>
    </row>
    <row r="7202">
      <c r="A7202" s="4" t="s">
        <v>7307</v>
      </c>
      <c r="B7202" s="5" t="str">
        <f>IFERROR(__xludf.DUMMYFUNCTION("IF(A7202="""","""",INDEX(SPLIT(A7202,"" ""),COUNTA(SPLIT(A7202,"" ""))))"),"Pantelleria")</f>
        <v>Pantelleria</v>
      </c>
      <c r="C7202" s="6"/>
      <c r="D7202" s="6" t="s">
        <v>7293</v>
      </c>
      <c r="E7202" s="7" t="s">
        <v>7294</v>
      </c>
    </row>
    <row r="7203">
      <c r="A7203" s="4" t="s">
        <v>7308</v>
      </c>
      <c r="B7203" s="5" t="str">
        <f>IFERROR(__xludf.DUMMYFUNCTION("IF(A7203="""","""",INDEX(SPLIT(A7203,"" ""),COUNTA(SPLIT(A7203,"" ""))))"),"Partanna")</f>
        <v>Partanna</v>
      </c>
      <c r="C7203" s="6"/>
      <c r="D7203" s="6" t="s">
        <v>7293</v>
      </c>
      <c r="E7203" s="7" t="s">
        <v>7294</v>
      </c>
    </row>
    <row r="7204">
      <c r="A7204" s="4" t="s">
        <v>7309</v>
      </c>
      <c r="B7204" s="5" t="str">
        <f>IFERROR(__xludf.DUMMYFUNCTION("IF(A7204="""","""",INDEX(SPLIT(A7204,"" ""),COUNTA(SPLIT(A7204,"" ""))))"),"Poggioreale")</f>
        <v>Poggioreale</v>
      </c>
      <c r="C7204" s="6"/>
      <c r="D7204" s="6" t="s">
        <v>7293</v>
      </c>
      <c r="E7204" s="7" t="s">
        <v>7294</v>
      </c>
    </row>
    <row r="7205">
      <c r="A7205" s="4" t="s">
        <v>7310</v>
      </c>
      <c r="B7205" s="5" t="str">
        <f>IFERROR(__xludf.DUMMYFUNCTION("IF(A7205="""","""",INDEX(SPLIT(A7205,"" ""),COUNTA(SPLIT(A7205,"" ""))))"),"Salaparuta")</f>
        <v>Salaparuta</v>
      </c>
      <c r="C7205" s="6"/>
      <c r="D7205" s="6" t="s">
        <v>7293</v>
      </c>
      <c r="E7205" s="7" t="s">
        <v>7294</v>
      </c>
    </row>
    <row r="7206">
      <c r="A7206" s="4" t="s">
        <v>7311</v>
      </c>
      <c r="B7206" s="5" t="str">
        <f>IFERROR(__xludf.DUMMYFUNCTION("IF(A7206="""","""",INDEX(SPLIT(A7206,"" ""),COUNTA(SPLIT(A7206,"" ""))))"),"Salemi")</f>
        <v>Salemi</v>
      </c>
      <c r="C7206" s="6"/>
      <c r="D7206" s="6" t="s">
        <v>7293</v>
      </c>
      <c r="E7206" s="7" t="s">
        <v>7294</v>
      </c>
    </row>
    <row r="7207">
      <c r="A7207" s="4" t="s">
        <v>7312</v>
      </c>
      <c r="B7207" s="5" t="str">
        <f>IFERROR(__xludf.DUMMYFUNCTION("IF(A7207="""","""",INDEX(SPLIT(A7207,"" ""),COUNTA(SPLIT(A7207,"" ""))))"),"Ninfa")</f>
        <v>Ninfa</v>
      </c>
      <c r="C7207" s="6"/>
      <c r="D7207" s="6" t="s">
        <v>7293</v>
      </c>
      <c r="E7207" s="7" t="s">
        <v>7294</v>
      </c>
    </row>
    <row r="7208">
      <c r="A7208" s="4" t="s">
        <v>7313</v>
      </c>
      <c r="B7208" s="5" t="str">
        <f>IFERROR(__xludf.DUMMYFUNCTION("IF(A7208="""","""",INDEX(SPLIT(A7208,"" ""),COUNTA(SPLIT(A7208,"" ""))))"),"Capo")</f>
        <v>Capo</v>
      </c>
      <c r="C7208" s="6"/>
      <c r="D7208" s="6" t="s">
        <v>7293</v>
      </c>
      <c r="E7208" s="7" t="s">
        <v>7294</v>
      </c>
    </row>
    <row r="7209">
      <c r="A7209" s="4" t="s">
        <v>7293</v>
      </c>
      <c r="B7209" s="5" t="str">
        <f>IFERROR(__xludf.DUMMYFUNCTION("IF(A7209="""","""",INDEX(SPLIT(A7209,"" ""),COUNTA(SPLIT(A7209,"" ""))))"),"Trapani")</f>
        <v>Trapani</v>
      </c>
      <c r="C7209" s="6"/>
      <c r="D7209" s="6" t="s">
        <v>7293</v>
      </c>
      <c r="E7209" s="7" t="s">
        <v>7294</v>
      </c>
    </row>
    <row r="7210">
      <c r="A7210" s="4" t="s">
        <v>7314</v>
      </c>
      <c r="B7210" s="5" t="str">
        <f>IFERROR(__xludf.DUMMYFUNCTION("IF(A7210="""","""",INDEX(SPLIT(A7210,"" ""),COUNTA(SPLIT(A7210,"" ""))))"),"Valderice")</f>
        <v>Valderice</v>
      </c>
      <c r="C7210" s="6"/>
      <c r="D7210" s="6" t="s">
        <v>7293</v>
      </c>
      <c r="E7210" s="7" t="s">
        <v>7294</v>
      </c>
    </row>
    <row r="7211">
      <c r="A7211" s="4" t="s">
        <v>7315</v>
      </c>
      <c r="B7211" s="5" t="str">
        <f>IFERROR(__xludf.DUMMYFUNCTION("IF(A7211="""","""",INDEX(SPLIT(A7211,"" ""),COUNTA(SPLIT(A7211,"" ""))))"),"Vita")</f>
        <v>Vita</v>
      </c>
      <c r="C7211" s="6"/>
      <c r="D7211" s="6" t="s">
        <v>7293</v>
      </c>
      <c r="E7211" s="7" t="s">
        <v>7294</v>
      </c>
    </row>
    <row r="7212">
      <c r="A7212" s="4" t="s">
        <v>7316</v>
      </c>
      <c r="B7212" s="5" t="str">
        <f>IFERROR(__xludf.DUMMYFUNCTION("IF(A7212="""","""",INDEX(SPLIT(A7212,"" ""),COUNTA(SPLIT(A7212,"" ""))))"),"Petrosino")</f>
        <v>Petrosino</v>
      </c>
      <c r="C7212" s="6"/>
      <c r="D7212" s="6" t="s">
        <v>7293</v>
      </c>
      <c r="E7212" s="7" t="s">
        <v>7294</v>
      </c>
    </row>
    <row r="7213">
      <c r="A7213" s="4" t="s">
        <v>7317</v>
      </c>
      <c r="B7213" s="5" t="str">
        <f>IFERROR(__xludf.DUMMYFUNCTION("IF(A7213="""","""",INDEX(SPLIT(A7213,"" ""),COUNTA(SPLIT(A7213,"" ""))))"),"Alia")</f>
        <v>Alia</v>
      </c>
      <c r="C7213" s="6" t="s">
        <v>7318</v>
      </c>
      <c r="D7213" s="6"/>
      <c r="E7213" s="7" t="s">
        <v>7319</v>
      </c>
    </row>
    <row r="7214">
      <c r="A7214" s="4" t="s">
        <v>7320</v>
      </c>
      <c r="B7214" s="5" t="str">
        <f>IFERROR(__xludf.DUMMYFUNCTION("IF(A7214="""","""",INDEX(SPLIT(A7214,"" ""),COUNTA(SPLIT(A7214,"" ""))))"),"Alimena")</f>
        <v>Alimena</v>
      </c>
      <c r="C7214" s="6" t="s">
        <v>7318</v>
      </c>
      <c r="D7214" s="6"/>
      <c r="E7214" s="7" t="s">
        <v>7319</v>
      </c>
    </row>
    <row r="7215">
      <c r="A7215" s="4" t="s">
        <v>7321</v>
      </c>
      <c r="B7215" s="5" t="str">
        <f>IFERROR(__xludf.DUMMYFUNCTION("IF(A7215="""","""",INDEX(SPLIT(A7215,"" ""),COUNTA(SPLIT(A7215,"" ""))))"),"Aliminusa")</f>
        <v>Aliminusa</v>
      </c>
      <c r="C7215" s="6" t="s">
        <v>7318</v>
      </c>
      <c r="D7215" s="6"/>
      <c r="E7215" s="7" t="s">
        <v>7319</v>
      </c>
    </row>
    <row r="7216">
      <c r="A7216" s="4" t="s">
        <v>7322</v>
      </c>
      <c r="B7216" s="5" t="str">
        <f>IFERROR(__xludf.DUMMYFUNCTION("IF(A7216="""","""",INDEX(SPLIT(A7216,"" ""),COUNTA(SPLIT(A7216,"" ""))))"),"Milicia")</f>
        <v>Milicia</v>
      </c>
      <c r="C7216" s="6" t="s">
        <v>7318</v>
      </c>
      <c r="D7216" s="6"/>
      <c r="E7216" s="7" t="s">
        <v>7319</v>
      </c>
    </row>
    <row r="7217">
      <c r="A7217" s="4" t="s">
        <v>7323</v>
      </c>
      <c r="B7217" s="5" t="str">
        <f>IFERROR(__xludf.DUMMYFUNCTION("IF(A7217="""","""",INDEX(SPLIT(A7217,"" ""),COUNTA(SPLIT(A7217,"" ""))))"),"Altofonte")</f>
        <v>Altofonte</v>
      </c>
      <c r="C7217" s="6" t="s">
        <v>7318</v>
      </c>
      <c r="D7217" s="6"/>
      <c r="E7217" s="7" t="s">
        <v>7319</v>
      </c>
    </row>
    <row r="7218">
      <c r="A7218" s="4" t="s">
        <v>7324</v>
      </c>
      <c r="B7218" s="5" t="str">
        <f>IFERROR(__xludf.DUMMYFUNCTION("IF(A7218="""","""",INDEX(SPLIT(A7218,"" ""),COUNTA(SPLIT(A7218,"" ""))))"),"Bagheria")</f>
        <v>Bagheria</v>
      </c>
      <c r="C7218" s="6" t="s">
        <v>7318</v>
      </c>
      <c r="D7218" s="6"/>
      <c r="E7218" s="7" t="s">
        <v>7319</v>
      </c>
    </row>
    <row r="7219">
      <c r="A7219" s="4" t="s">
        <v>7325</v>
      </c>
      <c r="B7219" s="5" t="str">
        <f>IFERROR(__xludf.DUMMYFUNCTION("IF(A7219="""","""",INDEX(SPLIT(A7219,"" ""),COUNTA(SPLIT(A7219,"" ""))))"),"Balestrate")</f>
        <v>Balestrate</v>
      </c>
      <c r="C7219" s="6" t="s">
        <v>7318</v>
      </c>
      <c r="D7219" s="6"/>
      <c r="E7219" s="7" t="s">
        <v>7319</v>
      </c>
    </row>
    <row r="7220">
      <c r="A7220" s="4" t="s">
        <v>7326</v>
      </c>
      <c r="B7220" s="5" t="str">
        <f>IFERROR(__xludf.DUMMYFUNCTION("IF(A7220="""","""",INDEX(SPLIT(A7220,"" ""),COUNTA(SPLIT(A7220,"" ""))))"),"Baucina")</f>
        <v>Baucina</v>
      </c>
      <c r="C7220" s="6" t="s">
        <v>7318</v>
      </c>
      <c r="D7220" s="6"/>
      <c r="E7220" s="7" t="s">
        <v>7319</v>
      </c>
    </row>
    <row r="7221">
      <c r="A7221" s="4" t="s">
        <v>7327</v>
      </c>
      <c r="B7221" s="5" t="str">
        <f>IFERROR(__xludf.DUMMYFUNCTION("IF(A7221="""","""",INDEX(SPLIT(A7221,"" ""),COUNTA(SPLIT(A7221,"" ""))))"),"Mezzagno")</f>
        <v>Mezzagno</v>
      </c>
      <c r="C7221" s="6" t="s">
        <v>7318</v>
      </c>
      <c r="D7221" s="6"/>
      <c r="E7221" s="7" t="s">
        <v>7319</v>
      </c>
    </row>
    <row r="7222">
      <c r="A7222" s="4" t="s">
        <v>7328</v>
      </c>
      <c r="B7222" s="5" t="str">
        <f>IFERROR(__xludf.DUMMYFUNCTION("IF(A7222="""","""",INDEX(SPLIT(A7222,"" ""),COUNTA(SPLIT(A7222,"" ""))))"),"Bisacquino")</f>
        <v>Bisacquino</v>
      </c>
      <c r="C7222" s="6" t="s">
        <v>7318</v>
      </c>
      <c r="D7222" s="6"/>
      <c r="E7222" s="7" t="s">
        <v>7319</v>
      </c>
    </row>
    <row r="7223">
      <c r="A7223" s="4" t="s">
        <v>7329</v>
      </c>
      <c r="B7223" s="5" t="str">
        <f>IFERROR(__xludf.DUMMYFUNCTION("IF(A7223="""","""",INDEX(SPLIT(A7223,"" ""),COUNTA(SPLIT(A7223,"" ""))))"),"Bolognetta")</f>
        <v>Bolognetta</v>
      </c>
      <c r="C7223" s="6" t="s">
        <v>7318</v>
      </c>
      <c r="D7223" s="6"/>
      <c r="E7223" s="7" t="s">
        <v>7319</v>
      </c>
    </row>
    <row r="7224">
      <c r="A7224" s="4" t="s">
        <v>7330</v>
      </c>
      <c r="B7224" s="5" t="str">
        <f>IFERROR(__xludf.DUMMYFUNCTION("IF(A7224="""","""",INDEX(SPLIT(A7224,"" ""),COUNTA(SPLIT(A7224,"" ""))))"),"Bompietro")</f>
        <v>Bompietro</v>
      </c>
      <c r="C7224" s="6" t="s">
        <v>7318</v>
      </c>
      <c r="D7224" s="6"/>
      <c r="E7224" s="7" t="s">
        <v>7319</v>
      </c>
    </row>
    <row r="7225">
      <c r="A7225" s="4" t="s">
        <v>7331</v>
      </c>
      <c r="B7225" s="5" t="str">
        <f>IFERROR(__xludf.DUMMYFUNCTION("IF(A7225="""","""",INDEX(SPLIT(A7225,"" ""),COUNTA(SPLIT(A7225,"" ""))))"),"Borgetto")</f>
        <v>Borgetto</v>
      </c>
      <c r="C7225" s="6" t="s">
        <v>7318</v>
      </c>
      <c r="D7225" s="6"/>
      <c r="E7225" s="7" t="s">
        <v>7319</v>
      </c>
    </row>
    <row r="7226">
      <c r="A7226" s="4" t="s">
        <v>7332</v>
      </c>
      <c r="B7226" s="5" t="str">
        <f>IFERROR(__xludf.DUMMYFUNCTION("IF(A7226="""","""",INDEX(SPLIT(A7226,"" ""),COUNTA(SPLIT(A7226,"" ""))))"),"Caccamo")</f>
        <v>Caccamo</v>
      </c>
      <c r="C7226" s="6" t="s">
        <v>7318</v>
      </c>
      <c r="D7226" s="6"/>
      <c r="E7226" s="7" t="s">
        <v>7319</v>
      </c>
    </row>
    <row r="7227">
      <c r="A7227" s="4" t="s">
        <v>7333</v>
      </c>
      <c r="B7227" s="5" t="str">
        <f>IFERROR(__xludf.DUMMYFUNCTION("IF(A7227="""","""",INDEX(SPLIT(A7227,"" ""),COUNTA(SPLIT(A7227,"" ""))))"),"Caltavuturo")</f>
        <v>Caltavuturo</v>
      </c>
      <c r="C7227" s="6" t="s">
        <v>7318</v>
      </c>
      <c r="D7227" s="6"/>
      <c r="E7227" s="7" t="s">
        <v>7319</v>
      </c>
    </row>
    <row r="7228">
      <c r="A7228" s="4" t="s">
        <v>7334</v>
      </c>
      <c r="B7228" s="5" t="str">
        <f>IFERROR(__xludf.DUMMYFUNCTION("IF(A7228="""","""",INDEX(SPLIT(A7228,"" ""),COUNTA(SPLIT(A7228,"" ""))))"),"Fitalia")</f>
        <v>Fitalia</v>
      </c>
      <c r="C7228" s="6" t="s">
        <v>7318</v>
      </c>
      <c r="D7228" s="6"/>
      <c r="E7228" s="7" t="s">
        <v>7319</v>
      </c>
    </row>
    <row r="7229">
      <c r="A7229" s="4" t="s">
        <v>7335</v>
      </c>
      <c r="B7229" s="5" t="str">
        <f>IFERROR(__xludf.DUMMYFUNCTION("IF(A7229="""","""",INDEX(SPLIT(A7229,"" ""),COUNTA(SPLIT(A7229,"" ""))))"),"Roccella")</f>
        <v>Roccella</v>
      </c>
      <c r="C7229" s="6" t="s">
        <v>7318</v>
      </c>
      <c r="D7229" s="6"/>
      <c r="E7229" s="7" t="s">
        <v>7319</v>
      </c>
    </row>
    <row r="7230">
      <c r="A7230" s="4" t="s">
        <v>7336</v>
      </c>
      <c r="B7230" s="5" t="str">
        <f>IFERROR(__xludf.DUMMYFUNCTION("IF(A7230="""","""",INDEX(SPLIT(A7230,"" ""),COUNTA(SPLIT(A7230,"" ""))))"),"Campofiorito")</f>
        <v>Campofiorito</v>
      </c>
      <c r="C7230" s="6" t="s">
        <v>7318</v>
      </c>
      <c r="D7230" s="6"/>
      <c r="E7230" s="7" t="s">
        <v>7319</v>
      </c>
    </row>
    <row r="7231">
      <c r="A7231" s="4" t="s">
        <v>7337</v>
      </c>
      <c r="B7231" s="5" t="str">
        <f>IFERROR(__xludf.DUMMYFUNCTION("IF(A7231="""","""",INDEX(SPLIT(A7231,"" ""),COUNTA(SPLIT(A7231,"" ""))))"),"Camporeale")</f>
        <v>Camporeale</v>
      </c>
      <c r="C7231" s="6" t="s">
        <v>7318</v>
      </c>
      <c r="D7231" s="6"/>
      <c r="E7231" s="7" t="s">
        <v>7319</v>
      </c>
    </row>
    <row r="7232">
      <c r="A7232" s="4" t="s">
        <v>7338</v>
      </c>
      <c r="B7232" s="5" t="str">
        <f>IFERROR(__xludf.DUMMYFUNCTION("IF(A7232="""","""",INDEX(SPLIT(A7232,"" ""),COUNTA(SPLIT(A7232,"" ""))))"),"Capaci")</f>
        <v>Capaci</v>
      </c>
      <c r="C7232" s="6" t="s">
        <v>7318</v>
      </c>
      <c r="D7232" s="6"/>
      <c r="E7232" s="7" t="s">
        <v>7319</v>
      </c>
    </row>
    <row r="7233">
      <c r="A7233" s="4" t="s">
        <v>7339</v>
      </c>
      <c r="B7233" s="5" t="str">
        <f>IFERROR(__xludf.DUMMYFUNCTION("IF(A7233="""","""",INDEX(SPLIT(A7233,"" ""),COUNTA(SPLIT(A7233,"" ""))))"),"Carini")</f>
        <v>Carini</v>
      </c>
      <c r="C7233" s="6" t="s">
        <v>7318</v>
      </c>
      <c r="D7233" s="6"/>
      <c r="E7233" s="7" t="s">
        <v>7319</v>
      </c>
    </row>
    <row r="7234">
      <c r="A7234" s="4" t="s">
        <v>7340</v>
      </c>
      <c r="B7234" s="5" t="str">
        <f>IFERROR(__xludf.DUMMYFUNCTION("IF(A7234="""","""",INDEX(SPLIT(A7234,"" ""),COUNTA(SPLIT(A7234,"" ""))))"),"Castelbuono")</f>
        <v>Castelbuono</v>
      </c>
      <c r="C7234" s="6" t="s">
        <v>7318</v>
      </c>
      <c r="D7234" s="6"/>
      <c r="E7234" s="7" t="s">
        <v>7319</v>
      </c>
    </row>
    <row r="7235">
      <c r="A7235" s="4" t="s">
        <v>7341</v>
      </c>
      <c r="B7235" s="5" t="str">
        <f>IFERROR(__xludf.DUMMYFUNCTION("IF(A7235="""","""",INDEX(SPLIT(A7235,"" ""),COUNTA(SPLIT(A7235,"" ""))))"),"Casteldaccia")</f>
        <v>Casteldaccia</v>
      </c>
      <c r="C7235" s="6" t="s">
        <v>7318</v>
      </c>
      <c r="D7235" s="6"/>
      <c r="E7235" s="7" t="s">
        <v>7319</v>
      </c>
    </row>
    <row r="7236">
      <c r="A7236" s="4" t="s">
        <v>7342</v>
      </c>
      <c r="B7236" s="5" t="str">
        <f>IFERROR(__xludf.DUMMYFUNCTION("IF(A7236="""","""",INDEX(SPLIT(A7236,"" ""),COUNTA(SPLIT(A7236,"" ""))))"),"Sicula")</f>
        <v>Sicula</v>
      </c>
      <c r="C7236" s="6" t="s">
        <v>7318</v>
      </c>
      <c r="D7236" s="6"/>
      <c r="E7236" s="7" t="s">
        <v>7319</v>
      </c>
    </row>
    <row r="7237">
      <c r="A7237" s="4" t="s">
        <v>7343</v>
      </c>
      <c r="B7237" s="5" t="str">
        <f>IFERROR(__xludf.DUMMYFUNCTION("IF(A7237="""","""",INDEX(SPLIT(A7237,"" ""),COUNTA(SPLIT(A7237,"" ""))))"),"Sicilia")</f>
        <v>Sicilia</v>
      </c>
      <c r="C7237" s="6" t="s">
        <v>7318</v>
      </c>
      <c r="D7237" s="6"/>
      <c r="E7237" s="7" t="s">
        <v>7319</v>
      </c>
    </row>
    <row r="7238">
      <c r="A7238" s="4" t="s">
        <v>7344</v>
      </c>
      <c r="B7238" s="5" t="str">
        <f>IFERROR(__xludf.DUMMYFUNCTION("IF(A7238="""","""",INDEX(SPLIT(A7238,"" ""),COUNTA(SPLIT(A7238,"" ""))))"),"Diana")</f>
        <v>Diana</v>
      </c>
      <c r="C7238" s="6" t="s">
        <v>7318</v>
      </c>
      <c r="D7238" s="6"/>
      <c r="E7238" s="7" t="s">
        <v>7319</v>
      </c>
    </row>
    <row r="7239">
      <c r="A7239" s="4" t="s">
        <v>7345</v>
      </c>
      <c r="B7239" s="5" t="str">
        <f>IFERROR(__xludf.DUMMYFUNCTION("IF(A7239="""","""",INDEX(SPLIT(A7239,"" ""),COUNTA(SPLIT(A7239,"" ""))))"),"Cefalù")</f>
        <v>Cefalù</v>
      </c>
      <c r="C7239" s="6" t="s">
        <v>7318</v>
      </c>
      <c r="D7239" s="6"/>
      <c r="E7239" s="7" t="s">
        <v>7319</v>
      </c>
    </row>
    <row r="7240">
      <c r="A7240" s="4" t="s">
        <v>7346</v>
      </c>
      <c r="B7240" s="5" t="str">
        <f>IFERROR(__xludf.DUMMYFUNCTION("IF(A7240="""","""",INDEX(SPLIT(A7240,"" ""),COUNTA(SPLIT(A7240,"" ""))))"),"Cerda")</f>
        <v>Cerda</v>
      </c>
      <c r="C7240" s="6" t="s">
        <v>7318</v>
      </c>
      <c r="D7240" s="6"/>
      <c r="E7240" s="7" t="s">
        <v>7319</v>
      </c>
    </row>
    <row r="7241">
      <c r="A7241" s="4" t="s">
        <v>7347</v>
      </c>
      <c r="B7241" s="5" t="str">
        <f>IFERROR(__xludf.DUMMYFUNCTION("IF(A7241="""","""",INDEX(SPLIT(A7241,"" ""),COUNTA(SPLIT(A7241,"" ""))))"),"Sclafani")</f>
        <v>Sclafani</v>
      </c>
      <c r="C7241" s="6" t="s">
        <v>7318</v>
      </c>
      <c r="D7241" s="6"/>
      <c r="E7241" s="7" t="s">
        <v>7319</v>
      </c>
    </row>
    <row r="7242">
      <c r="A7242" s="4" t="s">
        <v>7348</v>
      </c>
      <c r="B7242" s="5" t="str">
        <f>IFERROR(__xludf.DUMMYFUNCTION("IF(A7242="""","""",INDEX(SPLIT(A7242,"" ""),COUNTA(SPLIT(A7242,"" ""))))"),"Ciminna")</f>
        <v>Ciminna</v>
      </c>
      <c r="C7242" s="6" t="s">
        <v>7318</v>
      </c>
      <c r="D7242" s="6"/>
      <c r="E7242" s="7" t="s">
        <v>7319</v>
      </c>
    </row>
    <row r="7243">
      <c r="A7243" s="4" t="s">
        <v>7349</v>
      </c>
      <c r="B7243" s="5" t="str">
        <f>IFERROR(__xludf.DUMMYFUNCTION("IF(A7243="""","""",INDEX(SPLIT(A7243,"" ""),COUNTA(SPLIT(A7243,"" ""))))"),"Cinisi")</f>
        <v>Cinisi</v>
      </c>
      <c r="C7243" s="6" t="s">
        <v>7318</v>
      </c>
      <c r="D7243" s="6"/>
      <c r="E7243" s="7" t="s">
        <v>7319</v>
      </c>
    </row>
    <row r="7244">
      <c r="A7244" s="4" t="s">
        <v>7350</v>
      </c>
      <c r="B7244" s="5" t="str">
        <f>IFERROR(__xludf.DUMMYFUNCTION("IF(A7244="""","""",INDEX(SPLIT(A7244,"" ""),COUNTA(SPLIT(A7244,"" ""))))"),"Collesano")</f>
        <v>Collesano</v>
      </c>
      <c r="C7244" s="6" t="s">
        <v>7318</v>
      </c>
      <c r="D7244" s="6"/>
      <c r="E7244" s="7" t="s">
        <v>7319</v>
      </c>
    </row>
    <row r="7245">
      <c r="A7245" s="4" t="s">
        <v>7351</v>
      </c>
      <c r="B7245" s="5" t="str">
        <f>IFERROR(__xludf.DUMMYFUNCTION("IF(A7245="""","""",INDEX(SPLIT(A7245,"" ""),COUNTA(SPLIT(A7245,"" ""))))"),"Entellina")</f>
        <v>Entellina</v>
      </c>
      <c r="C7245" s="6" t="s">
        <v>7318</v>
      </c>
      <c r="D7245" s="6"/>
      <c r="E7245" s="7" t="s">
        <v>7319</v>
      </c>
    </row>
    <row r="7246">
      <c r="A7246" s="4" t="s">
        <v>7352</v>
      </c>
      <c r="B7246" s="5" t="str">
        <f>IFERROR(__xludf.DUMMYFUNCTION("IF(A7246="""","""",INDEX(SPLIT(A7246,"" ""),COUNTA(SPLIT(A7246,"" ""))))"),"Corleone")</f>
        <v>Corleone</v>
      </c>
      <c r="C7246" s="6" t="s">
        <v>7318</v>
      </c>
      <c r="D7246" s="6"/>
      <c r="E7246" s="7" t="s">
        <v>7319</v>
      </c>
    </row>
    <row r="7247">
      <c r="A7247" s="4" t="s">
        <v>7353</v>
      </c>
      <c r="B7247" s="5" t="str">
        <f>IFERROR(__xludf.DUMMYFUNCTION("IF(A7247="""","""",INDEX(SPLIT(A7247,"" ""),COUNTA(SPLIT(A7247,"" ""))))"),"Ficarazzi")</f>
        <v>Ficarazzi</v>
      </c>
      <c r="C7247" s="6" t="s">
        <v>7318</v>
      </c>
      <c r="D7247" s="6"/>
      <c r="E7247" s="7" t="s">
        <v>7319</v>
      </c>
    </row>
    <row r="7248">
      <c r="A7248" s="4" t="s">
        <v>7354</v>
      </c>
      <c r="B7248" s="5" t="str">
        <f>IFERROR(__xludf.DUMMYFUNCTION("IF(A7248="""","""",INDEX(SPLIT(A7248,"" ""),COUNTA(SPLIT(A7248,"" ""))))"),"Gangi")</f>
        <v>Gangi</v>
      </c>
      <c r="C7248" s="6" t="s">
        <v>7318</v>
      </c>
      <c r="D7248" s="6"/>
      <c r="E7248" s="7" t="s">
        <v>7319</v>
      </c>
    </row>
    <row r="7249">
      <c r="A7249" s="4" t="s">
        <v>7355</v>
      </c>
      <c r="B7249" s="5" t="str">
        <f>IFERROR(__xludf.DUMMYFUNCTION("IF(A7249="""","""",INDEX(SPLIT(A7249,"" ""),COUNTA(SPLIT(A7249,"" ""))))"),"Siculo")</f>
        <v>Siculo</v>
      </c>
      <c r="C7249" s="6" t="s">
        <v>7318</v>
      </c>
      <c r="D7249" s="6"/>
      <c r="E7249" s="7" t="s">
        <v>7319</v>
      </c>
    </row>
    <row r="7250">
      <c r="A7250" s="4" t="s">
        <v>7356</v>
      </c>
      <c r="B7250" s="5" t="str">
        <f>IFERROR(__xludf.DUMMYFUNCTION("IF(A7250="""","""",INDEX(SPLIT(A7250,"" ""),COUNTA(SPLIT(A7250,"" ""))))"),"Giardinello")</f>
        <v>Giardinello</v>
      </c>
      <c r="C7250" s="6" t="s">
        <v>7318</v>
      </c>
      <c r="D7250" s="6"/>
      <c r="E7250" s="7" t="s">
        <v>7319</v>
      </c>
    </row>
    <row r="7251">
      <c r="A7251" s="4" t="s">
        <v>7357</v>
      </c>
      <c r="B7251" s="5" t="str">
        <f>IFERROR(__xludf.DUMMYFUNCTION("IF(A7251="""","""",INDEX(SPLIT(A7251,"" ""),COUNTA(SPLIT(A7251,"" ""))))"),"Giuliana")</f>
        <v>Giuliana</v>
      </c>
      <c r="C7251" s="6" t="s">
        <v>7318</v>
      </c>
      <c r="D7251" s="6"/>
      <c r="E7251" s="7" t="s">
        <v>7319</v>
      </c>
    </row>
    <row r="7252">
      <c r="A7252" s="4" t="s">
        <v>7358</v>
      </c>
      <c r="B7252" s="5" t="str">
        <f>IFERROR(__xludf.DUMMYFUNCTION("IF(A7252="""","""",INDEX(SPLIT(A7252,"" ""),COUNTA(SPLIT(A7252,"" ""))))"),"Godrano")</f>
        <v>Godrano</v>
      </c>
      <c r="C7252" s="6" t="s">
        <v>7318</v>
      </c>
      <c r="D7252" s="6"/>
      <c r="E7252" s="7" t="s">
        <v>7319</v>
      </c>
    </row>
    <row r="7253">
      <c r="A7253" s="4" t="s">
        <v>7359</v>
      </c>
      <c r="B7253" s="5" t="str">
        <f>IFERROR(__xludf.DUMMYFUNCTION("IF(A7253="""","""",INDEX(SPLIT(A7253,"" ""),COUNTA(SPLIT(A7253,"" ""))))"),"Gratteri")</f>
        <v>Gratteri</v>
      </c>
      <c r="C7253" s="6" t="s">
        <v>7318</v>
      </c>
      <c r="D7253" s="6"/>
      <c r="E7253" s="7" t="s">
        <v>7319</v>
      </c>
    </row>
    <row r="7254">
      <c r="A7254" s="4" t="s">
        <v>7360</v>
      </c>
      <c r="B7254" s="5" t="str">
        <f>IFERROR(__xludf.DUMMYFUNCTION("IF(A7254="""","""",INDEX(SPLIT(A7254,"" ""),COUNTA(SPLIT(A7254,"" ""))))"),"Isnello")</f>
        <v>Isnello</v>
      </c>
      <c r="C7254" s="6" t="s">
        <v>7318</v>
      </c>
      <c r="D7254" s="6"/>
      <c r="E7254" s="7" t="s">
        <v>7319</v>
      </c>
    </row>
    <row r="7255">
      <c r="A7255" s="4" t="s">
        <v>7361</v>
      </c>
      <c r="B7255" s="5" t="str">
        <f>IFERROR(__xludf.DUMMYFUNCTION("IF(A7255="""","""",INDEX(SPLIT(A7255,"" ""),COUNTA(SPLIT(A7255,"" ""))))"),"Femmine")</f>
        <v>Femmine</v>
      </c>
      <c r="C7255" s="6" t="s">
        <v>7318</v>
      </c>
      <c r="D7255" s="6"/>
      <c r="E7255" s="7" t="s">
        <v>7319</v>
      </c>
    </row>
    <row r="7256">
      <c r="A7256" s="4" t="s">
        <v>7362</v>
      </c>
      <c r="B7256" s="5" t="str">
        <f>IFERROR(__xludf.DUMMYFUNCTION("IF(A7256="""","""",INDEX(SPLIT(A7256,"" ""),COUNTA(SPLIT(A7256,"" ""))))"),"Lascari")</f>
        <v>Lascari</v>
      </c>
      <c r="C7256" s="6" t="s">
        <v>7318</v>
      </c>
      <c r="D7256" s="6"/>
      <c r="E7256" s="7" t="s">
        <v>7319</v>
      </c>
    </row>
    <row r="7257">
      <c r="A7257" s="4" t="s">
        <v>7363</v>
      </c>
      <c r="B7257" s="5" t="str">
        <f>IFERROR(__xludf.DUMMYFUNCTION("IF(A7257="""","""",INDEX(SPLIT(A7257,"" ""),COUNTA(SPLIT(A7257,"" ""))))"),"Friddi")</f>
        <v>Friddi</v>
      </c>
      <c r="C7257" s="6" t="s">
        <v>7318</v>
      </c>
      <c r="D7257" s="6"/>
      <c r="E7257" s="7" t="s">
        <v>7319</v>
      </c>
    </row>
    <row r="7258">
      <c r="A7258" s="4" t="s">
        <v>7364</v>
      </c>
      <c r="B7258" s="5" t="str">
        <f>IFERROR(__xludf.DUMMYFUNCTION("IF(A7258="""","""",INDEX(SPLIT(A7258,"" ""),COUNTA(SPLIT(A7258,"" ""))))"),"Marineo")</f>
        <v>Marineo</v>
      </c>
      <c r="C7258" s="6" t="s">
        <v>7318</v>
      </c>
      <c r="D7258" s="6"/>
      <c r="E7258" s="7" t="s">
        <v>7319</v>
      </c>
    </row>
    <row r="7259">
      <c r="A7259" s="4" t="s">
        <v>7365</v>
      </c>
      <c r="B7259" s="5" t="str">
        <f>IFERROR(__xludf.DUMMYFUNCTION("IF(A7259="""","""",INDEX(SPLIT(A7259,"" ""),COUNTA(SPLIT(A7259,"" ""))))"),"Mezzojuso")</f>
        <v>Mezzojuso</v>
      </c>
      <c r="C7259" s="6" t="s">
        <v>7318</v>
      </c>
      <c r="D7259" s="6"/>
      <c r="E7259" s="7" t="s">
        <v>7319</v>
      </c>
    </row>
    <row r="7260">
      <c r="A7260" s="4" t="s">
        <v>7366</v>
      </c>
      <c r="B7260" s="5" t="str">
        <f>IFERROR(__xludf.DUMMYFUNCTION("IF(A7260="""","""",INDEX(SPLIT(A7260,"" ""),COUNTA(SPLIT(A7260,"" ""))))"),"Misilmeri")</f>
        <v>Misilmeri</v>
      </c>
      <c r="C7260" s="6" t="s">
        <v>7318</v>
      </c>
      <c r="D7260" s="6"/>
      <c r="E7260" s="7" t="s">
        <v>7319</v>
      </c>
    </row>
    <row r="7261">
      <c r="A7261" s="4" t="s">
        <v>7367</v>
      </c>
      <c r="B7261" s="5" t="str">
        <f>IFERROR(__xludf.DUMMYFUNCTION("IF(A7261="""","""",INDEX(SPLIT(A7261,"" ""),COUNTA(SPLIT(A7261,"" ""))))"),"Monreale")</f>
        <v>Monreale</v>
      </c>
      <c r="C7261" s="6" t="s">
        <v>7318</v>
      </c>
      <c r="D7261" s="6"/>
      <c r="E7261" s="7" t="s">
        <v>7319</v>
      </c>
    </row>
    <row r="7262">
      <c r="A7262" s="4" t="s">
        <v>7368</v>
      </c>
      <c r="B7262" s="5" t="str">
        <f>IFERROR(__xludf.DUMMYFUNCTION("IF(A7262="""","""",INDEX(SPLIT(A7262,"" ""),COUNTA(SPLIT(A7262,"" ""))))"),"Montelepre")</f>
        <v>Montelepre</v>
      </c>
      <c r="C7262" s="6" t="s">
        <v>7318</v>
      </c>
      <c r="D7262" s="6"/>
      <c r="E7262" s="7" t="s">
        <v>7319</v>
      </c>
    </row>
    <row r="7263">
      <c r="A7263" s="4" t="s">
        <v>7369</v>
      </c>
      <c r="B7263" s="5" t="str">
        <f>IFERROR(__xludf.DUMMYFUNCTION("IF(A7263="""","""",INDEX(SPLIT(A7263,"" ""),COUNTA(SPLIT(A7263,"" ""))))"),"Belsito")</f>
        <v>Belsito</v>
      </c>
      <c r="C7263" s="6" t="s">
        <v>7318</v>
      </c>
      <c r="D7263" s="6"/>
      <c r="E7263" s="7" t="s">
        <v>7319</v>
      </c>
    </row>
    <row r="7264">
      <c r="A7264" s="4" t="s">
        <v>7370</v>
      </c>
      <c r="B7264" s="5" t="str">
        <f>IFERROR(__xludf.DUMMYFUNCTION("IF(A7264="""","""",INDEX(SPLIT(A7264,"" ""),COUNTA(SPLIT(A7264,"" ""))))"),"Adriano")</f>
        <v>Adriano</v>
      </c>
      <c r="C7264" s="6" t="s">
        <v>7318</v>
      </c>
      <c r="D7264" s="6"/>
      <c r="E7264" s="7" t="s">
        <v>7319</v>
      </c>
    </row>
    <row r="7265">
      <c r="A7265" s="4" t="s">
        <v>7318</v>
      </c>
      <c r="B7265" s="5" t="str">
        <f>IFERROR(__xludf.DUMMYFUNCTION("IF(A7265="""","""",INDEX(SPLIT(A7265,"" ""),COUNTA(SPLIT(A7265,"" ""))))"),"Palermo")</f>
        <v>Palermo</v>
      </c>
      <c r="C7265" s="6" t="s">
        <v>7318</v>
      </c>
      <c r="D7265" s="6"/>
      <c r="E7265" s="7" t="s">
        <v>7319</v>
      </c>
    </row>
    <row r="7266">
      <c r="A7266" s="4" t="s">
        <v>7371</v>
      </c>
      <c r="B7266" s="5" t="str">
        <f>IFERROR(__xludf.DUMMYFUNCTION("IF(A7266="""","""",INDEX(SPLIT(A7266,"" ""),COUNTA(SPLIT(A7266,"" ""))))"),"Partinico")</f>
        <v>Partinico</v>
      </c>
      <c r="C7266" s="6" t="s">
        <v>7318</v>
      </c>
      <c r="D7266" s="6"/>
      <c r="E7266" s="7" t="s">
        <v>7319</v>
      </c>
    </row>
    <row r="7267">
      <c r="A7267" s="4" t="s">
        <v>7372</v>
      </c>
      <c r="B7267" s="5" t="str">
        <f>IFERROR(__xludf.DUMMYFUNCTION("IF(A7267="""","""",INDEX(SPLIT(A7267,"" ""),COUNTA(SPLIT(A7267,"" ""))))"),"Soprana")</f>
        <v>Soprana</v>
      </c>
      <c r="C7267" s="6" t="s">
        <v>7318</v>
      </c>
      <c r="D7267" s="6"/>
      <c r="E7267" s="7" t="s">
        <v>7319</v>
      </c>
    </row>
    <row r="7268">
      <c r="A7268" s="4" t="s">
        <v>7373</v>
      </c>
      <c r="B7268" s="5" t="str">
        <f>IFERROR(__xludf.DUMMYFUNCTION("IF(A7268="""","""",INDEX(SPLIT(A7268,"" ""),COUNTA(SPLIT(A7268,"" ""))))"),"Sottana")</f>
        <v>Sottana</v>
      </c>
      <c r="C7268" s="6" t="s">
        <v>7318</v>
      </c>
      <c r="D7268" s="6"/>
      <c r="E7268" s="7" t="s">
        <v>7319</v>
      </c>
    </row>
    <row r="7269">
      <c r="A7269" s="4" t="s">
        <v>7374</v>
      </c>
      <c r="B7269" s="5" t="str">
        <f>IFERROR(__xludf.DUMMYFUNCTION("IF(A7269="""","""",INDEX(SPLIT(A7269,"" ""),COUNTA(SPLIT(A7269,"" ""))))"),"Albanesi")</f>
        <v>Albanesi</v>
      </c>
      <c r="C7269" s="6" t="s">
        <v>7318</v>
      </c>
      <c r="D7269" s="6"/>
      <c r="E7269" s="7" t="s">
        <v>7319</v>
      </c>
    </row>
    <row r="7270">
      <c r="A7270" s="4" t="s">
        <v>7375</v>
      </c>
      <c r="B7270" s="5" t="str">
        <f>IFERROR(__xludf.DUMMYFUNCTION("IF(A7270="""","""",INDEX(SPLIT(A7270,"" ""),COUNTA(SPLIT(A7270,"" ""))))"),"Generosa")</f>
        <v>Generosa</v>
      </c>
      <c r="C7270" s="6" t="s">
        <v>7318</v>
      </c>
      <c r="D7270" s="6"/>
      <c r="E7270" s="7" t="s">
        <v>7319</v>
      </c>
    </row>
    <row r="7271">
      <c r="A7271" s="4" t="s">
        <v>7376</v>
      </c>
      <c r="B7271" s="5" t="str">
        <f>IFERROR(__xludf.DUMMYFUNCTION("IF(A7271="""","""",INDEX(SPLIT(A7271,"" ""),COUNTA(SPLIT(A7271,"" ""))))"),"Pollina")</f>
        <v>Pollina</v>
      </c>
      <c r="C7271" s="6" t="s">
        <v>7318</v>
      </c>
      <c r="D7271" s="6"/>
      <c r="E7271" s="7" t="s">
        <v>7319</v>
      </c>
    </row>
    <row r="7272">
      <c r="A7272" s="4" t="s">
        <v>7377</v>
      </c>
      <c r="B7272" s="5" t="str">
        <f>IFERROR(__xludf.DUMMYFUNCTION("IF(A7272="""","""",INDEX(SPLIT(A7272,"" ""),COUNTA(SPLIT(A7272,"" ""))))"),"Prizzi")</f>
        <v>Prizzi</v>
      </c>
      <c r="C7272" s="6" t="s">
        <v>7318</v>
      </c>
      <c r="D7272" s="6"/>
      <c r="E7272" s="7" t="s">
        <v>7319</v>
      </c>
    </row>
    <row r="7273">
      <c r="A7273" s="4" t="s">
        <v>7378</v>
      </c>
      <c r="B7273" s="5" t="str">
        <f>IFERROR(__xludf.DUMMYFUNCTION("IF(A7273="""","""",INDEX(SPLIT(A7273,"" ""),COUNTA(SPLIT(A7273,"" ""))))"),"Roccamena")</f>
        <v>Roccamena</v>
      </c>
      <c r="C7273" s="6" t="s">
        <v>7318</v>
      </c>
      <c r="D7273" s="6"/>
      <c r="E7273" s="7" t="s">
        <v>7319</v>
      </c>
    </row>
    <row r="7274">
      <c r="A7274" s="4" t="s">
        <v>7379</v>
      </c>
      <c r="B7274" s="5" t="str">
        <f>IFERROR(__xludf.DUMMYFUNCTION("IF(A7274="""","""",INDEX(SPLIT(A7274,"" ""),COUNTA(SPLIT(A7274,"" ""))))"),"Roccapalumba")</f>
        <v>Roccapalumba</v>
      </c>
      <c r="C7274" s="6" t="s">
        <v>7318</v>
      </c>
      <c r="D7274" s="6"/>
      <c r="E7274" s="7" t="s">
        <v>7319</v>
      </c>
    </row>
    <row r="7275">
      <c r="A7275" s="4" t="s">
        <v>7380</v>
      </c>
      <c r="B7275" s="5" t="str">
        <f>IFERROR(__xludf.DUMMYFUNCTION("IF(A7275="""","""",INDEX(SPLIT(A7275,"" ""),COUNTA(SPLIT(A7275,"" ""))))"),"Cipirello")</f>
        <v>Cipirello</v>
      </c>
      <c r="C7275" s="6" t="s">
        <v>7318</v>
      </c>
      <c r="D7275" s="6"/>
      <c r="E7275" s="7" t="s">
        <v>7319</v>
      </c>
    </row>
    <row r="7276">
      <c r="A7276" s="4" t="s">
        <v>7381</v>
      </c>
      <c r="B7276" s="5" t="str">
        <f>IFERROR(__xludf.DUMMYFUNCTION("IF(A7276="""","""",INDEX(SPLIT(A7276,"" ""),COUNTA(SPLIT(A7276,"" ""))))"),"Jato")</f>
        <v>Jato</v>
      </c>
      <c r="C7276" s="6" t="s">
        <v>7318</v>
      </c>
      <c r="D7276" s="6"/>
      <c r="E7276" s="7" t="s">
        <v>7319</v>
      </c>
    </row>
    <row r="7277">
      <c r="A7277" s="4" t="s">
        <v>7382</v>
      </c>
      <c r="B7277" s="5" t="str">
        <f>IFERROR(__xludf.DUMMYFUNCTION("IF(A7277="""","""",INDEX(SPLIT(A7277,"" ""),COUNTA(SPLIT(A7277,"" ""))))"),"Castelverde")</f>
        <v>Castelverde</v>
      </c>
      <c r="C7277" s="6" t="s">
        <v>7318</v>
      </c>
      <c r="D7277" s="6"/>
      <c r="E7277" s="7" t="s">
        <v>7319</v>
      </c>
    </row>
    <row r="7278">
      <c r="A7278" s="4" t="s">
        <v>7383</v>
      </c>
      <c r="B7278" s="5" t="str">
        <f>IFERROR(__xludf.DUMMYFUNCTION("IF(A7278="""","""",INDEX(SPLIT(A7278,"" ""),COUNTA(SPLIT(A7278,"" ""))))"),"Gela")</f>
        <v>Gela</v>
      </c>
      <c r="C7278" s="6" t="s">
        <v>7318</v>
      </c>
      <c r="D7278" s="6"/>
      <c r="E7278" s="7" t="s">
        <v>7319</v>
      </c>
    </row>
    <row r="7279">
      <c r="A7279" s="4" t="s">
        <v>7384</v>
      </c>
      <c r="B7279" s="5" t="str">
        <f>IFERROR(__xludf.DUMMYFUNCTION("IF(A7279="""","""",INDEX(SPLIT(A7279,"" ""),COUNTA(SPLIT(A7279,"" ""))))"),"Flavia")</f>
        <v>Flavia</v>
      </c>
      <c r="C7279" s="6" t="s">
        <v>7318</v>
      </c>
      <c r="D7279" s="6"/>
      <c r="E7279" s="7" t="s">
        <v>7319</v>
      </c>
    </row>
    <row r="7280">
      <c r="A7280" s="4" t="s">
        <v>7385</v>
      </c>
      <c r="B7280" s="5" t="str">
        <f>IFERROR(__xludf.DUMMYFUNCTION("IF(A7280="""","""",INDEX(SPLIT(A7280,"" ""),COUNTA(SPLIT(A7280,"" ""))))"),"Sciara")</f>
        <v>Sciara</v>
      </c>
      <c r="C7280" s="6" t="s">
        <v>7318</v>
      </c>
      <c r="D7280" s="6"/>
      <c r="E7280" s="7" t="s">
        <v>7319</v>
      </c>
    </row>
    <row r="7281">
      <c r="A7281" s="4" t="s">
        <v>7386</v>
      </c>
      <c r="B7281" s="5" t="str">
        <f>IFERROR(__xludf.DUMMYFUNCTION("IF(A7281="""","""",INDEX(SPLIT(A7281,"" ""),COUNTA(SPLIT(A7281,"" ""))))"),"Bagni")</f>
        <v>Bagni</v>
      </c>
      <c r="C7281" s="6" t="s">
        <v>7318</v>
      </c>
      <c r="D7281" s="6"/>
      <c r="E7281" s="7" t="s">
        <v>7319</v>
      </c>
    </row>
    <row r="7282">
      <c r="A7282" s="4" t="s">
        <v>7387</v>
      </c>
      <c r="B7282" s="5" t="str">
        <f>IFERROR(__xludf.DUMMYFUNCTION("IF(A7282="""","""",INDEX(SPLIT(A7282,"" ""),COUNTA(SPLIT(A7282,"" ""))))"),"Imerese")</f>
        <v>Imerese</v>
      </c>
      <c r="C7282" s="6" t="s">
        <v>7318</v>
      </c>
      <c r="D7282" s="6"/>
      <c r="E7282" s="7" t="s">
        <v>7319</v>
      </c>
    </row>
    <row r="7283">
      <c r="A7283" s="4" t="s">
        <v>7388</v>
      </c>
      <c r="B7283" s="5" t="str">
        <f>IFERROR(__xludf.DUMMYFUNCTION("IF(A7283="""","""",INDEX(SPLIT(A7283,"" ""),COUNTA(SPLIT(A7283,"" ""))))"),"Terrasini")</f>
        <v>Terrasini</v>
      </c>
      <c r="C7283" s="6" t="s">
        <v>7318</v>
      </c>
      <c r="D7283" s="6"/>
      <c r="E7283" s="7" t="s">
        <v>7319</v>
      </c>
    </row>
    <row r="7284">
      <c r="A7284" s="4" t="s">
        <v>7389</v>
      </c>
      <c r="B7284" s="5" t="str">
        <f>IFERROR(__xludf.DUMMYFUNCTION("IF(A7284="""","""",INDEX(SPLIT(A7284,"" ""),COUNTA(SPLIT(A7284,"" ""))))"),"Torretta")</f>
        <v>Torretta</v>
      </c>
      <c r="C7284" s="6" t="s">
        <v>7318</v>
      </c>
      <c r="D7284" s="6"/>
      <c r="E7284" s="7" t="s">
        <v>7319</v>
      </c>
    </row>
    <row r="7285">
      <c r="A7285" s="4" t="s">
        <v>7390</v>
      </c>
      <c r="B7285" s="5" t="str">
        <f>IFERROR(__xludf.DUMMYFUNCTION("IF(A7285="""","""",INDEX(SPLIT(A7285,"" ""),COUNTA(SPLIT(A7285,"" ""))))"),"Trabia")</f>
        <v>Trabia</v>
      </c>
      <c r="C7285" s="6" t="s">
        <v>7318</v>
      </c>
      <c r="D7285" s="6"/>
      <c r="E7285" s="7" t="s">
        <v>7319</v>
      </c>
    </row>
    <row r="7286">
      <c r="A7286" s="4" t="s">
        <v>7391</v>
      </c>
      <c r="B7286" s="5" t="str">
        <f>IFERROR(__xludf.DUMMYFUNCTION("IF(A7286="""","""",INDEX(SPLIT(A7286,"" ""),COUNTA(SPLIT(A7286,"" ""))))"),"Trappeto")</f>
        <v>Trappeto</v>
      </c>
      <c r="C7286" s="6" t="s">
        <v>7318</v>
      </c>
      <c r="D7286" s="6"/>
      <c r="E7286" s="7" t="s">
        <v>7319</v>
      </c>
    </row>
    <row r="7287">
      <c r="A7287" s="4" t="s">
        <v>7392</v>
      </c>
      <c r="B7287" s="5" t="str">
        <f>IFERROR(__xludf.DUMMYFUNCTION("IF(A7287="""","""",INDEX(SPLIT(A7287,"" ""),COUNTA(SPLIT(A7287,"" ""))))"),"Ustica")</f>
        <v>Ustica</v>
      </c>
      <c r="C7287" s="6" t="s">
        <v>7318</v>
      </c>
      <c r="D7287" s="6"/>
      <c r="E7287" s="7" t="s">
        <v>7319</v>
      </c>
    </row>
    <row r="7288">
      <c r="A7288" s="4" t="s">
        <v>7393</v>
      </c>
      <c r="B7288" s="5" t="str">
        <f>IFERROR(__xludf.DUMMYFUNCTION("IF(A7288="""","""",INDEX(SPLIT(A7288,"" ""),COUNTA(SPLIT(A7288,"" ""))))"),"Valledolmo")</f>
        <v>Valledolmo</v>
      </c>
      <c r="C7288" s="6" t="s">
        <v>7318</v>
      </c>
      <c r="D7288" s="6"/>
      <c r="E7288" s="7" t="s">
        <v>7319</v>
      </c>
    </row>
    <row r="7289">
      <c r="A7289" s="4" t="s">
        <v>7394</v>
      </c>
      <c r="B7289" s="5" t="str">
        <f>IFERROR(__xludf.DUMMYFUNCTION("IF(A7289="""","""",INDEX(SPLIT(A7289,"" ""),COUNTA(SPLIT(A7289,"" ""))))"),"Sicilia")</f>
        <v>Sicilia</v>
      </c>
      <c r="C7289" s="6" t="s">
        <v>7318</v>
      </c>
      <c r="D7289" s="6"/>
      <c r="E7289" s="7" t="s">
        <v>7319</v>
      </c>
    </row>
    <row r="7290">
      <c r="A7290" s="4" t="s">
        <v>7395</v>
      </c>
      <c r="B7290" s="5" t="str">
        <f>IFERROR(__xludf.DUMMYFUNCTION("IF(A7290="""","""",INDEX(SPLIT(A7290,"" ""),COUNTA(SPLIT(A7290,"" ""))))"),"Vicari")</f>
        <v>Vicari</v>
      </c>
      <c r="C7290" s="6" t="s">
        <v>7318</v>
      </c>
      <c r="D7290" s="6"/>
      <c r="E7290" s="7" t="s">
        <v>7319</v>
      </c>
    </row>
    <row r="7291">
      <c r="A7291" s="4" t="s">
        <v>7396</v>
      </c>
      <c r="B7291" s="5" t="str">
        <f>IFERROR(__xludf.DUMMYFUNCTION("IF(A7291="""","""",INDEX(SPLIT(A7291,"" ""),COUNTA(SPLIT(A7291,"" ""))))"),"Villabate")</f>
        <v>Villabate</v>
      </c>
      <c r="C7291" s="6" t="s">
        <v>7318</v>
      </c>
      <c r="D7291" s="6"/>
      <c r="E7291" s="7" t="s">
        <v>7319</v>
      </c>
    </row>
    <row r="7292">
      <c r="A7292" s="4" t="s">
        <v>7397</v>
      </c>
      <c r="B7292" s="5" t="str">
        <f>IFERROR(__xludf.DUMMYFUNCTION("IF(A7292="""","""",INDEX(SPLIT(A7292,"" ""),COUNTA(SPLIT(A7292,"" ""))))"),"Villafrati")</f>
        <v>Villafrati</v>
      </c>
      <c r="C7292" s="6" t="s">
        <v>7318</v>
      </c>
      <c r="D7292" s="6"/>
      <c r="E7292" s="7" t="s">
        <v>7319</v>
      </c>
    </row>
    <row r="7293">
      <c r="A7293" s="4" t="s">
        <v>7398</v>
      </c>
      <c r="B7293" s="5" t="str">
        <f>IFERROR(__xludf.DUMMYFUNCTION("IF(A7293="""","""",INDEX(SPLIT(A7293,"" ""),COUNTA(SPLIT(A7293,"" ""))))"),"Scillato")</f>
        <v>Scillato</v>
      </c>
      <c r="C7293" s="6" t="s">
        <v>7318</v>
      </c>
      <c r="D7293" s="6"/>
      <c r="E7293" s="7" t="s">
        <v>7319</v>
      </c>
    </row>
    <row r="7294">
      <c r="A7294" s="4" t="s">
        <v>7399</v>
      </c>
      <c r="B7294" s="5" t="str">
        <f>IFERROR(__xludf.DUMMYFUNCTION("IF(A7294="""","""",INDEX(SPLIT(A7294,"" ""),COUNTA(SPLIT(A7294,"" ""))))"),"Blufi")</f>
        <v>Blufi</v>
      </c>
      <c r="C7294" s="6" t="s">
        <v>7318</v>
      </c>
      <c r="D7294" s="6"/>
      <c r="E7294" s="7" t="s">
        <v>7319</v>
      </c>
    </row>
    <row r="7295">
      <c r="A7295" s="4" t="s">
        <v>7400</v>
      </c>
      <c r="B7295" s="5" t="str">
        <f>IFERROR(__xludf.DUMMYFUNCTION("IF(A7295="""","""",INDEX(SPLIT(A7295,"" ""),COUNTA(SPLIT(A7295,"" ""))))"),"Fusi")</f>
        <v>Fusi</v>
      </c>
      <c r="C7295" s="6" t="s">
        <v>7401</v>
      </c>
      <c r="D7295" s="6"/>
      <c r="E7295" s="7" t="s">
        <v>7402</v>
      </c>
    </row>
    <row r="7296">
      <c r="A7296" s="4" t="s">
        <v>7403</v>
      </c>
      <c r="B7296" s="5" t="str">
        <f>IFERROR(__xludf.DUMMYFUNCTION("IF(A7296="""","""",INDEX(SPLIT(A7296,"" ""),COUNTA(SPLIT(A7296,"" ""))))"),"Alì")</f>
        <v>Alì</v>
      </c>
      <c r="C7296" s="6" t="s">
        <v>7401</v>
      </c>
      <c r="D7296" s="6"/>
      <c r="E7296" s="7" t="s">
        <v>7402</v>
      </c>
    </row>
    <row r="7297">
      <c r="A7297" s="4" t="s">
        <v>7404</v>
      </c>
      <c r="B7297" s="5" t="str">
        <f>IFERROR(__xludf.DUMMYFUNCTION("IF(A7297="""","""",INDEX(SPLIT(A7297,"" ""),COUNTA(SPLIT(A7297,"" ""))))"),"Terme")</f>
        <v>Terme</v>
      </c>
      <c r="C7297" s="6" t="s">
        <v>7401</v>
      </c>
      <c r="D7297" s="6"/>
      <c r="E7297" s="7" t="s">
        <v>7402</v>
      </c>
    </row>
    <row r="7298">
      <c r="A7298" s="4" t="s">
        <v>7405</v>
      </c>
      <c r="B7298" s="5" t="str">
        <f>IFERROR(__xludf.DUMMYFUNCTION("IF(A7298="""","""",INDEX(SPLIT(A7298,"" ""),COUNTA(SPLIT(A7298,"" ""))))"),"Antillo")</f>
        <v>Antillo</v>
      </c>
      <c r="C7298" s="6" t="s">
        <v>7401</v>
      </c>
      <c r="D7298" s="6"/>
      <c r="E7298" s="7" t="s">
        <v>7402</v>
      </c>
    </row>
    <row r="7299">
      <c r="A7299" s="4" t="s">
        <v>7406</v>
      </c>
      <c r="B7299" s="5" t="str">
        <f>IFERROR(__xludf.DUMMYFUNCTION("IF(A7299="""","""",INDEX(SPLIT(A7299,"" ""),COUNTA(SPLIT(A7299,"" ""))))"),"Gotto")</f>
        <v>Gotto</v>
      </c>
      <c r="C7299" s="6" t="s">
        <v>7401</v>
      </c>
      <c r="D7299" s="6"/>
      <c r="E7299" s="7" t="s">
        <v>7402</v>
      </c>
    </row>
    <row r="7300">
      <c r="A7300" s="4" t="s">
        <v>7407</v>
      </c>
      <c r="B7300" s="5" t="str">
        <f>IFERROR(__xludf.DUMMYFUNCTION("IF(A7300="""","""",INDEX(SPLIT(A7300,"" ""),COUNTA(SPLIT(A7300,"" ""))))"),"Basicò")</f>
        <v>Basicò</v>
      </c>
      <c r="C7300" s="6" t="s">
        <v>7401</v>
      </c>
      <c r="D7300" s="6"/>
      <c r="E7300" s="7" t="s">
        <v>7402</v>
      </c>
    </row>
    <row r="7301">
      <c r="A7301" s="4" t="s">
        <v>7408</v>
      </c>
      <c r="B7301" s="5" t="str">
        <f>IFERROR(__xludf.DUMMYFUNCTION("IF(A7301="""","""",INDEX(SPLIT(A7301,"" ""),COUNTA(SPLIT(A7301,"" ""))))"),"Brolo")</f>
        <v>Brolo</v>
      </c>
      <c r="C7301" s="6" t="s">
        <v>7401</v>
      </c>
      <c r="D7301" s="6"/>
      <c r="E7301" s="7" t="s">
        <v>7402</v>
      </c>
    </row>
    <row r="7302">
      <c r="A7302" s="4" t="s">
        <v>7409</v>
      </c>
      <c r="B7302" s="5" t="str">
        <f>IFERROR(__xludf.DUMMYFUNCTION("IF(A7302="""","""",INDEX(SPLIT(A7302,"" ""),COUNTA(SPLIT(A7302,"" ""))))"),"Capizzi")</f>
        <v>Capizzi</v>
      </c>
      <c r="C7302" s="6" t="s">
        <v>7401</v>
      </c>
      <c r="D7302" s="6"/>
      <c r="E7302" s="7" t="s">
        <v>7402</v>
      </c>
    </row>
    <row r="7303">
      <c r="A7303" s="4" t="s">
        <v>7410</v>
      </c>
      <c r="B7303" s="5" t="str">
        <f>IFERROR(__xludf.DUMMYFUNCTION("IF(A7303="""","""",INDEX(SPLIT(A7303,"" ""),COUNTA(SPLIT(A7303,"" ""))))"),"d'Orlando")</f>
        <v>d'Orlando</v>
      </c>
      <c r="C7303" s="6" t="s">
        <v>7401</v>
      </c>
      <c r="D7303" s="6"/>
      <c r="E7303" s="7" t="s">
        <v>7402</v>
      </c>
    </row>
    <row r="7304">
      <c r="A7304" s="4" t="s">
        <v>7411</v>
      </c>
      <c r="B7304" s="5" t="str">
        <f>IFERROR(__xludf.DUMMYFUNCTION("IF(A7304="""","""",INDEX(SPLIT(A7304,"" ""),COUNTA(SPLIT(A7304,"" ""))))"),"Leone")</f>
        <v>Leone</v>
      </c>
      <c r="C7304" s="6" t="s">
        <v>7401</v>
      </c>
      <c r="D7304" s="6"/>
      <c r="E7304" s="7" t="s">
        <v>7402</v>
      </c>
    </row>
    <row r="7305">
      <c r="A7305" s="4" t="s">
        <v>7412</v>
      </c>
      <c r="B7305" s="5" t="str">
        <f>IFERROR(__xludf.DUMMYFUNCTION("IF(A7305="""","""",INDEX(SPLIT(A7305,"" ""),COUNTA(SPLIT(A7305,"" ""))))"),"Caronia")</f>
        <v>Caronia</v>
      </c>
      <c r="C7305" s="6" t="s">
        <v>7401</v>
      </c>
      <c r="D7305" s="6"/>
      <c r="E7305" s="7" t="s">
        <v>7402</v>
      </c>
    </row>
    <row r="7306">
      <c r="A7306" s="4" t="s">
        <v>7413</v>
      </c>
      <c r="B7306" s="5" t="str">
        <f>IFERROR(__xludf.DUMMYFUNCTION("IF(A7306="""","""",INDEX(SPLIT(A7306,"" ""),COUNTA(SPLIT(A7306,"" ""))))"),"Siculo")</f>
        <v>Siculo</v>
      </c>
      <c r="C7306" s="6" t="s">
        <v>7401</v>
      </c>
      <c r="D7306" s="6"/>
      <c r="E7306" s="7" t="s">
        <v>7402</v>
      </c>
    </row>
    <row r="7307">
      <c r="A7307" s="4" t="s">
        <v>7414</v>
      </c>
      <c r="B7307" s="5" t="str">
        <f>IFERROR(__xludf.DUMMYFUNCTION("IF(A7307="""","""",INDEX(SPLIT(A7307,"" ""),COUNTA(SPLIT(A7307,"" ""))))"),"Lucio")</f>
        <v>Lucio</v>
      </c>
      <c r="C7307" s="6" t="s">
        <v>7401</v>
      </c>
      <c r="D7307" s="6"/>
      <c r="E7307" s="7" t="s">
        <v>7402</v>
      </c>
    </row>
    <row r="7308">
      <c r="A7308" s="4" t="s">
        <v>7415</v>
      </c>
      <c r="B7308" s="5" t="str">
        <f>IFERROR(__xludf.DUMMYFUNCTION("IF(A7308="""","""",INDEX(SPLIT(A7308,"" ""),COUNTA(SPLIT(A7308,"" ""))))"),"Castell'Umberto")</f>
        <v>Castell'Umberto</v>
      </c>
      <c r="C7308" s="6" t="s">
        <v>7401</v>
      </c>
      <c r="D7308" s="6"/>
      <c r="E7308" s="7" t="s">
        <v>7402</v>
      </c>
    </row>
    <row r="7309">
      <c r="A7309" s="4" t="s">
        <v>7416</v>
      </c>
      <c r="B7309" s="5" t="str">
        <f>IFERROR(__xludf.DUMMYFUNCTION("IF(A7309="""","""",INDEX(SPLIT(A7309,"" ""),COUNTA(SPLIT(A7309,"" ""))))"),"Castelmola")</f>
        <v>Castelmola</v>
      </c>
      <c r="C7309" s="6" t="s">
        <v>7401</v>
      </c>
      <c r="D7309" s="6"/>
      <c r="E7309" s="7" t="s">
        <v>7402</v>
      </c>
    </row>
    <row r="7310">
      <c r="A7310" s="4" t="s">
        <v>7417</v>
      </c>
      <c r="B7310" s="5" t="str">
        <f>IFERROR(__xludf.DUMMYFUNCTION("IF(A7310="""","""",INDEX(SPLIT(A7310,"" ""),COUNTA(SPLIT(A7310,"" ""))))"),"Castroreale")</f>
        <v>Castroreale</v>
      </c>
      <c r="C7310" s="6" t="s">
        <v>7401</v>
      </c>
      <c r="D7310" s="6"/>
      <c r="E7310" s="7" t="s">
        <v>7402</v>
      </c>
    </row>
    <row r="7311">
      <c r="A7311" s="4" t="s">
        <v>7418</v>
      </c>
      <c r="B7311" s="5" t="str">
        <f>IFERROR(__xludf.DUMMYFUNCTION("IF(A7311="""","""",INDEX(SPLIT(A7311,"" ""),COUNTA(SPLIT(A7311,"" ""))))"),"Cesarò")</f>
        <v>Cesarò</v>
      </c>
      <c r="C7311" s="6" t="s">
        <v>7401</v>
      </c>
      <c r="D7311" s="6"/>
      <c r="E7311" s="7" t="s">
        <v>7402</v>
      </c>
    </row>
    <row r="7312">
      <c r="A7312" s="4" t="s">
        <v>7419</v>
      </c>
      <c r="B7312" s="5" t="str">
        <f>IFERROR(__xludf.DUMMYFUNCTION("IF(A7312="""","""",INDEX(SPLIT(A7312,"" ""),COUNTA(SPLIT(A7312,"" ""))))"),"Condrò")</f>
        <v>Condrò</v>
      </c>
      <c r="C7312" s="6" t="s">
        <v>7401</v>
      </c>
      <c r="D7312" s="6"/>
      <c r="E7312" s="7" t="s">
        <v>7402</v>
      </c>
    </row>
    <row r="7313">
      <c r="A7313" s="4" t="s">
        <v>7420</v>
      </c>
      <c r="B7313" s="5" t="str">
        <f>IFERROR(__xludf.DUMMYFUNCTION("IF(A7313="""","""",INDEX(SPLIT(A7313,"" ""),COUNTA(SPLIT(A7313,"" ""))))"),"Falcone")</f>
        <v>Falcone</v>
      </c>
      <c r="C7313" s="6" t="s">
        <v>7401</v>
      </c>
      <c r="D7313" s="6"/>
      <c r="E7313" s="7" t="s">
        <v>7402</v>
      </c>
    </row>
    <row r="7314">
      <c r="A7314" s="4" t="s">
        <v>7421</v>
      </c>
      <c r="B7314" s="5" t="str">
        <f>IFERROR(__xludf.DUMMYFUNCTION("IF(A7314="""","""",INDEX(SPLIT(A7314,"" ""),COUNTA(SPLIT(A7314,"" ""))))"),"Ficarra")</f>
        <v>Ficarra</v>
      </c>
      <c r="C7314" s="6" t="s">
        <v>7401</v>
      </c>
      <c r="D7314" s="6"/>
      <c r="E7314" s="7" t="s">
        <v>7402</v>
      </c>
    </row>
    <row r="7315">
      <c r="A7315" s="4" t="s">
        <v>7422</v>
      </c>
      <c r="B7315" s="5" t="str">
        <f>IFERROR(__xludf.DUMMYFUNCTION("IF(A7315="""","""",INDEX(SPLIT(A7315,"" ""),COUNTA(SPLIT(A7315,"" ""))))"),"Fiumedinisi")</f>
        <v>Fiumedinisi</v>
      </c>
      <c r="C7315" s="6" t="s">
        <v>7401</v>
      </c>
      <c r="D7315" s="6"/>
      <c r="E7315" s="7" t="s">
        <v>7402</v>
      </c>
    </row>
    <row r="7316">
      <c r="A7316" s="4" t="s">
        <v>7423</v>
      </c>
      <c r="B7316" s="5" t="str">
        <f>IFERROR(__xludf.DUMMYFUNCTION("IF(A7316="""","""",INDEX(SPLIT(A7316,"" ""),COUNTA(SPLIT(A7316,"" ""))))"),"Floresta")</f>
        <v>Floresta</v>
      </c>
      <c r="C7316" s="6" t="s">
        <v>7401</v>
      </c>
      <c r="D7316" s="6"/>
      <c r="E7316" s="7" t="s">
        <v>7402</v>
      </c>
    </row>
    <row r="7317">
      <c r="A7317" s="4" t="s">
        <v>7424</v>
      </c>
      <c r="B7317" s="5" t="str">
        <f>IFERROR(__xludf.DUMMYFUNCTION("IF(A7317="""","""",INDEX(SPLIT(A7317,"" ""),COUNTA(SPLIT(A7317,"" ""))))"),"FondachelliFantina")</f>
        <v>FondachelliFantina</v>
      </c>
      <c r="C7317" s="6" t="s">
        <v>7401</v>
      </c>
      <c r="D7317" s="6"/>
      <c r="E7317" s="7" t="s">
        <v>7402</v>
      </c>
    </row>
    <row r="7318">
      <c r="A7318" s="4" t="s">
        <v>7425</v>
      </c>
      <c r="B7318" s="5" t="str">
        <f>IFERROR(__xludf.DUMMYFUNCTION("IF(A7318="""","""",INDEX(SPLIT(A7318,"" ""),COUNTA(SPLIT(A7318,"" ""))))"),"d'Agrò")</f>
        <v>d'Agrò</v>
      </c>
      <c r="C7318" s="6" t="s">
        <v>7401</v>
      </c>
      <c r="D7318" s="6"/>
      <c r="E7318" s="7" t="s">
        <v>7402</v>
      </c>
    </row>
    <row r="7319">
      <c r="A7319" s="4" t="s">
        <v>7426</v>
      </c>
      <c r="B7319" s="5" t="str">
        <f>IFERROR(__xludf.DUMMYFUNCTION("IF(A7319="""","""",INDEX(SPLIT(A7319,"" ""),COUNTA(SPLIT(A7319,"" ""))))"),"Sicilia")</f>
        <v>Sicilia</v>
      </c>
      <c r="C7319" s="6" t="s">
        <v>7401</v>
      </c>
      <c r="D7319" s="6"/>
      <c r="E7319" s="7" t="s">
        <v>7402</v>
      </c>
    </row>
    <row r="7320">
      <c r="A7320" s="4" t="s">
        <v>7427</v>
      </c>
      <c r="B7320" s="5" t="str">
        <f>IFERROR(__xludf.DUMMYFUNCTION("IF(A7320="""","""",INDEX(SPLIT(A7320,"" ""),COUNTA(SPLIT(A7320,"" ""))))"),"Frazzanò")</f>
        <v>Frazzanò</v>
      </c>
      <c r="C7320" s="6" t="s">
        <v>7401</v>
      </c>
      <c r="D7320" s="6"/>
      <c r="E7320" s="7" t="s">
        <v>7402</v>
      </c>
    </row>
    <row r="7321">
      <c r="A7321" s="4" t="s">
        <v>7428</v>
      </c>
      <c r="B7321" s="5" t="str">
        <f>IFERROR(__xludf.DUMMYFUNCTION("IF(A7321="""","""",INDEX(SPLIT(A7321,"" ""),COUNTA(SPLIT(A7321,"" ""))))"),"Siculo")</f>
        <v>Siculo</v>
      </c>
      <c r="C7321" s="6" t="s">
        <v>7401</v>
      </c>
      <c r="D7321" s="6"/>
      <c r="E7321" s="7" t="s">
        <v>7402</v>
      </c>
    </row>
    <row r="7322">
      <c r="A7322" s="4" t="s">
        <v>7429</v>
      </c>
      <c r="B7322" s="5" t="str">
        <f>IFERROR(__xludf.DUMMYFUNCTION("IF(A7322="""","""",INDEX(SPLIT(A7322,"" ""),COUNTA(SPLIT(A7322,"" ""))))"),"Furnari")</f>
        <v>Furnari</v>
      </c>
      <c r="C7322" s="6" t="s">
        <v>7401</v>
      </c>
      <c r="D7322" s="6"/>
      <c r="E7322" s="7" t="s">
        <v>7402</v>
      </c>
    </row>
    <row r="7323">
      <c r="A7323" s="4" t="s">
        <v>7430</v>
      </c>
      <c r="B7323" s="5" t="str">
        <f>IFERROR(__xludf.DUMMYFUNCTION("IF(A7323="""","""",INDEX(SPLIT(A7323,"" ""),COUNTA(SPLIT(A7323,"" ""))))"),"Gaggi")</f>
        <v>Gaggi</v>
      </c>
      <c r="C7323" s="6" t="s">
        <v>7401</v>
      </c>
      <c r="D7323" s="6"/>
      <c r="E7323" s="7" t="s">
        <v>7402</v>
      </c>
    </row>
    <row r="7324">
      <c r="A7324" s="4" t="s">
        <v>7431</v>
      </c>
      <c r="B7324" s="5" t="str">
        <f>IFERROR(__xludf.DUMMYFUNCTION("IF(A7324="""","""",INDEX(SPLIT(A7324,"" ""),COUNTA(SPLIT(A7324,"" ""))))"),"Mamertino")</f>
        <v>Mamertino</v>
      </c>
      <c r="C7324" s="6" t="s">
        <v>7401</v>
      </c>
      <c r="D7324" s="6"/>
      <c r="E7324" s="7" t="s">
        <v>7402</v>
      </c>
    </row>
    <row r="7325">
      <c r="A7325" s="4" t="s">
        <v>7432</v>
      </c>
      <c r="B7325" s="5" t="str">
        <f>IFERROR(__xludf.DUMMYFUNCTION("IF(A7325="""","""",INDEX(SPLIT(A7325,"" ""),COUNTA(SPLIT(A7325,"" ""))))"),"Gallodoro")</f>
        <v>Gallodoro</v>
      </c>
      <c r="C7325" s="6" t="s">
        <v>7401</v>
      </c>
      <c r="D7325" s="6"/>
      <c r="E7325" s="7" t="s">
        <v>7402</v>
      </c>
    </row>
    <row r="7326">
      <c r="A7326" s="4" t="s">
        <v>7433</v>
      </c>
      <c r="B7326" s="5" t="str">
        <f>IFERROR(__xludf.DUMMYFUNCTION("IF(A7326="""","""",INDEX(SPLIT(A7326,"" ""),COUNTA(SPLIT(A7326,"" ""))))"),"GiardiniNaxos")</f>
        <v>GiardiniNaxos</v>
      </c>
      <c r="C7326" s="6" t="s">
        <v>7401</v>
      </c>
      <c r="D7326" s="6"/>
      <c r="E7326" s="7" t="s">
        <v>7402</v>
      </c>
    </row>
    <row r="7327">
      <c r="A7327" s="4" t="s">
        <v>7434</v>
      </c>
      <c r="B7327" s="5" t="str">
        <f>IFERROR(__xludf.DUMMYFUNCTION("IF(A7327="""","""",INDEX(SPLIT(A7327,"" ""),COUNTA(SPLIT(A7327,"" ""))))"),"Marea")</f>
        <v>Marea</v>
      </c>
      <c r="C7327" s="6" t="s">
        <v>7401</v>
      </c>
      <c r="D7327" s="6"/>
      <c r="E7327" s="7" t="s">
        <v>7402</v>
      </c>
    </row>
    <row r="7328">
      <c r="A7328" s="4" t="s">
        <v>7435</v>
      </c>
      <c r="B7328" s="5" t="str">
        <f>IFERROR(__xludf.DUMMYFUNCTION("IF(A7328="""","""",INDEX(SPLIT(A7328,"" ""),COUNTA(SPLIT(A7328,"" ""))))"),"Graniti")</f>
        <v>Graniti</v>
      </c>
      <c r="C7328" s="6" t="s">
        <v>7401</v>
      </c>
      <c r="D7328" s="6"/>
      <c r="E7328" s="7" t="s">
        <v>7402</v>
      </c>
    </row>
    <row r="7329">
      <c r="A7329" s="4" t="s">
        <v>7436</v>
      </c>
      <c r="B7329" s="5" t="str">
        <f>IFERROR(__xludf.DUMMYFUNCTION("IF(A7329="""","""",INDEX(SPLIT(A7329,"" ""),COUNTA(SPLIT(A7329,"" ""))))"),"Sicaminò")</f>
        <v>Sicaminò</v>
      </c>
      <c r="C7329" s="6" t="s">
        <v>7401</v>
      </c>
      <c r="D7329" s="6"/>
      <c r="E7329" s="7" t="s">
        <v>7402</v>
      </c>
    </row>
    <row r="7330">
      <c r="A7330" s="4" t="s">
        <v>7437</v>
      </c>
      <c r="B7330" s="5" t="str">
        <f>IFERROR(__xludf.DUMMYFUNCTION("IF(A7330="""","""",INDEX(SPLIT(A7330,"" ""),COUNTA(SPLIT(A7330,"" ""))))"),"Itala")</f>
        <v>Itala</v>
      </c>
      <c r="C7330" s="6" t="s">
        <v>7401</v>
      </c>
      <c r="D7330" s="6"/>
      <c r="E7330" s="7" t="s">
        <v>7402</v>
      </c>
    </row>
    <row r="7331">
      <c r="A7331" s="4" t="s">
        <v>7438</v>
      </c>
      <c r="B7331" s="5" t="str">
        <f>IFERROR(__xludf.DUMMYFUNCTION("IF(A7331="""","""",INDEX(SPLIT(A7331,"" ""),COUNTA(SPLIT(A7331,"" ""))))"),"Leni")</f>
        <v>Leni</v>
      </c>
      <c r="C7331" s="6" t="s">
        <v>7401</v>
      </c>
      <c r="D7331" s="6"/>
      <c r="E7331" s="7" t="s">
        <v>7402</v>
      </c>
    </row>
    <row r="7332">
      <c r="A7332" s="4" t="s">
        <v>7439</v>
      </c>
      <c r="B7332" s="5" t="str">
        <f>IFERROR(__xludf.DUMMYFUNCTION("IF(A7332="""","""",INDEX(SPLIT(A7332,"" ""),COUNTA(SPLIT(A7332,"" ""))))"),"Letojanni")</f>
        <v>Letojanni</v>
      </c>
      <c r="C7332" s="6" t="s">
        <v>7401</v>
      </c>
      <c r="D7332" s="6"/>
      <c r="E7332" s="7" t="s">
        <v>7402</v>
      </c>
    </row>
    <row r="7333">
      <c r="A7333" s="4" t="s">
        <v>7440</v>
      </c>
      <c r="B7333" s="5" t="str">
        <f>IFERROR(__xludf.DUMMYFUNCTION("IF(A7333="""","""",INDEX(SPLIT(A7333,"" ""),COUNTA(SPLIT(A7333,"" ""))))"),"Librizzi")</f>
        <v>Librizzi</v>
      </c>
      <c r="C7333" s="6" t="s">
        <v>7401</v>
      </c>
      <c r="D7333" s="6"/>
      <c r="E7333" s="7" t="s">
        <v>7402</v>
      </c>
    </row>
    <row r="7334">
      <c r="A7334" s="4" t="s">
        <v>7441</v>
      </c>
      <c r="B7334" s="5" t="str">
        <f>IFERROR(__xludf.DUMMYFUNCTION("IF(A7334="""","""",INDEX(SPLIT(A7334,"" ""),COUNTA(SPLIT(A7334,"" ""))))"),"Limina")</f>
        <v>Limina</v>
      </c>
      <c r="C7334" s="6" t="s">
        <v>7401</v>
      </c>
      <c r="D7334" s="6"/>
      <c r="E7334" s="7" t="s">
        <v>7402</v>
      </c>
    </row>
    <row r="7335">
      <c r="A7335" s="4" t="s">
        <v>7442</v>
      </c>
      <c r="B7335" s="5" t="str">
        <f>IFERROR(__xludf.DUMMYFUNCTION("IF(A7335="""","""",INDEX(SPLIT(A7335,"" ""),COUNTA(SPLIT(A7335,"" ""))))"),"Lipari")</f>
        <v>Lipari</v>
      </c>
      <c r="C7335" s="6" t="s">
        <v>7401</v>
      </c>
      <c r="D7335" s="6"/>
      <c r="E7335" s="7" t="s">
        <v>7402</v>
      </c>
    </row>
    <row r="7336">
      <c r="A7336" s="4" t="s">
        <v>7443</v>
      </c>
      <c r="B7336" s="5" t="str">
        <f>IFERROR(__xludf.DUMMYFUNCTION("IF(A7336="""","""",INDEX(SPLIT(A7336,"" ""),COUNTA(SPLIT(A7336,"" ""))))"),"Longi")</f>
        <v>Longi</v>
      </c>
      <c r="C7336" s="6" t="s">
        <v>7401</v>
      </c>
      <c r="D7336" s="6"/>
      <c r="E7336" s="7" t="s">
        <v>7402</v>
      </c>
    </row>
    <row r="7337">
      <c r="A7337" s="4" t="s">
        <v>7444</v>
      </c>
      <c r="B7337" s="5" t="str">
        <f>IFERROR(__xludf.DUMMYFUNCTION("IF(A7337="""","""",INDEX(SPLIT(A7337,"" ""),COUNTA(SPLIT(A7337,"" ""))))"),"Malfa")</f>
        <v>Malfa</v>
      </c>
      <c r="C7337" s="6" t="s">
        <v>7401</v>
      </c>
      <c r="D7337" s="6"/>
      <c r="E7337" s="7" t="s">
        <v>7402</v>
      </c>
    </row>
    <row r="7338">
      <c r="A7338" s="4" t="s">
        <v>7445</v>
      </c>
      <c r="B7338" s="5" t="str">
        <f>IFERROR(__xludf.DUMMYFUNCTION("IF(A7338="""","""",INDEX(SPLIT(A7338,"" ""),COUNTA(SPLIT(A7338,"" ""))))"),"Malvagna")</f>
        <v>Malvagna</v>
      </c>
      <c r="C7338" s="6" t="s">
        <v>7401</v>
      </c>
      <c r="D7338" s="6"/>
      <c r="E7338" s="7" t="s">
        <v>7402</v>
      </c>
    </row>
    <row r="7339">
      <c r="A7339" s="4" t="s">
        <v>7446</v>
      </c>
      <c r="B7339" s="5" t="str">
        <f>IFERROR(__xludf.DUMMYFUNCTION("IF(A7339="""","""",INDEX(SPLIT(A7339,"" ""),COUNTA(SPLIT(A7339,"" ""))))"),"Mandanici")</f>
        <v>Mandanici</v>
      </c>
      <c r="C7339" s="6" t="s">
        <v>7401</v>
      </c>
      <c r="D7339" s="6"/>
      <c r="E7339" s="7" t="s">
        <v>7402</v>
      </c>
    </row>
    <row r="7340">
      <c r="A7340" s="4" t="s">
        <v>7447</v>
      </c>
      <c r="B7340" s="5" t="str">
        <f>IFERROR(__xludf.DUMMYFUNCTION("IF(A7340="""","""",INDEX(SPLIT(A7340,"" ""),COUNTA(SPLIT(A7340,"" ""))))"),"Sant'Andrea")</f>
        <v>Sant'Andrea</v>
      </c>
      <c r="C7340" s="6" t="s">
        <v>7401</v>
      </c>
      <c r="D7340" s="6"/>
      <c r="E7340" s="7" t="s">
        <v>7402</v>
      </c>
    </row>
    <row r="7341">
      <c r="A7341" s="4" t="s">
        <v>7448</v>
      </c>
      <c r="B7341" s="5" t="str">
        <f>IFERROR(__xludf.DUMMYFUNCTION("IF(A7341="""","""",INDEX(SPLIT(A7341,"" ""),COUNTA(SPLIT(A7341,"" ""))))"),"Merì")</f>
        <v>Merì</v>
      </c>
      <c r="C7341" s="6" t="s">
        <v>7401</v>
      </c>
      <c r="D7341" s="6"/>
      <c r="E7341" s="7" t="s">
        <v>7402</v>
      </c>
    </row>
    <row r="7342">
      <c r="A7342" s="4" t="s">
        <v>7401</v>
      </c>
      <c r="B7342" s="5" t="str">
        <f>IFERROR(__xludf.DUMMYFUNCTION("IF(A7342="""","""",INDEX(SPLIT(A7342,"" ""),COUNTA(SPLIT(A7342,"" ""))))"),"Messina")</f>
        <v>Messina</v>
      </c>
      <c r="C7342" s="6" t="s">
        <v>7401</v>
      </c>
      <c r="D7342" s="6"/>
      <c r="E7342" s="7" t="s">
        <v>7402</v>
      </c>
    </row>
    <row r="7343">
      <c r="A7343" s="4" t="s">
        <v>7449</v>
      </c>
      <c r="B7343" s="5" t="str">
        <f>IFERROR(__xludf.DUMMYFUNCTION("IF(A7343="""","""",INDEX(SPLIT(A7343,"" ""),COUNTA(SPLIT(A7343,"" ""))))"),"Milazzo")</f>
        <v>Milazzo</v>
      </c>
      <c r="C7343" s="6" t="s">
        <v>7401</v>
      </c>
      <c r="D7343" s="6"/>
      <c r="E7343" s="7" t="s">
        <v>7402</v>
      </c>
    </row>
    <row r="7344">
      <c r="A7344" s="4" t="s">
        <v>7450</v>
      </c>
      <c r="B7344" s="5" t="str">
        <f>IFERROR(__xludf.DUMMYFUNCTION("IF(A7344="""","""",INDEX(SPLIT(A7344,"" ""),COUNTA(SPLIT(A7344,"" ""))))"),"Rosmarino")</f>
        <v>Rosmarino</v>
      </c>
      <c r="C7344" s="6" t="s">
        <v>7401</v>
      </c>
      <c r="D7344" s="6"/>
      <c r="E7344" s="7" t="s">
        <v>7402</v>
      </c>
    </row>
    <row r="7345">
      <c r="A7345" s="4" t="s">
        <v>7451</v>
      </c>
      <c r="B7345" s="5" t="str">
        <f>IFERROR(__xludf.DUMMYFUNCTION("IF(A7345="""","""",INDEX(SPLIT(A7345,"" ""),COUNTA(SPLIT(A7345,"" ""))))"),"Mirto")</f>
        <v>Mirto</v>
      </c>
      <c r="C7345" s="6" t="s">
        <v>7401</v>
      </c>
      <c r="D7345" s="6"/>
      <c r="E7345" s="7" t="s">
        <v>7402</v>
      </c>
    </row>
    <row r="7346">
      <c r="A7346" s="4" t="s">
        <v>7452</v>
      </c>
      <c r="B7346" s="5" t="str">
        <f>IFERROR(__xludf.DUMMYFUNCTION("IF(A7346="""","""",INDEX(SPLIT(A7346,"" ""),COUNTA(SPLIT(A7346,"" ""))))"),"Mistretta")</f>
        <v>Mistretta</v>
      </c>
      <c r="C7346" s="6" t="s">
        <v>7401</v>
      </c>
      <c r="D7346" s="6"/>
      <c r="E7346" s="7" t="s">
        <v>7402</v>
      </c>
    </row>
    <row r="7347">
      <c r="A7347" s="4" t="s">
        <v>7453</v>
      </c>
      <c r="B7347" s="5" t="str">
        <f>IFERROR(__xludf.DUMMYFUNCTION("IF(A7347="""","""",INDEX(SPLIT(A7347,"" ""),COUNTA(SPLIT(A7347,"" ""))))"),"Alcantara")</f>
        <v>Alcantara</v>
      </c>
      <c r="C7347" s="6" t="s">
        <v>7401</v>
      </c>
      <c r="D7347" s="6"/>
      <c r="E7347" s="7" t="s">
        <v>7402</v>
      </c>
    </row>
    <row r="7348">
      <c r="A7348" s="4" t="s">
        <v>7454</v>
      </c>
      <c r="B7348" s="5" t="str">
        <f>IFERROR(__xludf.DUMMYFUNCTION("IF(A7348="""","""",INDEX(SPLIT(A7348,"" ""),COUNTA(SPLIT(A7348,"" ""))))"),"Giorgio")</f>
        <v>Giorgio</v>
      </c>
      <c r="C7348" s="6" t="s">
        <v>7401</v>
      </c>
      <c r="D7348" s="6"/>
      <c r="E7348" s="7" t="s">
        <v>7402</v>
      </c>
    </row>
    <row r="7349">
      <c r="A7349" s="4" t="s">
        <v>7455</v>
      </c>
      <c r="B7349" s="5" t="str">
        <f>IFERROR(__xludf.DUMMYFUNCTION("IF(A7349="""","""",INDEX(SPLIT(A7349,"" ""),COUNTA(SPLIT(A7349,"" ""))))"),"Melia")</f>
        <v>Melia</v>
      </c>
      <c r="C7349" s="6" t="s">
        <v>7401</v>
      </c>
      <c r="D7349" s="6"/>
      <c r="E7349" s="7" t="s">
        <v>7402</v>
      </c>
    </row>
    <row r="7350">
      <c r="A7350" s="4" t="s">
        <v>7456</v>
      </c>
      <c r="B7350" s="5" t="str">
        <f>IFERROR(__xludf.DUMMYFUNCTION("IF(A7350="""","""",INDEX(SPLIT(A7350,"" ""),COUNTA(SPLIT(A7350,"" ""))))"),"Montagnareale")</f>
        <v>Montagnareale</v>
      </c>
      <c r="C7350" s="6" t="s">
        <v>7401</v>
      </c>
      <c r="D7350" s="6"/>
      <c r="E7350" s="7" t="s">
        <v>7402</v>
      </c>
    </row>
    <row r="7351">
      <c r="A7351" s="4" t="s">
        <v>7457</v>
      </c>
      <c r="B7351" s="5" t="str">
        <f>IFERROR(__xludf.DUMMYFUNCTION("IF(A7351="""","""",INDEX(SPLIT(A7351,"" ""),COUNTA(SPLIT(A7351,"" ""))))"),"Elicona")</f>
        <v>Elicona</v>
      </c>
      <c r="C7351" s="6" t="s">
        <v>7401</v>
      </c>
      <c r="D7351" s="6"/>
      <c r="E7351" s="7" t="s">
        <v>7402</v>
      </c>
    </row>
    <row r="7352">
      <c r="A7352" s="4" t="s">
        <v>7458</v>
      </c>
      <c r="B7352" s="5" t="str">
        <f>IFERROR(__xludf.DUMMYFUNCTION("IF(A7352="""","""",INDEX(SPLIT(A7352,"" ""),COUNTA(SPLIT(A7352,"" ""))))"),"Camastra")</f>
        <v>Camastra</v>
      </c>
      <c r="C7352" s="6" t="s">
        <v>7401</v>
      </c>
      <c r="D7352" s="6"/>
      <c r="E7352" s="7" t="s">
        <v>7402</v>
      </c>
    </row>
    <row r="7353">
      <c r="A7353" s="4" t="s">
        <v>7459</v>
      </c>
      <c r="B7353" s="5" t="str">
        <f>IFERROR(__xludf.DUMMYFUNCTION("IF(A7353="""","""",INDEX(SPLIT(A7353,"" ""),COUNTA(SPLIT(A7353,"" ""))))"),"d'Affermo")</f>
        <v>d'Affermo</v>
      </c>
      <c r="C7353" s="6" t="s">
        <v>7401</v>
      </c>
      <c r="D7353" s="6"/>
      <c r="E7353" s="7" t="s">
        <v>7402</v>
      </c>
    </row>
    <row r="7354">
      <c r="A7354" s="4" t="s">
        <v>7460</v>
      </c>
      <c r="B7354" s="5" t="str">
        <f>IFERROR(__xludf.DUMMYFUNCTION("IF(A7354="""","""",INDEX(SPLIT(A7354,"" ""),COUNTA(SPLIT(A7354,"" ""))))"),"Naso")</f>
        <v>Naso</v>
      </c>
      <c r="C7354" s="6" t="s">
        <v>7401</v>
      </c>
      <c r="D7354" s="6"/>
      <c r="E7354" s="7" t="s">
        <v>7402</v>
      </c>
    </row>
    <row r="7355">
      <c r="A7355" s="4" t="s">
        <v>7461</v>
      </c>
      <c r="B7355" s="5" t="str">
        <f>IFERROR(__xludf.DUMMYFUNCTION("IF(A7355="""","""",INDEX(SPLIT(A7355,"" ""),COUNTA(SPLIT(A7355,"" ""))))"),"Sicilia")</f>
        <v>Sicilia</v>
      </c>
      <c r="C7355" s="6" t="s">
        <v>7401</v>
      </c>
      <c r="D7355" s="6"/>
      <c r="E7355" s="7" t="s">
        <v>7402</v>
      </c>
    </row>
    <row r="7356">
      <c r="A7356" s="4" t="s">
        <v>7462</v>
      </c>
      <c r="B7356" s="5" t="str">
        <f>IFERROR(__xludf.DUMMYFUNCTION("IF(A7356="""","""",INDEX(SPLIT(A7356,"" ""),COUNTA(SPLIT(A7356,"" ""))))"),"Sicilia")</f>
        <v>Sicilia</v>
      </c>
      <c r="C7356" s="6" t="s">
        <v>7401</v>
      </c>
      <c r="D7356" s="6"/>
      <c r="E7356" s="7" t="s">
        <v>7402</v>
      </c>
    </row>
    <row r="7357">
      <c r="A7357" s="4" t="s">
        <v>7463</v>
      </c>
      <c r="B7357" s="5" t="str">
        <f>IFERROR(__xludf.DUMMYFUNCTION("IF(A7357="""","""",INDEX(SPLIT(A7357,"" ""),COUNTA(SPLIT(A7357,"" ""))))"),"Oliveri")</f>
        <v>Oliveri</v>
      </c>
      <c r="C7357" s="6" t="s">
        <v>7401</v>
      </c>
      <c r="D7357" s="6"/>
      <c r="E7357" s="7" t="s">
        <v>7402</v>
      </c>
    </row>
    <row r="7358">
      <c r="A7358" s="4" t="s">
        <v>7464</v>
      </c>
      <c r="B7358" s="5" t="str">
        <f>IFERROR(__xludf.DUMMYFUNCTION("IF(A7358="""","""",INDEX(SPLIT(A7358,"" ""),COUNTA(SPLIT(A7358,"" ""))))"),"Mela")</f>
        <v>Mela</v>
      </c>
      <c r="C7358" s="6" t="s">
        <v>7401</v>
      </c>
      <c r="D7358" s="6"/>
      <c r="E7358" s="7" t="s">
        <v>7402</v>
      </c>
    </row>
    <row r="7359">
      <c r="A7359" s="4" t="s">
        <v>7465</v>
      </c>
      <c r="B7359" s="5" t="str">
        <f>IFERROR(__xludf.DUMMYFUNCTION("IF(A7359="""","""",INDEX(SPLIT(A7359,"" ""),COUNTA(SPLIT(A7359,"" ""))))"),"Pagliara")</f>
        <v>Pagliara</v>
      </c>
      <c r="C7359" s="6" t="s">
        <v>7401</v>
      </c>
      <c r="D7359" s="6"/>
      <c r="E7359" s="7" t="s">
        <v>7402</v>
      </c>
    </row>
    <row r="7360">
      <c r="A7360" s="4" t="s">
        <v>7466</v>
      </c>
      <c r="B7360" s="5" t="str">
        <f>IFERROR(__xludf.DUMMYFUNCTION("IF(A7360="""","""",INDEX(SPLIT(A7360,"" ""),COUNTA(SPLIT(A7360,"" ""))))"),"Patti")</f>
        <v>Patti</v>
      </c>
      <c r="C7360" s="6" t="s">
        <v>7401</v>
      </c>
      <c r="D7360" s="6"/>
      <c r="E7360" s="7" t="s">
        <v>7402</v>
      </c>
    </row>
    <row r="7361">
      <c r="A7361" s="4" t="s">
        <v>7467</v>
      </c>
      <c r="B7361" s="5" t="str">
        <f>IFERROR(__xludf.DUMMYFUNCTION("IF(A7361="""","""",INDEX(SPLIT(A7361,"" ""),COUNTA(SPLIT(A7361,"" ""))))"),"Pettineo")</f>
        <v>Pettineo</v>
      </c>
      <c r="C7361" s="6" t="s">
        <v>7401</v>
      </c>
      <c r="D7361" s="6"/>
      <c r="E7361" s="7" t="s">
        <v>7402</v>
      </c>
    </row>
    <row r="7362">
      <c r="A7362" s="4" t="s">
        <v>7468</v>
      </c>
      <c r="B7362" s="5" t="str">
        <f>IFERROR(__xludf.DUMMYFUNCTION("IF(A7362="""","""",INDEX(SPLIT(A7362,"" ""),COUNTA(SPLIT(A7362,"" ""))))"),"Piraino")</f>
        <v>Piraino</v>
      </c>
      <c r="C7362" s="6" t="s">
        <v>7401</v>
      </c>
      <c r="D7362" s="6"/>
      <c r="E7362" s="7" t="s">
        <v>7402</v>
      </c>
    </row>
    <row r="7363">
      <c r="A7363" s="4" t="s">
        <v>7469</v>
      </c>
      <c r="B7363" s="5" t="str">
        <f>IFERROR(__xludf.DUMMYFUNCTION("IF(A7363="""","""",INDEX(SPLIT(A7363,"" ""),COUNTA(SPLIT(A7363,"" ""))))"),"Raccuja")</f>
        <v>Raccuja</v>
      </c>
      <c r="C7363" s="6" t="s">
        <v>7401</v>
      </c>
      <c r="D7363" s="6"/>
      <c r="E7363" s="7" t="s">
        <v>7402</v>
      </c>
    </row>
    <row r="7364">
      <c r="A7364" s="4" t="s">
        <v>7470</v>
      </c>
      <c r="B7364" s="5" t="str">
        <f>IFERROR(__xludf.DUMMYFUNCTION("IF(A7364="""","""",INDEX(SPLIT(A7364,"" ""),COUNTA(SPLIT(A7364,"" ""))))"),"Reitano")</f>
        <v>Reitano</v>
      </c>
      <c r="C7364" s="6" t="s">
        <v>7401</v>
      </c>
      <c r="D7364" s="6"/>
      <c r="E7364" s="7" t="s">
        <v>7402</v>
      </c>
    </row>
    <row r="7365">
      <c r="A7365" s="4" t="s">
        <v>7471</v>
      </c>
      <c r="B7365" s="5" t="str">
        <f>IFERROR(__xludf.DUMMYFUNCTION("IF(A7365="""","""",INDEX(SPLIT(A7365,"" ""),COUNTA(SPLIT(A7365,"" ""))))"),"Roccafiorita")</f>
        <v>Roccafiorita</v>
      </c>
      <c r="C7365" s="6" t="s">
        <v>7401</v>
      </c>
      <c r="D7365" s="6"/>
      <c r="E7365" s="7" t="s">
        <v>7402</v>
      </c>
    </row>
    <row r="7366">
      <c r="A7366" s="4" t="s">
        <v>7472</v>
      </c>
      <c r="B7366" s="5" t="str">
        <f>IFERROR(__xludf.DUMMYFUNCTION("IF(A7366="""","""",INDEX(SPLIT(A7366,"" ""),COUNTA(SPLIT(A7366,"" ""))))"),"Roccalumera")</f>
        <v>Roccalumera</v>
      </c>
      <c r="C7366" s="6" t="s">
        <v>7401</v>
      </c>
      <c r="D7366" s="6"/>
      <c r="E7366" s="7" t="s">
        <v>7402</v>
      </c>
    </row>
    <row r="7367">
      <c r="A7367" s="4" t="s">
        <v>7473</v>
      </c>
      <c r="B7367" s="5" t="str">
        <f>IFERROR(__xludf.DUMMYFUNCTION("IF(A7367="""","""",INDEX(SPLIT(A7367,"" ""),COUNTA(SPLIT(A7367,"" ""))))"),"Roccavaldina")</f>
        <v>Roccavaldina</v>
      </c>
      <c r="C7367" s="6" t="s">
        <v>7401</v>
      </c>
      <c r="D7367" s="6"/>
      <c r="E7367" s="7" t="s">
        <v>7402</v>
      </c>
    </row>
    <row r="7368">
      <c r="A7368" s="4" t="s">
        <v>7474</v>
      </c>
      <c r="B7368" s="5" t="str">
        <f>IFERROR(__xludf.DUMMYFUNCTION("IF(A7368="""","""",INDEX(SPLIT(A7368,"" ""),COUNTA(SPLIT(A7368,"" ""))))"),"Valdemone")</f>
        <v>Valdemone</v>
      </c>
      <c r="C7368" s="6" t="s">
        <v>7401</v>
      </c>
      <c r="D7368" s="6"/>
      <c r="E7368" s="7" t="s">
        <v>7402</v>
      </c>
    </row>
    <row r="7369">
      <c r="A7369" s="4" t="s">
        <v>7475</v>
      </c>
      <c r="B7369" s="5" t="str">
        <f>IFERROR(__xludf.DUMMYFUNCTION("IF(A7369="""","""",INDEX(SPLIT(A7369,"" ""),COUNTA(SPLIT(A7369,"" ""))))"),"Milici")</f>
        <v>Milici</v>
      </c>
      <c r="C7369" s="6" t="s">
        <v>7401</v>
      </c>
      <c r="D7369" s="6"/>
      <c r="E7369" s="7" t="s">
        <v>7402</v>
      </c>
    </row>
    <row r="7370">
      <c r="A7370" s="4" t="s">
        <v>7476</v>
      </c>
      <c r="B7370" s="5" t="str">
        <f>IFERROR(__xludf.DUMMYFUNCTION("IF(A7370="""","""",INDEX(SPLIT(A7370,"" ""),COUNTA(SPLIT(A7370,"" ""))))"),"Rometta")</f>
        <v>Rometta</v>
      </c>
      <c r="C7370" s="6" t="s">
        <v>7401</v>
      </c>
      <c r="D7370" s="6"/>
      <c r="E7370" s="7" t="s">
        <v>7402</v>
      </c>
    </row>
    <row r="7371">
      <c r="A7371" s="4" t="s">
        <v>7477</v>
      </c>
      <c r="B7371" s="5" t="str">
        <f>IFERROR(__xludf.DUMMYFUNCTION("IF(A7371="""","""",INDEX(SPLIT(A7371,"" ""),COUNTA(SPLIT(A7371,"" ""))))"),"Mela")</f>
        <v>Mela</v>
      </c>
      <c r="C7371" s="6" t="s">
        <v>7401</v>
      </c>
      <c r="D7371" s="6"/>
      <c r="E7371" s="7" t="s">
        <v>7402</v>
      </c>
    </row>
    <row r="7372">
      <c r="A7372" s="4" t="s">
        <v>7478</v>
      </c>
      <c r="B7372" s="5" t="str">
        <f>IFERROR(__xludf.DUMMYFUNCTION("IF(A7372="""","""",INDEX(SPLIT(A7372,"" ""),COUNTA(SPLIT(A7372,"" ""))))"),"Fratello")</f>
        <v>Fratello</v>
      </c>
      <c r="C7372" s="6" t="s">
        <v>7401</v>
      </c>
      <c r="D7372" s="6"/>
      <c r="E7372" s="7" t="s">
        <v>7402</v>
      </c>
    </row>
    <row r="7373">
      <c r="A7373" s="4" t="s">
        <v>7479</v>
      </c>
      <c r="B7373" s="5" t="str">
        <f>IFERROR(__xludf.DUMMYFUNCTION("IF(A7373="""","""",INDEX(SPLIT(A7373,"" ""),COUNTA(SPLIT(A7373,"" ""))))"),"d'Alunzio")</f>
        <v>d'Alunzio</v>
      </c>
      <c r="C7373" s="6" t="s">
        <v>7401</v>
      </c>
      <c r="D7373" s="6"/>
      <c r="E7373" s="7" t="s">
        <v>7402</v>
      </c>
    </row>
    <row r="7374">
      <c r="A7374" s="4" t="s">
        <v>7480</v>
      </c>
      <c r="B7374" s="5" t="str">
        <f>IFERROR(__xludf.DUMMYFUNCTION("IF(A7374="""","""",INDEX(SPLIT(A7374,"" ""),COUNTA(SPLIT(A7374,"" ""))))"),"Niceto")</f>
        <v>Niceto</v>
      </c>
      <c r="C7374" s="6" t="s">
        <v>7401</v>
      </c>
      <c r="D7374" s="6"/>
      <c r="E7374" s="7" t="s">
        <v>7402</v>
      </c>
    </row>
    <row r="7375">
      <c r="A7375" s="4" t="s">
        <v>7481</v>
      </c>
      <c r="B7375" s="5" t="str">
        <f>IFERROR(__xludf.DUMMYFUNCTION("IF(A7375="""","""",INDEX(SPLIT(A7375,"" ""),COUNTA(SPLIT(A7375,"" ""))))"),"Patti")</f>
        <v>Patti</v>
      </c>
      <c r="C7375" s="6" t="s">
        <v>7401</v>
      </c>
      <c r="D7375" s="6"/>
      <c r="E7375" s="7" t="s">
        <v>7402</v>
      </c>
    </row>
    <row r="7376">
      <c r="A7376" s="4" t="s">
        <v>7482</v>
      </c>
      <c r="B7376" s="5" t="str">
        <f>IFERROR(__xludf.DUMMYFUNCTION("IF(A7376="""","""",INDEX(SPLIT(A7376,"" ""),COUNTA(SPLIT(A7376,"" ""))))"),"Fitalia")</f>
        <v>Fitalia</v>
      </c>
      <c r="C7376" s="6" t="s">
        <v>7401</v>
      </c>
      <c r="D7376" s="6"/>
      <c r="E7376" s="7" t="s">
        <v>7402</v>
      </c>
    </row>
    <row r="7377">
      <c r="A7377" s="4" t="s">
        <v>7483</v>
      </c>
      <c r="B7377" s="5" t="str">
        <f>IFERROR(__xludf.DUMMYFUNCTION("IF(A7377="""","""",INDEX(SPLIT(A7377,"" ""),COUNTA(SPLIT(A7377,"" ""))))"),"Vittoria")</f>
        <v>Vittoria</v>
      </c>
      <c r="C7377" s="6" t="s">
        <v>7401</v>
      </c>
      <c r="D7377" s="6"/>
      <c r="E7377" s="7" t="s">
        <v>7402</v>
      </c>
    </row>
    <row r="7378">
      <c r="A7378" s="4" t="s">
        <v>7484</v>
      </c>
      <c r="B7378" s="5" t="str">
        <f>IFERROR(__xludf.DUMMYFUNCTION("IF(A7378="""","""",INDEX(SPLIT(A7378,"" ""),COUNTA(SPLIT(A7378,"" ""))))"),"Militello")</f>
        <v>Militello</v>
      </c>
      <c r="C7378" s="6" t="s">
        <v>7401</v>
      </c>
      <c r="D7378" s="6"/>
      <c r="E7378" s="7" t="s">
        <v>7402</v>
      </c>
    </row>
    <row r="7379">
      <c r="A7379" s="4" t="s">
        <v>7485</v>
      </c>
      <c r="B7379" s="5" t="str">
        <f>IFERROR(__xludf.DUMMYFUNCTION("IF(A7379="""","""",INDEX(SPLIT(A7379,"" ""),COUNTA(SPLIT(A7379,"" ""))))"),"Siculo")</f>
        <v>Siculo</v>
      </c>
      <c r="C7379" s="6" t="s">
        <v>7401</v>
      </c>
      <c r="D7379" s="6"/>
      <c r="E7379" s="7" t="s">
        <v>7402</v>
      </c>
    </row>
    <row r="7380">
      <c r="A7380" s="4" t="s">
        <v>7486</v>
      </c>
      <c r="B7380" s="5" t="str">
        <f>IFERROR(__xludf.DUMMYFUNCTION("IF(A7380="""","""",INDEX(SPLIT(A7380,"" ""),COUNTA(SPLIT(A7380,"" ""))))"),"Mela")</f>
        <v>Mela</v>
      </c>
      <c r="C7380" s="6" t="s">
        <v>7401</v>
      </c>
      <c r="D7380" s="6"/>
      <c r="E7380" s="7" t="s">
        <v>7402</v>
      </c>
    </row>
    <row r="7381">
      <c r="A7381" s="4" t="s">
        <v>7487</v>
      </c>
      <c r="B7381" s="5" t="str">
        <f>IFERROR(__xludf.DUMMYFUNCTION("IF(A7381="""","""",INDEX(SPLIT(A7381,"" ""),COUNTA(SPLIT(A7381,"" ""))))"),"Salina")</f>
        <v>Salina</v>
      </c>
      <c r="C7381" s="6" t="s">
        <v>7401</v>
      </c>
      <c r="D7381" s="6"/>
      <c r="E7381" s="7" t="s">
        <v>7402</v>
      </c>
    </row>
    <row r="7382">
      <c r="A7382" s="4" t="s">
        <v>7488</v>
      </c>
      <c r="B7382" s="5" t="str">
        <f>IFERROR(__xludf.DUMMYFUNCTION("IF(A7382="""","""",INDEX(SPLIT(A7382,"" ""),COUNTA(SPLIT(A7382,"" ""))))"),"Brolo")</f>
        <v>Brolo</v>
      </c>
      <c r="C7382" s="6" t="s">
        <v>7401</v>
      </c>
      <c r="D7382" s="6"/>
      <c r="E7382" s="7" t="s">
        <v>7402</v>
      </c>
    </row>
    <row r="7383">
      <c r="A7383" s="4" t="s">
        <v>7489</v>
      </c>
      <c r="B7383" s="5" t="str">
        <f>IFERROR(__xludf.DUMMYFUNCTION("IF(A7383="""","""",INDEX(SPLIT(A7383,"" ""),COUNTA(SPLIT(A7383,"" ""))))"),"Riva")</f>
        <v>Riva</v>
      </c>
      <c r="C7383" s="6" t="s">
        <v>7401</v>
      </c>
      <c r="D7383" s="6"/>
      <c r="E7383" s="7" t="s">
        <v>7402</v>
      </c>
    </row>
    <row r="7384">
      <c r="A7384" s="4" t="s">
        <v>7490</v>
      </c>
      <c r="B7384" s="5" t="str">
        <f>IFERROR(__xludf.DUMMYFUNCTION("IF(A7384="""","""",INDEX(SPLIT(A7384,"" ""),COUNTA(SPLIT(A7384,"" ""))))"),"Teodoro")</f>
        <v>Teodoro</v>
      </c>
      <c r="C7384" s="6" t="s">
        <v>7401</v>
      </c>
      <c r="D7384" s="6"/>
      <c r="E7384" s="7" t="s">
        <v>7402</v>
      </c>
    </row>
    <row r="7385">
      <c r="A7385" s="4" t="s">
        <v>7491</v>
      </c>
      <c r="B7385" s="5" t="str">
        <f>IFERROR(__xludf.DUMMYFUNCTION("IF(A7385="""","""",INDEX(SPLIT(A7385,"" ""),COUNTA(SPLIT(A7385,"" ""))))"),"Camastra")</f>
        <v>Camastra</v>
      </c>
      <c r="C7385" s="6" t="s">
        <v>7401</v>
      </c>
      <c r="D7385" s="6"/>
      <c r="E7385" s="7" t="s">
        <v>7402</v>
      </c>
    </row>
    <row r="7386">
      <c r="A7386" s="4" t="s">
        <v>7492</v>
      </c>
      <c r="B7386" s="5" t="str">
        <f>IFERROR(__xludf.DUMMYFUNCTION("IF(A7386="""","""",INDEX(SPLIT(A7386,"" ""),COUNTA(SPLIT(A7386,"" ""))))"),"Saponara")</f>
        <v>Saponara</v>
      </c>
      <c r="C7386" s="6" t="s">
        <v>7401</v>
      </c>
      <c r="D7386" s="6"/>
      <c r="E7386" s="7" t="s">
        <v>7402</v>
      </c>
    </row>
    <row r="7387">
      <c r="A7387" s="4" t="s">
        <v>7493</v>
      </c>
      <c r="B7387" s="5" t="str">
        <f>IFERROR(__xludf.DUMMYFUNCTION("IF(A7387="""","""",INDEX(SPLIT(A7387,"" ""),COUNTA(SPLIT(A7387,"" ""))))"),"Savoca")</f>
        <v>Savoca</v>
      </c>
      <c r="C7387" s="6" t="s">
        <v>7401</v>
      </c>
      <c r="D7387" s="6"/>
      <c r="E7387" s="7" t="s">
        <v>7402</v>
      </c>
    </row>
    <row r="7388">
      <c r="A7388" s="4" t="s">
        <v>7494</v>
      </c>
      <c r="B7388" s="5" t="str">
        <f>IFERROR(__xludf.DUMMYFUNCTION("IF(A7388="""","""",INDEX(SPLIT(A7388,"" ""),COUNTA(SPLIT(A7388,"" ""))))"),"Zanclea")</f>
        <v>Zanclea</v>
      </c>
      <c r="C7388" s="6" t="s">
        <v>7401</v>
      </c>
      <c r="D7388" s="6"/>
      <c r="E7388" s="7" t="s">
        <v>7402</v>
      </c>
    </row>
    <row r="7389">
      <c r="A7389" s="4" t="s">
        <v>7495</v>
      </c>
      <c r="B7389" s="5" t="str">
        <f>IFERROR(__xludf.DUMMYFUNCTION("IF(A7389="""","""",INDEX(SPLIT(A7389,"" ""),COUNTA(SPLIT(A7389,"" ""))))"),"Sinagra")</f>
        <v>Sinagra</v>
      </c>
      <c r="C7389" s="6" t="s">
        <v>7401</v>
      </c>
      <c r="D7389" s="6"/>
      <c r="E7389" s="7" t="s">
        <v>7402</v>
      </c>
    </row>
    <row r="7390">
      <c r="A7390" s="4" t="s">
        <v>7496</v>
      </c>
      <c r="B7390" s="5" t="str">
        <f>IFERROR(__xludf.DUMMYFUNCTION("IF(A7390="""","""",INDEX(SPLIT(A7390,"" ""),COUNTA(SPLIT(A7390,"" ""))))"),"Spadafora")</f>
        <v>Spadafora</v>
      </c>
      <c r="C7390" s="6" t="s">
        <v>7401</v>
      </c>
      <c r="D7390" s="6"/>
      <c r="E7390" s="7" t="s">
        <v>7402</v>
      </c>
    </row>
    <row r="7391">
      <c r="A7391" s="4" t="s">
        <v>7497</v>
      </c>
      <c r="B7391" s="5" t="str">
        <f>IFERROR(__xludf.DUMMYFUNCTION("IF(A7391="""","""",INDEX(SPLIT(A7391,"" ""),COUNTA(SPLIT(A7391,"" ""))))"),"Taormina")</f>
        <v>Taormina</v>
      </c>
      <c r="C7391" s="6" t="s">
        <v>7401</v>
      </c>
      <c r="D7391" s="6"/>
      <c r="E7391" s="7" t="s">
        <v>7402</v>
      </c>
    </row>
    <row r="7392">
      <c r="A7392" s="4" t="s">
        <v>7498</v>
      </c>
      <c r="B7392" s="5" t="str">
        <f>IFERROR(__xludf.DUMMYFUNCTION("IF(A7392="""","""",INDEX(SPLIT(A7392,"" ""),COUNTA(SPLIT(A7392,"" ""))))"),"Torregrotta")</f>
        <v>Torregrotta</v>
      </c>
      <c r="C7392" s="6" t="s">
        <v>7401</v>
      </c>
      <c r="D7392" s="6"/>
      <c r="E7392" s="7" t="s">
        <v>7402</v>
      </c>
    </row>
    <row r="7393">
      <c r="A7393" s="4" t="s">
        <v>7499</v>
      </c>
      <c r="B7393" s="5" t="str">
        <f>IFERROR(__xludf.DUMMYFUNCTION("IF(A7393="""","""",INDEX(SPLIT(A7393,"" ""),COUNTA(SPLIT(A7393,"" ""))))"),"Tortorici")</f>
        <v>Tortorici</v>
      </c>
      <c r="C7393" s="6" t="s">
        <v>7401</v>
      </c>
      <c r="D7393" s="6"/>
      <c r="E7393" s="7" t="s">
        <v>7402</v>
      </c>
    </row>
    <row r="7394">
      <c r="A7394" s="4" t="s">
        <v>7500</v>
      </c>
      <c r="B7394" s="5" t="str">
        <f>IFERROR(__xludf.DUMMYFUNCTION("IF(A7394="""","""",INDEX(SPLIT(A7394,"" ""),COUNTA(SPLIT(A7394,"" ""))))"),"Tripi")</f>
        <v>Tripi</v>
      </c>
      <c r="C7394" s="6" t="s">
        <v>7401</v>
      </c>
      <c r="D7394" s="6"/>
      <c r="E7394" s="7" t="s">
        <v>7402</v>
      </c>
    </row>
    <row r="7395">
      <c r="A7395" s="4" t="s">
        <v>7501</v>
      </c>
      <c r="B7395" s="5" t="str">
        <f>IFERROR(__xludf.DUMMYFUNCTION("IF(A7395="""","""",INDEX(SPLIT(A7395,"" ""),COUNTA(SPLIT(A7395,"" ""))))"),"Tusa")</f>
        <v>Tusa</v>
      </c>
      <c r="C7395" s="6" t="s">
        <v>7401</v>
      </c>
      <c r="D7395" s="6"/>
      <c r="E7395" s="7" t="s">
        <v>7402</v>
      </c>
    </row>
    <row r="7396">
      <c r="A7396" s="4" t="s">
        <v>7502</v>
      </c>
      <c r="B7396" s="5" t="str">
        <f>IFERROR(__xludf.DUMMYFUNCTION("IF(A7396="""","""",INDEX(SPLIT(A7396,"" ""),COUNTA(SPLIT(A7396,"" ""))))"),"Ucria")</f>
        <v>Ucria</v>
      </c>
      <c r="C7396" s="6" t="s">
        <v>7401</v>
      </c>
      <c r="D7396" s="6"/>
      <c r="E7396" s="7" t="s">
        <v>7402</v>
      </c>
    </row>
    <row r="7397">
      <c r="A7397" s="4" t="s">
        <v>7503</v>
      </c>
      <c r="B7397" s="5" t="str">
        <f>IFERROR(__xludf.DUMMYFUNCTION("IF(A7397="""","""",INDEX(SPLIT(A7397,"" ""),COUNTA(SPLIT(A7397,"" ""))))"),"Valdina")</f>
        <v>Valdina</v>
      </c>
      <c r="C7397" s="6" t="s">
        <v>7401</v>
      </c>
      <c r="D7397" s="6"/>
      <c r="E7397" s="7" t="s">
        <v>7402</v>
      </c>
    </row>
    <row r="7398">
      <c r="A7398" s="4" t="s">
        <v>7504</v>
      </c>
      <c r="B7398" s="5" t="str">
        <f>IFERROR(__xludf.DUMMYFUNCTION("IF(A7398="""","""",INDEX(SPLIT(A7398,"" ""),COUNTA(SPLIT(A7398,"" ""))))"),"Venetico")</f>
        <v>Venetico</v>
      </c>
      <c r="C7398" s="6" t="s">
        <v>7401</v>
      </c>
      <c r="D7398" s="6"/>
      <c r="E7398" s="7" t="s">
        <v>7402</v>
      </c>
    </row>
    <row r="7399">
      <c r="A7399" s="4" t="s">
        <v>7505</v>
      </c>
      <c r="B7399" s="5" t="str">
        <f>IFERROR(__xludf.DUMMYFUNCTION("IF(A7399="""","""",INDEX(SPLIT(A7399,"" ""),COUNTA(SPLIT(A7399,"" ""))))"),"Tirrena")</f>
        <v>Tirrena</v>
      </c>
      <c r="C7399" s="6" t="s">
        <v>7401</v>
      </c>
      <c r="D7399" s="6"/>
      <c r="E7399" s="7" t="s">
        <v>7402</v>
      </c>
    </row>
    <row r="7400">
      <c r="A7400" s="4" t="s">
        <v>7506</v>
      </c>
      <c r="B7400" s="5" t="str">
        <f>IFERROR(__xludf.DUMMYFUNCTION("IF(A7400="""","""",INDEX(SPLIT(A7400,"" ""),COUNTA(SPLIT(A7400,"" ""))))"),"Vigliatore")</f>
        <v>Vigliatore</v>
      </c>
      <c r="C7400" s="6" t="s">
        <v>7401</v>
      </c>
      <c r="D7400" s="6"/>
      <c r="E7400" s="7" t="s">
        <v>7402</v>
      </c>
    </row>
    <row r="7401">
      <c r="A7401" s="4" t="s">
        <v>7507</v>
      </c>
      <c r="B7401" s="5" t="str">
        <f>IFERROR(__xludf.DUMMYFUNCTION("IF(A7401="""","""",INDEX(SPLIT(A7401,"" ""),COUNTA(SPLIT(A7401,"" ""))))"),"Acquedolci")</f>
        <v>Acquedolci</v>
      </c>
      <c r="C7401" s="6" t="s">
        <v>7401</v>
      </c>
      <c r="D7401" s="6"/>
      <c r="E7401" s="7" t="s">
        <v>7402</v>
      </c>
    </row>
    <row r="7402">
      <c r="A7402" s="4" t="s">
        <v>7508</v>
      </c>
      <c r="B7402" s="5" t="str">
        <f>IFERROR(__xludf.DUMMYFUNCTION("IF(A7402="""","""",INDEX(SPLIT(A7402,"" ""),COUNTA(SPLIT(A7402,"" ""))))"),"Torrenova")</f>
        <v>Torrenova</v>
      </c>
      <c r="C7402" s="6" t="s">
        <v>7401</v>
      </c>
      <c r="D7402" s="6"/>
      <c r="E7402" s="7" t="s">
        <v>7402</v>
      </c>
    </row>
    <row r="7403">
      <c r="A7403" s="4" t="s">
        <v>7509</v>
      </c>
      <c r="B7403" s="5" t="str">
        <f>IFERROR(__xludf.DUMMYFUNCTION("IF(A7403="""","""",INDEX(SPLIT(A7403,"" ""),COUNTA(SPLIT(A7403,"" ""))))"),"Agrigento")</f>
        <v>Agrigento</v>
      </c>
      <c r="C7403" s="6"/>
      <c r="D7403" s="6" t="s">
        <v>7509</v>
      </c>
      <c r="E7403" s="7" t="s">
        <v>7510</v>
      </c>
    </row>
    <row r="7404">
      <c r="A7404" s="4" t="s">
        <v>7511</v>
      </c>
      <c r="B7404" s="5" t="str">
        <f>IFERROR(__xludf.DUMMYFUNCTION("IF(A7404="""","""",INDEX(SPLIT(A7404,"" ""),COUNTA(SPLIT(A7404,"" ""))))"),"Rocca")</f>
        <v>Rocca</v>
      </c>
      <c r="C7404" s="6"/>
      <c r="D7404" s="6" t="s">
        <v>7509</v>
      </c>
      <c r="E7404" s="7" t="s">
        <v>7510</v>
      </c>
    </row>
    <row r="7405">
      <c r="A7405" s="4" t="s">
        <v>7512</v>
      </c>
      <c r="B7405" s="5" t="str">
        <f>IFERROR(__xludf.DUMMYFUNCTION("IF(A7405="""","""",INDEX(SPLIT(A7405,"" ""),COUNTA(SPLIT(A7405,"" ""))))"),"Aragona")</f>
        <v>Aragona</v>
      </c>
      <c r="C7405" s="6"/>
      <c r="D7405" s="6" t="s">
        <v>7509</v>
      </c>
      <c r="E7405" s="7" t="s">
        <v>7510</v>
      </c>
    </row>
    <row r="7406">
      <c r="A7406" s="4" t="s">
        <v>7513</v>
      </c>
      <c r="B7406" s="5" t="str">
        <f>IFERROR(__xludf.DUMMYFUNCTION("IF(A7406="""","""",INDEX(SPLIT(A7406,"" ""),COUNTA(SPLIT(A7406,"" ""))))"),"Bivona")</f>
        <v>Bivona</v>
      </c>
      <c r="C7406" s="6"/>
      <c r="D7406" s="6" t="s">
        <v>7509</v>
      </c>
      <c r="E7406" s="7" t="s">
        <v>7510</v>
      </c>
    </row>
    <row r="7407">
      <c r="A7407" s="4" t="s">
        <v>7514</v>
      </c>
      <c r="B7407" s="5" t="str">
        <f>IFERROR(__xludf.DUMMYFUNCTION("IF(A7407="""","""",INDEX(SPLIT(A7407,"" ""),COUNTA(SPLIT(A7407,"" ""))))"),"Burgio")</f>
        <v>Burgio</v>
      </c>
      <c r="C7407" s="6"/>
      <c r="D7407" s="6" t="s">
        <v>7509</v>
      </c>
      <c r="E7407" s="7" t="s">
        <v>7510</v>
      </c>
    </row>
    <row r="7408">
      <c r="A7408" s="4" t="s">
        <v>7515</v>
      </c>
      <c r="B7408" s="5" t="str">
        <f>IFERROR(__xludf.DUMMYFUNCTION("IF(A7408="""","""",INDEX(SPLIT(A7408,"" ""),COUNTA(SPLIT(A7408,"" ""))))"),"Calamonaci")</f>
        <v>Calamonaci</v>
      </c>
      <c r="C7408" s="6"/>
      <c r="D7408" s="6" t="s">
        <v>7509</v>
      </c>
      <c r="E7408" s="7" t="s">
        <v>7510</v>
      </c>
    </row>
    <row r="7409">
      <c r="A7409" s="4" t="s">
        <v>7516</v>
      </c>
      <c r="B7409" s="5" t="str">
        <f>IFERROR(__xludf.DUMMYFUNCTION("IF(A7409="""","""",INDEX(SPLIT(A7409,"" ""),COUNTA(SPLIT(A7409,"" ""))))"),"Caltabellotta")</f>
        <v>Caltabellotta</v>
      </c>
      <c r="C7409" s="6"/>
      <c r="D7409" s="6" t="s">
        <v>7509</v>
      </c>
      <c r="E7409" s="7" t="s">
        <v>7510</v>
      </c>
    </row>
    <row r="7410">
      <c r="A7410" s="4" t="s">
        <v>7517</v>
      </c>
      <c r="B7410" s="5" t="str">
        <f>IFERROR(__xludf.DUMMYFUNCTION("IF(A7410="""","""",INDEX(SPLIT(A7410,"" ""),COUNTA(SPLIT(A7410,"" ""))))"),"Camastra")</f>
        <v>Camastra</v>
      </c>
      <c r="C7410" s="6"/>
      <c r="D7410" s="6" t="s">
        <v>7509</v>
      </c>
      <c r="E7410" s="7" t="s">
        <v>7510</v>
      </c>
    </row>
    <row r="7411">
      <c r="A7411" s="4" t="s">
        <v>7518</v>
      </c>
      <c r="B7411" s="5" t="str">
        <f>IFERROR(__xludf.DUMMYFUNCTION("IF(A7411="""","""",INDEX(SPLIT(A7411,"" ""),COUNTA(SPLIT(A7411,"" ""))))"),"Cammarata")</f>
        <v>Cammarata</v>
      </c>
      <c r="C7411" s="6"/>
      <c r="D7411" s="6" t="s">
        <v>7509</v>
      </c>
      <c r="E7411" s="7" t="s">
        <v>7510</v>
      </c>
    </row>
    <row r="7412">
      <c r="A7412" s="4" t="s">
        <v>7519</v>
      </c>
      <c r="B7412" s="5" t="str">
        <f>IFERROR(__xludf.DUMMYFUNCTION("IF(A7412="""","""",INDEX(SPLIT(A7412,"" ""),COUNTA(SPLIT(A7412,"" ""))))"),"Licata")</f>
        <v>Licata</v>
      </c>
      <c r="C7412" s="6"/>
      <c r="D7412" s="6" t="s">
        <v>7509</v>
      </c>
      <c r="E7412" s="7" t="s">
        <v>7510</v>
      </c>
    </row>
    <row r="7413">
      <c r="A7413" s="4" t="s">
        <v>7520</v>
      </c>
      <c r="B7413" s="5" t="str">
        <f>IFERROR(__xludf.DUMMYFUNCTION("IF(A7413="""","""",INDEX(SPLIT(A7413,"" ""),COUNTA(SPLIT(A7413,"" ""))))"),"Canicattì")</f>
        <v>Canicattì</v>
      </c>
      <c r="C7413" s="6"/>
      <c r="D7413" s="6" t="s">
        <v>7509</v>
      </c>
      <c r="E7413" s="7" t="s">
        <v>7510</v>
      </c>
    </row>
    <row r="7414">
      <c r="A7414" s="4" t="s">
        <v>7521</v>
      </c>
      <c r="B7414" s="5" t="str">
        <f>IFERROR(__xludf.DUMMYFUNCTION("IF(A7414="""","""",INDEX(SPLIT(A7414,"" ""),COUNTA(SPLIT(A7414,"" ""))))"),"Casteltermini")</f>
        <v>Casteltermini</v>
      </c>
      <c r="C7414" s="6"/>
      <c r="D7414" s="6" t="s">
        <v>7509</v>
      </c>
      <c r="E7414" s="7" t="s">
        <v>7510</v>
      </c>
    </row>
    <row r="7415">
      <c r="A7415" s="4" t="s">
        <v>7522</v>
      </c>
      <c r="B7415" s="5" t="str">
        <f>IFERROR(__xludf.DUMMYFUNCTION("IF(A7415="""","""",INDEX(SPLIT(A7415,"" ""),COUNTA(SPLIT(A7415,"" ""))))"),"Castrofilippo")</f>
        <v>Castrofilippo</v>
      </c>
      <c r="C7415" s="6"/>
      <c r="D7415" s="6" t="s">
        <v>7509</v>
      </c>
      <c r="E7415" s="7" t="s">
        <v>7510</v>
      </c>
    </row>
    <row r="7416">
      <c r="A7416" s="4" t="s">
        <v>7523</v>
      </c>
      <c r="B7416" s="5" t="str">
        <f>IFERROR(__xludf.DUMMYFUNCTION("IF(A7416="""","""",INDEX(SPLIT(A7416,"" ""),COUNTA(SPLIT(A7416,"" ""))))"),"Eraclea")</f>
        <v>Eraclea</v>
      </c>
      <c r="C7416" s="6"/>
      <c r="D7416" s="6" t="s">
        <v>7509</v>
      </c>
      <c r="E7416" s="7" t="s">
        <v>7510</v>
      </c>
    </row>
    <row r="7417">
      <c r="A7417" s="4" t="s">
        <v>7524</v>
      </c>
      <c r="B7417" s="5" t="str">
        <f>IFERROR(__xludf.DUMMYFUNCTION("IF(A7417="""","""",INDEX(SPLIT(A7417,"" ""),COUNTA(SPLIT(A7417,"" ""))))"),"Cianciana")</f>
        <v>Cianciana</v>
      </c>
      <c r="C7417" s="6"/>
      <c r="D7417" s="6" t="s">
        <v>7509</v>
      </c>
      <c r="E7417" s="7" t="s">
        <v>7510</v>
      </c>
    </row>
    <row r="7418">
      <c r="A7418" s="4" t="s">
        <v>7525</v>
      </c>
      <c r="B7418" s="5" t="str">
        <f>IFERROR(__xludf.DUMMYFUNCTION("IF(A7418="""","""",INDEX(SPLIT(A7418,"" ""),COUNTA(SPLIT(A7418,"" ""))))"),"Comitini")</f>
        <v>Comitini</v>
      </c>
      <c r="C7418" s="6"/>
      <c r="D7418" s="6" t="s">
        <v>7509</v>
      </c>
      <c r="E7418" s="7" t="s">
        <v>7510</v>
      </c>
    </row>
    <row r="7419">
      <c r="A7419" s="4" t="s">
        <v>7526</v>
      </c>
      <c r="B7419" s="5" t="str">
        <f>IFERROR(__xludf.DUMMYFUNCTION("IF(A7419="""","""",INDEX(SPLIT(A7419,"" ""),COUNTA(SPLIT(A7419,"" ""))))"),"Favara")</f>
        <v>Favara</v>
      </c>
      <c r="C7419" s="6"/>
      <c r="D7419" s="6" t="s">
        <v>7509</v>
      </c>
      <c r="E7419" s="7" t="s">
        <v>7510</v>
      </c>
    </row>
    <row r="7420">
      <c r="A7420" s="4" t="s">
        <v>7527</v>
      </c>
      <c r="B7420" s="5" t="str">
        <f>IFERROR(__xludf.DUMMYFUNCTION("IF(A7420="""","""",INDEX(SPLIT(A7420,"" ""),COUNTA(SPLIT(A7420,"" ""))))"),"Grotte")</f>
        <v>Grotte</v>
      </c>
      <c r="C7420" s="6"/>
      <c r="D7420" s="6" t="s">
        <v>7509</v>
      </c>
      <c r="E7420" s="7" t="s">
        <v>7510</v>
      </c>
    </row>
    <row r="7421">
      <c r="A7421" s="4" t="s">
        <v>7528</v>
      </c>
      <c r="B7421" s="5" t="str">
        <f>IFERROR(__xludf.DUMMYFUNCTION("IF(A7421="""","""",INDEX(SPLIT(A7421,"" ""),COUNTA(SPLIT(A7421,"" ""))))"),"Giancaxio")</f>
        <v>Giancaxio</v>
      </c>
      <c r="C7421" s="6"/>
      <c r="D7421" s="6" t="s">
        <v>7509</v>
      </c>
      <c r="E7421" s="7" t="s">
        <v>7510</v>
      </c>
    </row>
    <row r="7422">
      <c r="A7422" s="4" t="s">
        <v>7529</v>
      </c>
      <c r="B7422" s="5" t="str">
        <f>IFERROR(__xludf.DUMMYFUNCTION("IF(A7422="""","""",INDEX(SPLIT(A7422,"" ""),COUNTA(SPLIT(A7422,"" ""))))"),"Linosa")</f>
        <v>Linosa</v>
      </c>
      <c r="C7422" s="6"/>
      <c r="D7422" s="6" t="s">
        <v>7509</v>
      </c>
      <c r="E7422" s="7" t="s">
        <v>7510</v>
      </c>
    </row>
    <row r="7423">
      <c r="A7423" s="4" t="s">
        <v>7530</v>
      </c>
      <c r="B7423" s="5" t="str">
        <f>IFERROR(__xludf.DUMMYFUNCTION("IF(A7423="""","""",INDEX(SPLIT(A7423,"" ""),COUNTA(SPLIT(A7423,"" ""))))"),"Licata")</f>
        <v>Licata</v>
      </c>
      <c r="C7423" s="6"/>
      <c r="D7423" s="6" t="s">
        <v>7509</v>
      </c>
      <c r="E7423" s="7" t="s">
        <v>7510</v>
      </c>
    </row>
    <row r="7424">
      <c r="A7424" s="4" t="s">
        <v>7531</v>
      </c>
      <c r="B7424" s="5" t="str">
        <f>IFERROR(__xludf.DUMMYFUNCTION("IF(A7424="""","""",INDEX(SPLIT(A7424,"" ""),COUNTA(SPLIT(A7424,"" ""))))"),"Sicula")</f>
        <v>Sicula</v>
      </c>
      <c r="C7424" s="6"/>
      <c r="D7424" s="6" t="s">
        <v>7509</v>
      </c>
      <c r="E7424" s="7" t="s">
        <v>7510</v>
      </c>
    </row>
    <row r="7425">
      <c r="A7425" s="4" t="s">
        <v>7532</v>
      </c>
      <c r="B7425" s="5" t="str">
        <f>IFERROR(__xludf.DUMMYFUNCTION("IF(A7425="""","""",INDEX(SPLIT(A7425,"" ""),COUNTA(SPLIT(A7425,"" ""))))"),"Menfi")</f>
        <v>Menfi</v>
      </c>
      <c r="C7425" s="6"/>
      <c r="D7425" s="6" t="s">
        <v>7509</v>
      </c>
      <c r="E7425" s="7" t="s">
        <v>7510</v>
      </c>
    </row>
    <row r="7426">
      <c r="A7426" s="4" t="s">
        <v>7533</v>
      </c>
      <c r="B7426" s="5" t="str">
        <f>IFERROR(__xludf.DUMMYFUNCTION("IF(A7426="""","""",INDEX(SPLIT(A7426,"" ""),COUNTA(SPLIT(A7426,"" ""))))"),"Montallegro")</f>
        <v>Montallegro</v>
      </c>
      <c r="C7426" s="6"/>
      <c r="D7426" s="6" t="s">
        <v>7509</v>
      </c>
      <c r="E7426" s="7" t="s">
        <v>7510</v>
      </c>
    </row>
    <row r="7427">
      <c r="A7427" s="4" t="s">
        <v>7534</v>
      </c>
      <c r="B7427" s="5" t="str">
        <f>IFERROR(__xludf.DUMMYFUNCTION("IF(A7427="""","""",INDEX(SPLIT(A7427,"" ""),COUNTA(SPLIT(A7427,"" ""))))"),"Montevago")</f>
        <v>Montevago</v>
      </c>
      <c r="C7427" s="6"/>
      <c r="D7427" s="6" t="s">
        <v>7509</v>
      </c>
      <c r="E7427" s="7" t="s">
        <v>7510</v>
      </c>
    </row>
    <row r="7428">
      <c r="A7428" s="4" t="s">
        <v>7535</v>
      </c>
      <c r="B7428" s="5" t="str">
        <f>IFERROR(__xludf.DUMMYFUNCTION("IF(A7428="""","""",INDEX(SPLIT(A7428,"" ""),COUNTA(SPLIT(A7428,"" ""))))"),"Naro")</f>
        <v>Naro</v>
      </c>
      <c r="C7428" s="6"/>
      <c r="D7428" s="6" t="s">
        <v>7509</v>
      </c>
      <c r="E7428" s="7" t="s">
        <v>7510</v>
      </c>
    </row>
    <row r="7429">
      <c r="A7429" s="4" t="s">
        <v>7536</v>
      </c>
      <c r="B7429" s="5" t="str">
        <f>IFERROR(__xludf.DUMMYFUNCTION("IF(A7429="""","""",INDEX(SPLIT(A7429,"" ""),COUNTA(SPLIT(A7429,"" ""))))"),"Montechiaro")</f>
        <v>Montechiaro</v>
      </c>
      <c r="C7429" s="6"/>
      <c r="D7429" s="6" t="s">
        <v>7509</v>
      </c>
      <c r="E7429" s="7" t="s">
        <v>7510</v>
      </c>
    </row>
    <row r="7430">
      <c r="A7430" s="4" t="s">
        <v>7537</v>
      </c>
      <c r="B7430" s="5" t="str">
        <f>IFERROR(__xludf.DUMMYFUNCTION("IF(A7430="""","""",INDEX(SPLIT(A7430,"" ""),COUNTA(SPLIT(A7430,"" ""))))"),"Empedocle")</f>
        <v>Empedocle</v>
      </c>
      <c r="C7430" s="6"/>
      <c r="D7430" s="6" t="s">
        <v>7509</v>
      </c>
      <c r="E7430" s="7" t="s">
        <v>7510</v>
      </c>
    </row>
    <row r="7431">
      <c r="A7431" s="4" t="s">
        <v>7538</v>
      </c>
      <c r="B7431" s="5" t="str">
        <f>IFERROR(__xludf.DUMMYFUNCTION("IF(A7431="""","""",INDEX(SPLIT(A7431,"" ""),COUNTA(SPLIT(A7431,"" ""))))"),"Racalmuto")</f>
        <v>Racalmuto</v>
      </c>
      <c r="C7431" s="6"/>
      <c r="D7431" s="6" t="s">
        <v>7509</v>
      </c>
      <c r="E7431" s="7" t="s">
        <v>7510</v>
      </c>
    </row>
    <row r="7432">
      <c r="A7432" s="4" t="s">
        <v>7539</v>
      </c>
      <c r="B7432" s="5" t="str">
        <f>IFERROR(__xludf.DUMMYFUNCTION("IF(A7432="""","""",INDEX(SPLIT(A7432,"" ""),COUNTA(SPLIT(A7432,"" ""))))"),"Raffadali")</f>
        <v>Raffadali</v>
      </c>
      <c r="C7432" s="6"/>
      <c r="D7432" s="6" t="s">
        <v>7509</v>
      </c>
      <c r="E7432" s="7" t="s">
        <v>7510</v>
      </c>
    </row>
    <row r="7433">
      <c r="A7433" s="4" t="s">
        <v>7540</v>
      </c>
      <c r="B7433" s="5" t="str">
        <f>IFERROR(__xludf.DUMMYFUNCTION("IF(A7433="""","""",INDEX(SPLIT(A7433,"" ""),COUNTA(SPLIT(A7433,"" ""))))"),"Ravanusa")</f>
        <v>Ravanusa</v>
      </c>
      <c r="C7433" s="6"/>
      <c r="D7433" s="6" t="s">
        <v>7509</v>
      </c>
      <c r="E7433" s="7" t="s">
        <v>7510</v>
      </c>
    </row>
    <row r="7434">
      <c r="A7434" s="4" t="s">
        <v>7541</v>
      </c>
      <c r="B7434" s="5" t="str">
        <f>IFERROR(__xludf.DUMMYFUNCTION("IF(A7434="""","""",INDEX(SPLIT(A7434,"" ""),COUNTA(SPLIT(A7434,"" ""))))"),"Realmonte")</f>
        <v>Realmonte</v>
      </c>
      <c r="C7434" s="6"/>
      <c r="D7434" s="6" t="s">
        <v>7509</v>
      </c>
      <c r="E7434" s="7" t="s">
        <v>7510</v>
      </c>
    </row>
    <row r="7435">
      <c r="A7435" s="4" t="s">
        <v>7542</v>
      </c>
      <c r="B7435" s="5" t="str">
        <f>IFERROR(__xludf.DUMMYFUNCTION("IF(A7435="""","""",INDEX(SPLIT(A7435,"" ""),COUNTA(SPLIT(A7435,"" ""))))"),"Ribera")</f>
        <v>Ribera</v>
      </c>
      <c r="C7435" s="6"/>
      <c r="D7435" s="6" t="s">
        <v>7509</v>
      </c>
      <c r="E7435" s="7" t="s">
        <v>7510</v>
      </c>
    </row>
    <row r="7436">
      <c r="A7436" s="4" t="s">
        <v>7543</v>
      </c>
      <c r="B7436" s="5" t="str">
        <f>IFERROR(__xludf.DUMMYFUNCTION("IF(A7436="""","""",INDEX(SPLIT(A7436,"" ""),COUNTA(SPLIT(A7436,"" ""))))"),"Sicilia")</f>
        <v>Sicilia</v>
      </c>
      <c r="C7436" s="6"/>
      <c r="D7436" s="6" t="s">
        <v>7509</v>
      </c>
      <c r="E7436" s="7" t="s">
        <v>7510</v>
      </c>
    </row>
    <row r="7437">
      <c r="A7437" s="4" t="s">
        <v>7544</v>
      </c>
      <c r="B7437" s="5" t="str">
        <f>IFERROR(__xludf.DUMMYFUNCTION("IF(A7437="""","""",INDEX(SPLIT(A7437,"" ""),COUNTA(SPLIT(A7437,"" ""))))"),"Platani")</f>
        <v>Platani</v>
      </c>
      <c r="C7437" s="6"/>
      <c r="D7437" s="6" t="s">
        <v>7509</v>
      </c>
      <c r="E7437" s="7" t="s">
        <v>7510</v>
      </c>
    </row>
    <row r="7438">
      <c r="A7438" s="4" t="s">
        <v>7545</v>
      </c>
      <c r="B7438" s="5" t="str">
        <f>IFERROR(__xludf.DUMMYFUNCTION("IF(A7438="""","""",INDEX(SPLIT(A7438,"" ""),COUNTA(SPLIT(A7438,"" ""))))"),"Gemini")</f>
        <v>Gemini</v>
      </c>
      <c r="C7438" s="6"/>
      <c r="D7438" s="6" t="s">
        <v>7509</v>
      </c>
      <c r="E7438" s="7" t="s">
        <v>7510</v>
      </c>
    </row>
    <row r="7439">
      <c r="A7439" s="4" t="s">
        <v>7546</v>
      </c>
      <c r="B7439" s="5" t="str">
        <f>IFERROR(__xludf.DUMMYFUNCTION("IF(A7439="""","""",INDEX(SPLIT(A7439,"" ""),COUNTA(SPLIT(A7439,"" ""))))"),"Elisabetta")</f>
        <v>Elisabetta</v>
      </c>
      <c r="C7439" s="6"/>
      <c r="D7439" s="6" t="s">
        <v>7509</v>
      </c>
      <c r="E7439" s="7" t="s">
        <v>7510</v>
      </c>
    </row>
    <row r="7440">
      <c r="A7440" s="4" t="s">
        <v>7547</v>
      </c>
      <c r="B7440" s="5" t="str">
        <f>IFERROR(__xludf.DUMMYFUNCTION("IF(A7440="""","""",INDEX(SPLIT(A7440,"" ""),COUNTA(SPLIT(A7440,"" ""))))"),"Belice")</f>
        <v>Belice</v>
      </c>
      <c r="C7440" s="6"/>
      <c r="D7440" s="6" t="s">
        <v>7509</v>
      </c>
      <c r="E7440" s="7" t="s">
        <v>7510</v>
      </c>
    </row>
    <row r="7441">
      <c r="A7441" s="4" t="s">
        <v>7548</v>
      </c>
      <c r="B7441" s="5" t="str">
        <f>IFERROR(__xludf.DUMMYFUNCTION("IF(A7441="""","""",INDEX(SPLIT(A7441,"" ""),COUNTA(SPLIT(A7441,"" ""))))"),"Muxaro")</f>
        <v>Muxaro</v>
      </c>
      <c r="C7441" s="6"/>
      <c r="D7441" s="6" t="s">
        <v>7509</v>
      </c>
      <c r="E7441" s="7" t="s">
        <v>7510</v>
      </c>
    </row>
    <row r="7442">
      <c r="A7442" s="4" t="s">
        <v>7549</v>
      </c>
      <c r="B7442" s="5" t="str">
        <f>IFERROR(__xludf.DUMMYFUNCTION("IF(A7442="""","""",INDEX(SPLIT(A7442,"" ""),COUNTA(SPLIT(A7442,"" ""))))"),"Quisquina")</f>
        <v>Quisquina</v>
      </c>
      <c r="C7442" s="6"/>
      <c r="D7442" s="6" t="s">
        <v>7509</v>
      </c>
      <c r="E7442" s="7" t="s">
        <v>7510</v>
      </c>
    </row>
    <row r="7443">
      <c r="A7443" s="4" t="s">
        <v>7550</v>
      </c>
      <c r="B7443" s="5" t="str">
        <f>IFERROR(__xludf.DUMMYFUNCTION("IF(A7443="""","""",INDEX(SPLIT(A7443,"" ""),COUNTA(SPLIT(A7443,"" ""))))"),"Sciacca")</f>
        <v>Sciacca</v>
      </c>
      <c r="C7443" s="6"/>
      <c r="D7443" s="6" t="s">
        <v>7509</v>
      </c>
      <c r="E7443" s="7" t="s">
        <v>7510</v>
      </c>
    </row>
    <row r="7444">
      <c r="A7444" s="4" t="s">
        <v>7551</v>
      </c>
      <c r="B7444" s="5" t="str">
        <f>IFERROR(__xludf.DUMMYFUNCTION("IF(A7444="""","""",INDEX(SPLIT(A7444,"" ""),COUNTA(SPLIT(A7444,"" ""))))"),"Siculiana")</f>
        <v>Siculiana</v>
      </c>
      <c r="C7444" s="6"/>
      <c r="D7444" s="6" t="s">
        <v>7509</v>
      </c>
      <c r="E7444" s="7" t="s">
        <v>7510</v>
      </c>
    </row>
    <row r="7445">
      <c r="A7445" s="4" t="s">
        <v>7552</v>
      </c>
      <c r="B7445" s="5" t="str">
        <f>IFERROR(__xludf.DUMMYFUNCTION("IF(A7445="""","""",INDEX(SPLIT(A7445,"" ""),COUNTA(SPLIT(A7445,"" ""))))"),"Sicula")</f>
        <v>Sicula</v>
      </c>
      <c r="C7445" s="6"/>
      <c r="D7445" s="6" t="s">
        <v>7509</v>
      </c>
      <c r="E7445" s="7" t="s">
        <v>7510</v>
      </c>
    </row>
    <row r="7446">
      <c r="A7446" s="4" t="s">
        <v>7553</v>
      </c>
      <c r="B7446" s="5" t="str">
        <f>IFERROR(__xludf.DUMMYFUNCTION("IF(A7446="""","""",INDEX(SPLIT(A7446,"" ""),COUNTA(SPLIT(A7446,"" ""))))"),"Platani")</f>
        <v>Platani</v>
      </c>
      <c r="C7446" s="6"/>
      <c r="D7446" s="6" t="s">
        <v>7554</v>
      </c>
      <c r="E7446" s="7" t="s">
        <v>7555</v>
      </c>
    </row>
    <row r="7447">
      <c r="A7447" s="4" t="s">
        <v>7556</v>
      </c>
      <c r="B7447" s="5" t="str">
        <f>IFERROR(__xludf.DUMMYFUNCTION("IF(A7447="""","""",INDEX(SPLIT(A7447,"" ""),COUNTA(SPLIT(A7447,"" ""))))"),"Bompensiere")</f>
        <v>Bompensiere</v>
      </c>
      <c r="C7447" s="6"/>
      <c r="D7447" s="6" t="s">
        <v>7554</v>
      </c>
      <c r="E7447" s="7" t="s">
        <v>7555</v>
      </c>
    </row>
    <row r="7448">
      <c r="A7448" s="4" t="s">
        <v>7557</v>
      </c>
      <c r="B7448" s="5" t="str">
        <f>IFERROR(__xludf.DUMMYFUNCTION("IF(A7448="""","""",INDEX(SPLIT(A7448,"" ""),COUNTA(SPLIT(A7448,"" ""))))"),"Butera")</f>
        <v>Butera</v>
      </c>
      <c r="C7448" s="6"/>
      <c r="D7448" s="6" t="s">
        <v>7554</v>
      </c>
      <c r="E7448" s="7" t="s">
        <v>7555</v>
      </c>
    </row>
    <row r="7449">
      <c r="A7449" s="4" t="s">
        <v>7554</v>
      </c>
      <c r="B7449" s="5" t="str">
        <f>IFERROR(__xludf.DUMMYFUNCTION("IF(A7449="""","""",INDEX(SPLIT(A7449,"" ""),COUNTA(SPLIT(A7449,"" ""))))"),"Caltanissetta")</f>
        <v>Caltanissetta</v>
      </c>
      <c r="C7449" s="6"/>
      <c r="D7449" s="6" t="s">
        <v>7554</v>
      </c>
      <c r="E7449" s="7" t="s">
        <v>7555</v>
      </c>
    </row>
    <row r="7450">
      <c r="A7450" s="4" t="s">
        <v>7558</v>
      </c>
      <c r="B7450" s="5" t="str">
        <f>IFERROR(__xludf.DUMMYFUNCTION("IF(A7450="""","""",INDEX(SPLIT(A7450,"" ""),COUNTA(SPLIT(A7450,"" ""))))"),"Campofranco")</f>
        <v>Campofranco</v>
      </c>
      <c r="C7450" s="6"/>
      <c r="D7450" s="6" t="s">
        <v>7554</v>
      </c>
      <c r="E7450" s="7" t="s">
        <v>7555</v>
      </c>
    </row>
    <row r="7451">
      <c r="A7451" s="4" t="s">
        <v>7559</v>
      </c>
      <c r="B7451" s="5" t="str">
        <f>IFERROR(__xludf.DUMMYFUNCTION("IF(A7451="""","""",INDEX(SPLIT(A7451,"" ""),COUNTA(SPLIT(A7451,"" ""))))"),"Delia")</f>
        <v>Delia</v>
      </c>
      <c r="C7451" s="6"/>
      <c r="D7451" s="6" t="s">
        <v>7554</v>
      </c>
      <c r="E7451" s="7" t="s">
        <v>7555</v>
      </c>
    </row>
    <row r="7452">
      <c r="A7452" s="4" t="s">
        <v>7560</v>
      </c>
      <c r="B7452" s="5" t="str">
        <f>IFERROR(__xludf.DUMMYFUNCTION("IF(A7452="""","""",INDEX(SPLIT(A7452,"" ""),COUNTA(SPLIT(A7452,"" ""))))"),"Gela")</f>
        <v>Gela</v>
      </c>
      <c r="C7452" s="6"/>
      <c r="D7452" s="6" t="s">
        <v>7554</v>
      </c>
      <c r="E7452" s="7" t="s">
        <v>7555</v>
      </c>
    </row>
    <row r="7453">
      <c r="A7453" s="4" t="s">
        <v>7561</v>
      </c>
      <c r="B7453" s="5" t="str">
        <f>IFERROR(__xludf.DUMMYFUNCTION("IF(A7453="""","""",INDEX(SPLIT(A7453,"" ""),COUNTA(SPLIT(A7453,"" ""))))"),"Marianopoli")</f>
        <v>Marianopoli</v>
      </c>
      <c r="C7453" s="6"/>
      <c r="D7453" s="6" t="s">
        <v>7554</v>
      </c>
      <c r="E7453" s="7" t="s">
        <v>7555</v>
      </c>
    </row>
    <row r="7454">
      <c r="A7454" s="4" t="s">
        <v>7562</v>
      </c>
      <c r="B7454" s="5" t="str">
        <f>IFERROR(__xludf.DUMMYFUNCTION("IF(A7454="""","""",INDEX(SPLIT(A7454,"" ""),COUNTA(SPLIT(A7454,"" ""))))"),"Mazzarino")</f>
        <v>Mazzarino</v>
      </c>
      <c r="C7454" s="6"/>
      <c r="D7454" s="6" t="s">
        <v>7554</v>
      </c>
      <c r="E7454" s="7" t="s">
        <v>7555</v>
      </c>
    </row>
    <row r="7455">
      <c r="A7455" s="4" t="s">
        <v>7563</v>
      </c>
      <c r="B7455" s="5" t="str">
        <f>IFERROR(__xludf.DUMMYFUNCTION("IF(A7455="""","""",INDEX(SPLIT(A7455,"" ""),COUNTA(SPLIT(A7455,"" ""))))"),"Milena")</f>
        <v>Milena</v>
      </c>
      <c r="C7455" s="6"/>
      <c r="D7455" s="6" t="s">
        <v>7554</v>
      </c>
      <c r="E7455" s="7" t="s">
        <v>7555</v>
      </c>
    </row>
    <row r="7456">
      <c r="A7456" s="4" t="s">
        <v>7564</v>
      </c>
      <c r="B7456" s="5" t="str">
        <f>IFERROR(__xludf.DUMMYFUNCTION("IF(A7456="""","""",INDEX(SPLIT(A7456,"" ""),COUNTA(SPLIT(A7456,"" ""))))"),"Montedoro")</f>
        <v>Montedoro</v>
      </c>
      <c r="C7456" s="6"/>
      <c r="D7456" s="6" t="s">
        <v>7554</v>
      </c>
      <c r="E7456" s="7" t="s">
        <v>7555</v>
      </c>
    </row>
    <row r="7457">
      <c r="A7457" s="4" t="s">
        <v>7565</v>
      </c>
      <c r="B7457" s="5" t="str">
        <f>IFERROR(__xludf.DUMMYFUNCTION("IF(A7457="""","""",INDEX(SPLIT(A7457,"" ""),COUNTA(SPLIT(A7457,"" ""))))"),"Mussomeli")</f>
        <v>Mussomeli</v>
      </c>
      <c r="C7457" s="6"/>
      <c r="D7457" s="6" t="s">
        <v>7554</v>
      </c>
      <c r="E7457" s="7" t="s">
        <v>7555</v>
      </c>
    </row>
    <row r="7458">
      <c r="A7458" s="4" t="s">
        <v>7566</v>
      </c>
      <c r="B7458" s="5" t="str">
        <f>IFERROR(__xludf.DUMMYFUNCTION("IF(A7458="""","""",INDEX(SPLIT(A7458,"" ""),COUNTA(SPLIT(A7458,"" ""))))"),"Niscemi")</f>
        <v>Niscemi</v>
      </c>
      <c r="C7458" s="6"/>
      <c r="D7458" s="6" t="s">
        <v>7554</v>
      </c>
      <c r="E7458" s="7" t="s">
        <v>7555</v>
      </c>
    </row>
    <row r="7459">
      <c r="A7459" s="4" t="s">
        <v>7567</v>
      </c>
      <c r="B7459" s="5" t="str">
        <f>IFERROR(__xludf.DUMMYFUNCTION("IF(A7459="""","""",INDEX(SPLIT(A7459,"" ""),COUNTA(SPLIT(A7459,"" ""))))"),"Resuttano")</f>
        <v>Resuttano</v>
      </c>
      <c r="C7459" s="6"/>
      <c r="D7459" s="6" t="s">
        <v>7554</v>
      </c>
      <c r="E7459" s="7" t="s">
        <v>7555</v>
      </c>
    </row>
    <row r="7460">
      <c r="A7460" s="4" t="s">
        <v>7568</v>
      </c>
      <c r="B7460" s="5" t="str">
        <f>IFERROR(__xludf.DUMMYFUNCTION("IF(A7460="""","""",INDEX(SPLIT(A7460,"" ""),COUNTA(SPLIT(A7460,"" ""))))"),"Riesi")</f>
        <v>Riesi</v>
      </c>
      <c r="C7460" s="6"/>
      <c r="D7460" s="6" t="s">
        <v>7554</v>
      </c>
      <c r="E7460" s="7" t="s">
        <v>7555</v>
      </c>
    </row>
    <row r="7461">
      <c r="A7461" s="4" t="s">
        <v>7569</v>
      </c>
      <c r="B7461" s="5" t="str">
        <f>IFERROR(__xludf.DUMMYFUNCTION("IF(A7461="""","""",INDEX(SPLIT(A7461,"" ""),COUNTA(SPLIT(A7461,"" ""))))"),"Cataldo")</f>
        <v>Cataldo</v>
      </c>
      <c r="C7461" s="6"/>
      <c r="D7461" s="6" t="s">
        <v>7554</v>
      </c>
      <c r="E7461" s="7" t="s">
        <v>7555</v>
      </c>
    </row>
    <row r="7462">
      <c r="A7462" s="4" t="s">
        <v>7570</v>
      </c>
      <c r="B7462" s="5" t="str">
        <f>IFERROR(__xludf.DUMMYFUNCTION("IF(A7462="""","""",INDEX(SPLIT(A7462,"" ""),COUNTA(SPLIT(A7462,"" ""))))"),"Villarmosa")</f>
        <v>Villarmosa</v>
      </c>
      <c r="C7462" s="6"/>
      <c r="D7462" s="6" t="s">
        <v>7554</v>
      </c>
      <c r="E7462" s="7" t="s">
        <v>7555</v>
      </c>
    </row>
    <row r="7463">
      <c r="A7463" s="4" t="s">
        <v>7571</v>
      </c>
      <c r="B7463" s="5" t="str">
        <f>IFERROR(__xludf.DUMMYFUNCTION("IF(A7463="""","""",INDEX(SPLIT(A7463,"" ""),COUNTA(SPLIT(A7463,"" ""))))"),"Serradifalco")</f>
        <v>Serradifalco</v>
      </c>
      <c r="C7463" s="6"/>
      <c r="D7463" s="6" t="s">
        <v>7554</v>
      </c>
      <c r="E7463" s="7" t="s">
        <v>7555</v>
      </c>
    </row>
    <row r="7464">
      <c r="A7464" s="4" t="s">
        <v>7572</v>
      </c>
      <c r="B7464" s="5" t="str">
        <f>IFERROR(__xludf.DUMMYFUNCTION("IF(A7464="""","""",INDEX(SPLIT(A7464,"" ""),COUNTA(SPLIT(A7464,"" ""))))"),"Sommatino")</f>
        <v>Sommatino</v>
      </c>
      <c r="C7464" s="6"/>
      <c r="D7464" s="6" t="s">
        <v>7554</v>
      </c>
      <c r="E7464" s="7" t="s">
        <v>7555</v>
      </c>
    </row>
    <row r="7465">
      <c r="A7465" s="4" t="s">
        <v>7573</v>
      </c>
      <c r="B7465" s="5" t="str">
        <f>IFERROR(__xludf.DUMMYFUNCTION("IF(A7465="""","""",INDEX(SPLIT(A7465,"" ""),COUNTA(SPLIT(A7465,"" ""))))"),"Sutera")</f>
        <v>Sutera</v>
      </c>
      <c r="C7465" s="6"/>
      <c r="D7465" s="6" t="s">
        <v>7554</v>
      </c>
      <c r="E7465" s="7" t="s">
        <v>7555</v>
      </c>
    </row>
    <row r="7466">
      <c r="A7466" s="4" t="s">
        <v>7574</v>
      </c>
      <c r="B7466" s="5" t="str">
        <f>IFERROR(__xludf.DUMMYFUNCTION("IF(A7466="""","""",INDEX(SPLIT(A7466,"" ""),COUNTA(SPLIT(A7466,"" ""))))"),"Pratameno")</f>
        <v>Pratameno</v>
      </c>
      <c r="C7466" s="6"/>
      <c r="D7466" s="6" t="s">
        <v>7554</v>
      </c>
      <c r="E7466" s="7" t="s">
        <v>7555</v>
      </c>
    </row>
    <row r="7467">
      <c r="A7467" s="4" t="s">
        <v>7575</v>
      </c>
      <c r="B7467" s="5" t="str">
        <f>IFERROR(__xludf.DUMMYFUNCTION("IF(A7467="""","""",INDEX(SPLIT(A7467,"" ""),COUNTA(SPLIT(A7467,"" ""))))"),"Villalba")</f>
        <v>Villalba</v>
      </c>
      <c r="C7467" s="6"/>
      <c r="D7467" s="6" t="s">
        <v>7554</v>
      </c>
      <c r="E7467" s="7" t="s">
        <v>7555</v>
      </c>
    </row>
    <row r="7468">
      <c r="A7468" s="4" t="s">
        <v>7576</v>
      </c>
      <c r="B7468" s="5" t="str">
        <f>IFERROR(__xludf.DUMMYFUNCTION("IF(A7468="""","""",INDEX(SPLIT(A7468,"" ""),COUNTA(SPLIT(A7468,"" ""))))"),"Agira")</f>
        <v>Agira</v>
      </c>
      <c r="C7468" s="6"/>
      <c r="D7468" s="6" t="s">
        <v>7577</v>
      </c>
      <c r="E7468" s="7" t="s">
        <v>7578</v>
      </c>
    </row>
    <row r="7469">
      <c r="A7469" s="4" t="s">
        <v>7579</v>
      </c>
      <c r="B7469" s="5" t="str">
        <f>IFERROR(__xludf.DUMMYFUNCTION("IF(A7469="""","""",INDEX(SPLIT(A7469,"" ""),COUNTA(SPLIT(A7469,"" ""))))"),"Aidone")</f>
        <v>Aidone</v>
      </c>
      <c r="C7469" s="6"/>
      <c r="D7469" s="6" t="s">
        <v>7577</v>
      </c>
      <c r="E7469" s="7" t="s">
        <v>7578</v>
      </c>
    </row>
    <row r="7470">
      <c r="A7470" s="4" t="s">
        <v>7580</v>
      </c>
      <c r="B7470" s="5" t="str">
        <f>IFERROR(__xludf.DUMMYFUNCTION("IF(A7470="""","""",INDEX(SPLIT(A7470,"" ""),COUNTA(SPLIT(A7470,"" ""))))"),"Assoro")</f>
        <v>Assoro</v>
      </c>
      <c r="C7470" s="6"/>
      <c r="D7470" s="6" t="s">
        <v>7577</v>
      </c>
      <c r="E7470" s="7" t="s">
        <v>7578</v>
      </c>
    </row>
    <row r="7471">
      <c r="A7471" s="4" t="s">
        <v>7581</v>
      </c>
      <c r="B7471" s="5" t="str">
        <f>IFERROR(__xludf.DUMMYFUNCTION("IF(A7471="""","""",INDEX(SPLIT(A7471,"" ""),COUNTA(SPLIT(A7471,"" ""))))"),"Barrafranca")</f>
        <v>Barrafranca</v>
      </c>
      <c r="C7471" s="6"/>
      <c r="D7471" s="6" t="s">
        <v>7577</v>
      </c>
      <c r="E7471" s="7" t="s">
        <v>7578</v>
      </c>
    </row>
    <row r="7472">
      <c r="A7472" s="4" t="s">
        <v>7582</v>
      </c>
      <c r="B7472" s="5" t="str">
        <f>IFERROR(__xludf.DUMMYFUNCTION("IF(A7472="""","""",INDEX(SPLIT(A7472,"" ""),COUNTA(SPLIT(A7472,"" ""))))"),"Calascibetta")</f>
        <v>Calascibetta</v>
      </c>
      <c r="C7472" s="6"/>
      <c r="D7472" s="6" t="s">
        <v>7577</v>
      </c>
      <c r="E7472" s="7" t="s">
        <v>7578</v>
      </c>
    </row>
    <row r="7473">
      <c r="A7473" s="4" t="s">
        <v>7583</v>
      </c>
      <c r="B7473" s="5" t="str">
        <f>IFERROR(__xludf.DUMMYFUNCTION("IF(A7473="""","""",INDEX(SPLIT(A7473,"" ""),COUNTA(SPLIT(A7473,"" ""))))"),"Catenanuova")</f>
        <v>Catenanuova</v>
      </c>
      <c r="C7473" s="6"/>
      <c r="D7473" s="6" t="s">
        <v>7577</v>
      </c>
      <c r="E7473" s="7" t="s">
        <v>7578</v>
      </c>
    </row>
    <row r="7474">
      <c r="A7474" s="4" t="s">
        <v>7584</v>
      </c>
      <c r="B7474" s="5" t="str">
        <f>IFERROR(__xludf.DUMMYFUNCTION("IF(A7474="""","""",INDEX(SPLIT(A7474,"" ""),COUNTA(SPLIT(A7474,"" ""))))"),"Centuripe")</f>
        <v>Centuripe</v>
      </c>
      <c r="C7474" s="6"/>
      <c r="D7474" s="6" t="s">
        <v>7577</v>
      </c>
      <c r="E7474" s="7" t="s">
        <v>7578</v>
      </c>
    </row>
    <row r="7475">
      <c r="A7475" s="4" t="s">
        <v>7585</v>
      </c>
      <c r="B7475" s="5" t="str">
        <f>IFERROR(__xludf.DUMMYFUNCTION("IF(A7475="""","""",INDEX(SPLIT(A7475,"" ""),COUNTA(SPLIT(A7475,"" ""))))"),"Cerami")</f>
        <v>Cerami</v>
      </c>
      <c r="C7475" s="6"/>
      <c r="D7475" s="6" t="s">
        <v>7577</v>
      </c>
      <c r="E7475" s="7" t="s">
        <v>7578</v>
      </c>
    </row>
    <row r="7476">
      <c r="A7476" s="4" t="s">
        <v>7577</v>
      </c>
      <c r="B7476" s="5" t="str">
        <f>IFERROR(__xludf.DUMMYFUNCTION("IF(A7476="""","""",INDEX(SPLIT(A7476,"" ""),COUNTA(SPLIT(A7476,"" ""))))"),"Enna")</f>
        <v>Enna</v>
      </c>
      <c r="C7476" s="6"/>
      <c r="D7476" s="6" t="s">
        <v>7577</v>
      </c>
      <c r="E7476" s="7" t="s">
        <v>7578</v>
      </c>
    </row>
    <row r="7477">
      <c r="A7477" s="4" t="s">
        <v>7586</v>
      </c>
      <c r="B7477" s="5" t="str">
        <f>IFERROR(__xludf.DUMMYFUNCTION("IF(A7477="""","""",INDEX(SPLIT(A7477,"" ""),COUNTA(SPLIT(A7477,"" ""))))"),"Castelferrato")</f>
        <v>Castelferrato</v>
      </c>
      <c r="C7477" s="6"/>
      <c r="D7477" s="6" t="s">
        <v>7577</v>
      </c>
      <c r="E7477" s="7" t="s">
        <v>7578</v>
      </c>
    </row>
    <row r="7478">
      <c r="A7478" s="4" t="s">
        <v>7587</v>
      </c>
      <c r="B7478" s="5" t="str">
        <f>IFERROR(__xludf.DUMMYFUNCTION("IF(A7478="""","""",INDEX(SPLIT(A7478,"" ""),COUNTA(SPLIT(A7478,"" ""))))"),"Leonforte")</f>
        <v>Leonforte</v>
      </c>
      <c r="C7478" s="6"/>
      <c r="D7478" s="6" t="s">
        <v>7577</v>
      </c>
      <c r="E7478" s="7" t="s">
        <v>7578</v>
      </c>
    </row>
    <row r="7479">
      <c r="A7479" s="4" t="s">
        <v>7588</v>
      </c>
      <c r="B7479" s="5" t="str">
        <f>IFERROR(__xludf.DUMMYFUNCTION("IF(A7479="""","""",INDEX(SPLIT(A7479,"" ""),COUNTA(SPLIT(A7479,"" ""))))"),"Nicosia")</f>
        <v>Nicosia</v>
      </c>
      <c r="C7479" s="6"/>
      <c r="D7479" s="6" t="s">
        <v>7577</v>
      </c>
      <c r="E7479" s="7" t="s">
        <v>7578</v>
      </c>
    </row>
    <row r="7480">
      <c r="A7480" s="4" t="s">
        <v>7589</v>
      </c>
      <c r="B7480" s="5" t="str">
        <f>IFERROR(__xludf.DUMMYFUNCTION("IF(A7480="""","""",INDEX(SPLIT(A7480,"" ""),COUNTA(SPLIT(A7480,"" ""))))"),"Nissoria")</f>
        <v>Nissoria</v>
      </c>
      <c r="C7480" s="6"/>
      <c r="D7480" s="6" t="s">
        <v>7577</v>
      </c>
      <c r="E7480" s="7" t="s">
        <v>7578</v>
      </c>
    </row>
    <row r="7481">
      <c r="A7481" s="4" t="s">
        <v>7590</v>
      </c>
      <c r="B7481" s="5" t="str">
        <f>IFERROR(__xludf.DUMMYFUNCTION("IF(A7481="""","""",INDEX(SPLIT(A7481,"" ""),COUNTA(SPLIT(A7481,"" ""))))"),"Armerina")</f>
        <v>Armerina</v>
      </c>
      <c r="C7481" s="6"/>
      <c r="D7481" s="6" t="s">
        <v>7577</v>
      </c>
      <c r="E7481" s="7" t="s">
        <v>7578</v>
      </c>
    </row>
    <row r="7482">
      <c r="A7482" s="4" t="s">
        <v>7591</v>
      </c>
      <c r="B7482" s="5" t="str">
        <f>IFERROR(__xludf.DUMMYFUNCTION("IF(A7482="""","""",INDEX(SPLIT(A7482,"" ""),COUNTA(SPLIT(A7482,"" ""))))"),"Pietraperzia")</f>
        <v>Pietraperzia</v>
      </c>
      <c r="C7482" s="6"/>
      <c r="D7482" s="6" t="s">
        <v>7577</v>
      </c>
      <c r="E7482" s="7" t="s">
        <v>7578</v>
      </c>
    </row>
    <row r="7483">
      <c r="A7483" s="4" t="s">
        <v>7592</v>
      </c>
      <c r="B7483" s="5" t="str">
        <f>IFERROR(__xludf.DUMMYFUNCTION("IF(A7483="""","""",INDEX(SPLIT(A7483,"" ""),COUNTA(SPLIT(A7483,"" ""))))"),"Regalbuto")</f>
        <v>Regalbuto</v>
      </c>
      <c r="C7483" s="6"/>
      <c r="D7483" s="6" t="s">
        <v>7577</v>
      </c>
      <c r="E7483" s="7" t="s">
        <v>7578</v>
      </c>
    </row>
    <row r="7484">
      <c r="A7484" s="4" t="s">
        <v>7593</v>
      </c>
      <c r="B7484" s="5" t="str">
        <f>IFERROR(__xludf.DUMMYFUNCTION("IF(A7484="""","""",INDEX(SPLIT(A7484,"" ""),COUNTA(SPLIT(A7484,"" ""))))"),"Sperlinga")</f>
        <v>Sperlinga</v>
      </c>
      <c r="C7484" s="6"/>
      <c r="D7484" s="6" t="s">
        <v>7577</v>
      </c>
      <c r="E7484" s="7" t="s">
        <v>7578</v>
      </c>
    </row>
    <row r="7485">
      <c r="A7485" s="4" t="s">
        <v>7594</v>
      </c>
      <c r="B7485" s="5" t="str">
        <f>IFERROR(__xludf.DUMMYFUNCTION("IF(A7485="""","""",INDEX(SPLIT(A7485,"" ""),COUNTA(SPLIT(A7485,"" ""))))"),"Troina")</f>
        <v>Troina</v>
      </c>
      <c r="C7485" s="6"/>
      <c r="D7485" s="6" t="s">
        <v>7577</v>
      </c>
      <c r="E7485" s="7" t="s">
        <v>7578</v>
      </c>
    </row>
    <row r="7486">
      <c r="A7486" s="4" t="s">
        <v>7595</v>
      </c>
      <c r="B7486" s="5" t="str">
        <f>IFERROR(__xludf.DUMMYFUNCTION("IF(A7486="""","""",INDEX(SPLIT(A7486,"" ""),COUNTA(SPLIT(A7486,"" ""))))"),"Caropepe")</f>
        <v>Caropepe</v>
      </c>
      <c r="C7486" s="6"/>
      <c r="D7486" s="6" t="s">
        <v>7577</v>
      </c>
      <c r="E7486" s="7" t="s">
        <v>7578</v>
      </c>
    </row>
    <row r="7487">
      <c r="A7487" s="4" t="s">
        <v>7596</v>
      </c>
      <c r="B7487" s="5" t="str">
        <f>IFERROR(__xludf.DUMMYFUNCTION("IF(A7487="""","""",INDEX(SPLIT(A7487,"" ""),COUNTA(SPLIT(A7487,"" ""))))"),"Villarosa")</f>
        <v>Villarosa</v>
      </c>
      <c r="C7487" s="6"/>
      <c r="D7487" s="6" t="s">
        <v>7577</v>
      </c>
      <c r="E7487" s="7" t="s">
        <v>7578</v>
      </c>
    </row>
    <row r="7488">
      <c r="A7488" s="4" t="s">
        <v>7597</v>
      </c>
      <c r="B7488" s="5" t="str">
        <f>IFERROR(__xludf.DUMMYFUNCTION("IF(A7488="""","""",INDEX(SPLIT(A7488,"" ""),COUNTA(SPLIT(A7488,"" ""))))"),"Bonaccorsi")</f>
        <v>Bonaccorsi</v>
      </c>
      <c r="C7488" s="6" t="s">
        <v>7598</v>
      </c>
      <c r="D7488" s="6"/>
      <c r="E7488" s="7" t="s">
        <v>7599</v>
      </c>
    </row>
    <row r="7489">
      <c r="A7489" s="4" t="s">
        <v>7600</v>
      </c>
      <c r="B7489" s="5" t="str">
        <f>IFERROR(__xludf.DUMMYFUNCTION("IF(A7489="""","""",INDEX(SPLIT(A7489,"" ""),COUNTA(SPLIT(A7489,"" ""))))"),"Castello")</f>
        <v>Castello</v>
      </c>
      <c r="C7489" s="6" t="s">
        <v>7598</v>
      </c>
      <c r="D7489" s="6"/>
      <c r="E7489" s="7" t="s">
        <v>7599</v>
      </c>
    </row>
    <row r="7490">
      <c r="A7490" s="4" t="s">
        <v>7601</v>
      </c>
      <c r="B7490" s="5" t="str">
        <f>IFERROR(__xludf.DUMMYFUNCTION("IF(A7490="""","""",INDEX(SPLIT(A7490,"" ""),COUNTA(SPLIT(A7490,"" ""))))"),"Catena")</f>
        <v>Catena</v>
      </c>
      <c r="C7490" s="6" t="s">
        <v>7598</v>
      </c>
      <c r="D7490" s="6"/>
      <c r="E7490" s="7" t="s">
        <v>7599</v>
      </c>
    </row>
    <row r="7491">
      <c r="A7491" s="4" t="s">
        <v>7602</v>
      </c>
      <c r="B7491" s="5" t="str">
        <f>IFERROR(__xludf.DUMMYFUNCTION("IF(A7491="""","""",INDEX(SPLIT(A7491,"" ""),COUNTA(SPLIT(A7491,"" ""))))"),"Acireale")</f>
        <v>Acireale</v>
      </c>
      <c r="C7491" s="6" t="s">
        <v>7598</v>
      </c>
      <c r="D7491" s="6"/>
      <c r="E7491" s="7" t="s">
        <v>7599</v>
      </c>
    </row>
    <row r="7492">
      <c r="A7492" s="4" t="s">
        <v>7603</v>
      </c>
      <c r="B7492" s="5" t="str">
        <f>IFERROR(__xludf.DUMMYFUNCTION("IF(A7492="""","""",INDEX(SPLIT(A7492,"" ""),COUNTA(SPLIT(A7492,"" ""))))"),"Sant'Antonio")</f>
        <v>Sant'Antonio</v>
      </c>
      <c r="C7492" s="6" t="s">
        <v>7598</v>
      </c>
      <c r="D7492" s="6"/>
      <c r="E7492" s="7" t="s">
        <v>7599</v>
      </c>
    </row>
    <row r="7493">
      <c r="A7493" s="4" t="s">
        <v>7604</v>
      </c>
      <c r="B7493" s="5" t="str">
        <f>IFERROR(__xludf.DUMMYFUNCTION("IF(A7493="""","""",INDEX(SPLIT(A7493,"" ""),COUNTA(SPLIT(A7493,"" ""))))"),"Adrano")</f>
        <v>Adrano</v>
      </c>
      <c r="C7493" s="6" t="s">
        <v>7598</v>
      </c>
      <c r="D7493" s="6"/>
      <c r="E7493" s="7" t="s">
        <v>7599</v>
      </c>
    </row>
    <row r="7494">
      <c r="A7494" s="4" t="s">
        <v>7605</v>
      </c>
      <c r="B7494" s="5" t="str">
        <f>IFERROR(__xludf.DUMMYFUNCTION("IF(A7494="""","""",INDEX(SPLIT(A7494,"" ""),COUNTA(SPLIT(A7494,"" ""))))"),"Belpasso")</f>
        <v>Belpasso</v>
      </c>
      <c r="C7494" s="6" t="s">
        <v>7598</v>
      </c>
      <c r="D7494" s="6"/>
      <c r="E7494" s="7" t="s">
        <v>7599</v>
      </c>
    </row>
    <row r="7495">
      <c r="A7495" s="4" t="s">
        <v>7606</v>
      </c>
      <c r="B7495" s="5" t="str">
        <f>IFERROR(__xludf.DUMMYFUNCTION("IF(A7495="""","""",INDEX(SPLIT(A7495,"" ""),COUNTA(SPLIT(A7495,"" ""))))"),"Biancavilla")</f>
        <v>Biancavilla</v>
      </c>
      <c r="C7495" s="6" t="s">
        <v>7598</v>
      </c>
      <c r="D7495" s="6"/>
      <c r="E7495" s="7" t="s">
        <v>7599</v>
      </c>
    </row>
    <row r="7496">
      <c r="A7496" s="4" t="s">
        <v>7607</v>
      </c>
      <c r="B7496" s="5" t="str">
        <f>IFERROR(__xludf.DUMMYFUNCTION("IF(A7496="""","""",INDEX(SPLIT(A7496,"" ""),COUNTA(SPLIT(A7496,"" ""))))"),"Bronte")</f>
        <v>Bronte</v>
      </c>
      <c r="C7496" s="6" t="s">
        <v>7598</v>
      </c>
      <c r="D7496" s="6"/>
      <c r="E7496" s="7" t="s">
        <v>7599</v>
      </c>
    </row>
    <row r="7497">
      <c r="A7497" s="4" t="s">
        <v>7608</v>
      </c>
      <c r="B7497" s="5" t="str">
        <f>IFERROR(__xludf.DUMMYFUNCTION("IF(A7497="""","""",INDEX(SPLIT(A7497,"" ""),COUNTA(SPLIT(A7497,"" ""))))"),"Calatabiano")</f>
        <v>Calatabiano</v>
      </c>
      <c r="C7497" s="6" t="s">
        <v>7598</v>
      </c>
      <c r="D7497" s="6"/>
      <c r="E7497" s="7" t="s">
        <v>7599</v>
      </c>
    </row>
    <row r="7498">
      <c r="A7498" s="4" t="s">
        <v>7609</v>
      </c>
      <c r="B7498" s="5" t="str">
        <f>IFERROR(__xludf.DUMMYFUNCTION("IF(A7498="""","""",INDEX(SPLIT(A7498,"" ""),COUNTA(SPLIT(A7498,"" ""))))"),"Caltagirone")</f>
        <v>Caltagirone</v>
      </c>
      <c r="C7498" s="6" t="s">
        <v>7598</v>
      </c>
      <c r="D7498" s="6"/>
      <c r="E7498" s="7" t="s">
        <v>7599</v>
      </c>
    </row>
    <row r="7499">
      <c r="A7499" s="4" t="s">
        <v>7610</v>
      </c>
      <c r="B7499" s="5" t="str">
        <f>IFERROR(__xludf.DUMMYFUNCTION("IF(A7499="""","""",INDEX(SPLIT(A7499,"" ""),COUNTA(SPLIT(A7499,"" ""))))"),"Etneo")</f>
        <v>Etneo</v>
      </c>
      <c r="C7499" s="6" t="s">
        <v>7598</v>
      </c>
      <c r="D7499" s="6"/>
      <c r="E7499" s="7" t="s">
        <v>7599</v>
      </c>
    </row>
    <row r="7500">
      <c r="A7500" s="4" t="s">
        <v>7611</v>
      </c>
      <c r="B7500" s="5" t="str">
        <f>IFERROR(__xludf.DUMMYFUNCTION("IF(A7500="""","""",INDEX(SPLIT(A7500,"" ""),COUNTA(SPLIT(A7500,"" ""))))"),"Iudica")</f>
        <v>Iudica</v>
      </c>
      <c r="C7500" s="6" t="s">
        <v>7598</v>
      </c>
      <c r="D7500" s="6"/>
      <c r="E7500" s="7" t="s">
        <v>7599</v>
      </c>
    </row>
    <row r="7501">
      <c r="A7501" s="4" t="s">
        <v>7612</v>
      </c>
      <c r="B7501" s="5" t="str">
        <f>IFERROR(__xludf.DUMMYFUNCTION("IF(A7501="""","""",INDEX(SPLIT(A7501,"" ""),COUNTA(SPLIT(A7501,"" ""))))"),"Sicilia")</f>
        <v>Sicilia</v>
      </c>
      <c r="C7501" s="6" t="s">
        <v>7598</v>
      </c>
      <c r="D7501" s="6"/>
      <c r="E7501" s="7" t="s">
        <v>7599</v>
      </c>
    </row>
    <row r="7502">
      <c r="A7502" s="4" t="s">
        <v>7598</v>
      </c>
      <c r="B7502" s="5" t="str">
        <f>IFERROR(__xludf.DUMMYFUNCTION("IF(A7502="""","""",INDEX(SPLIT(A7502,"" ""),COUNTA(SPLIT(A7502,"" ""))))"),"Catania")</f>
        <v>Catania</v>
      </c>
      <c r="C7502" s="6" t="s">
        <v>7598</v>
      </c>
      <c r="D7502" s="6"/>
      <c r="E7502" s="7" t="s">
        <v>7599</v>
      </c>
    </row>
    <row r="7503">
      <c r="A7503" s="4" t="s">
        <v>7613</v>
      </c>
      <c r="B7503" s="5" t="str">
        <f>IFERROR(__xludf.DUMMYFUNCTION("IF(A7503="""","""",INDEX(SPLIT(A7503,"" ""),COUNTA(SPLIT(A7503,"" ""))))"),"Sicilia")</f>
        <v>Sicilia</v>
      </c>
      <c r="C7503" s="6" t="s">
        <v>7598</v>
      </c>
      <c r="D7503" s="6"/>
      <c r="E7503" s="7" t="s">
        <v>7599</v>
      </c>
    </row>
    <row r="7504">
      <c r="A7504" s="4" t="s">
        <v>7614</v>
      </c>
      <c r="B7504" s="5" t="str">
        <f>IFERROR(__xludf.DUMMYFUNCTION("IF(A7504="""","""",INDEX(SPLIT(A7504,"" ""),COUNTA(SPLIT(A7504,"" ""))))"),"Giarre")</f>
        <v>Giarre</v>
      </c>
      <c r="C7504" s="6" t="s">
        <v>7598</v>
      </c>
      <c r="D7504" s="6"/>
      <c r="E7504" s="7" t="s">
        <v>7599</v>
      </c>
    </row>
    <row r="7505">
      <c r="A7505" s="4" t="s">
        <v>7615</v>
      </c>
      <c r="B7505" s="5" t="str">
        <f>IFERROR(__xludf.DUMMYFUNCTION("IF(A7505="""","""",INDEX(SPLIT(A7505,"" ""),COUNTA(SPLIT(A7505,"" ""))))"),"Grammichele")</f>
        <v>Grammichele</v>
      </c>
      <c r="C7505" s="6" t="s">
        <v>7598</v>
      </c>
      <c r="D7505" s="6"/>
      <c r="E7505" s="7" t="s">
        <v>7599</v>
      </c>
    </row>
    <row r="7506">
      <c r="A7506" s="4" t="s">
        <v>7616</v>
      </c>
      <c r="B7506" s="5" t="str">
        <f>IFERROR(__xludf.DUMMYFUNCTION("IF(A7506="""","""",INDEX(SPLIT(A7506,"" ""),COUNTA(SPLIT(A7506,"" ""))))"),"Catania")</f>
        <v>Catania</v>
      </c>
      <c r="C7506" s="6" t="s">
        <v>7598</v>
      </c>
      <c r="D7506" s="6"/>
      <c r="E7506" s="7" t="s">
        <v>7599</v>
      </c>
    </row>
    <row r="7507">
      <c r="A7507" s="4" t="s">
        <v>7617</v>
      </c>
      <c r="B7507" s="5" t="str">
        <f>IFERROR(__xludf.DUMMYFUNCTION("IF(A7507="""","""",INDEX(SPLIT(A7507,"" ""),COUNTA(SPLIT(A7507,"" ""))))"),"Eubea")</f>
        <v>Eubea</v>
      </c>
      <c r="C7507" s="6" t="s">
        <v>7598</v>
      </c>
      <c r="D7507" s="6"/>
      <c r="E7507" s="7" t="s">
        <v>7599</v>
      </c>
    </row>
    <row r="7508">
      <c r="A7508" s="4" t="s">
        <v>7618</v>
      </c>
      <c r="B7508" s="5" t="str">
        <f>IFERROR(__xludf.DUMMYFUNCTION("IF(A7508="""","""",INDEX(SPLIT(A7508,"" ""),COUNTA(SPLIT(A7508,"" ""))))"),"Linguaglossa")</f>
        <v>Linguaglossa</v>
      </c>
      <c r="C7508" s="6" t="s">
        <v>7598</v>
      </c>
      <c r="D7508" s="6"/>
      <c r="E7508" s="7" t="s">
        <v>7599</v>
      </c>
    </row>
    <row r="7509">
      <c r="A7509" s="4" t="s">
        <v>7619</v>
      </c>
      <c r="B7509" s="5" t="str">
        <f>IFERROR(__xludf.DUMMYFUNCTION("IF(A7509="""","""",INDEX(SPLIT(A7509,"" ""),COUNTA(SPLIT(A7509,"" ""))))"),"Maletto")</f>
        <v>Maletto</v>
      </c>
      <c r="C7509" s="6" t="s">
        <v>7598</v>
      </c>
      <c r="D7509" s="6"/>
      <c r="E7509" s="7" t="s">
        <v>7599</v>
      </c>
    </row>
    <row r="7510">
      <c r="A7510" s="4" t="s">
        <v>7620</v>
      </c>
      <c r="B7510" s="5" t="str">
        <f>IFERROR(__xludf.DUMMYFUNCTION("IF(A7510="""","""",INDEX(SPLIT(A7510,"" ""),COUNTA(SPLIT(A7510,"" ""))))"),"Mascali")</f>
        <v>Mascali</v>
      </c>
      <c r="C7510" s="6" t="s">
        <v>7598</v>
      </c>
      <c r="D7510" s="6"/>
      <c r="E7510" s="7" t="s">
        <v>7599</v>
      </c>
    </row>
    <row r="7511">
      <c r="A7511" s="4" t="s">
        <v>7621</v>
      </c>
      <c r="B7511" s="5" t="str">
        <f>IFERROR(__xludf.DUMMYFUNCTION("IF(A7511="""","""",INDEX(SPLIT(A7511,"" ""),COUNTA(SPLIT(A7511,"" ""))))"),"Mascalucia")</f>
        <v>Mascalucia</v>
      </c>
      <c r="C7511" s="6" t="s">
        <v>7598</v>
      </c>
      <c r="D7511" s="6"/>
      <c r="E7511" s="7" t="s">
        <v>7599</v>
      </c>
    </row>
    <row r="7512">
      <c r="A7512" s="4" t="s">
        <v>7622</v>
      </c>
      <c r="B7512" s="5" t="str">
        <f>IFERROR(__xludf.DUMMYFUNCTION("IF(A7512="""","""",INDEX(SPLIT(A7512,"" ""),COUNTA(SPLIT(A7512,"" ""))))"),"Catania")</f>
        <v>Catania</v>
      </c>
      <c r="C7512" s="6" t="s">
        <v>7598</v>
      </c>
      <c r="D7512" s="6"/>
      <c r="E7512" s="7" t="s">
        <v>7599</v>
      </c>
    </row>
    <row r="7513">
      <c r="A7513" s="4" t="s">
        <v>7623</v>
      </c>
      <c r="B7513" s="5" t="str">
        <f>IFERROR(__xludf.DUMMYFUNCTION("IF(A7513="""","""",INDEX(SPLIT(A7513,"" ""),COUNTA(SPLIT(A7513,"" ""))))"),"Milo")</f>
        <v>Milo</v>
      </c>
      <c r="C7513" s="6" t="s">
        <v>7598</v>
      </c>
      <c r="D7513" s="6"/>
      <c r="E7513" s="7" t="s">
        <v>7599</v>
      </c>
    </row>
    <row r="7514">
      <c r="A7514" s="4" t="s">
        <v>7624</v>
      </c>
      <c r="B7514" s="5" t="str">
        <f>IFERROR(__xludf.DUMMYFUNCTION("IF(A7514="""","""",INDEX(SPLIT(A7514,"" ""),COUNTA(SPLIT(A7514,"" ""))))"),"Mineo")</f>
        <v>Mineo</v>
      </c>
      <c r="C7514" s="6" t="s">
        <v>7598</v>
      </c>
      <c r="D7514" s="6"/>
      <c r="E7514" s="7" t="s">
        <v>7599</v>
      </c>
    </row>
    <row r="7515">
      <c r="A7515" s="4" t="s">
        <v>7625</v>
      </c>
      <c r="B7515" s="5" t="str">
        <f>IFERROR(__xludf.DUMMYFUNCTION("IF(A7515="""","""",INDEX(SPLIT(A7515,"" ""),COUNTA(SPLIT(A7515,"" ""))))"),"Imbaccari")</f>
        <v>Imbaccari</v>
      </c>
      <c r="C7515" s="6" t="s">
        <v>7598</v>
      </c>
      <c r="D7515" s="6"/>
      <c r="E7515" s="7" t="s">
        <v>7599</v>
      </c>
    </row>
    <row r="7516">
      <c r="A7516" s="4" t="s">
        <v>7626</v>
      </c>
      <c r="B7516" s="5" t="str">
        <f>IFERROR(__xludf.DUMMYFUNCTION("IF(A7516="""","""",INDEX(SPLIT(A7516,"" ""),COUNTA(SPLIT(A7516,"" ""))))"),"Misterbianco")</f>
        <v>Misterbianco</v>
      </c>
      <c r="C7516" s="6" t="s">
        <v>7598</v>
      </c>
      <c r="D7516" s="6"/>
      <c r="E7516" s="7" t="s">
        <v>7599</v>
      </c>
    </row>
    <row r="7517">
      <c r="A7517" s="4" t="s">
        <v>7627</v>
      </c>
      <c r="B7517" s="5" t="str">
        <f>IFERROR(__xludf.DUMMYFUNCTION("IF(A7517="""","""",INDEX(SPLIT(A7517,"" ""),COUNTA(SPLIT(A7517,"" ""))))"),"Sant'Anastasia")</f>
        <v>Sant'Anastasia</v>
      </c>
      <c r="C7517" s="6" t="s">
        <v>7598</v>
      </c>
      <c r="D7517" s="6"/>
      <c r="E7517" s="7" t="s">
        <v>7599</v>
      </c>
    </row>
    <row r="7518">
      <c r="A7518" s="4" t="s">
        <v>7628</v>
      </c>
      <c r="B7518" s="5" t="str">
        <f>IFERROR(__xludf.DUMMYFUNCTION("IF(A7518="""","""",INDEX(SPLIT(A7518,"" ""),COUNTA(SPLIT(A7518,"" ""))))"),"Nicolosi")</f>
        <v>Nicolosi</v>
      </c>
      <c r="C7518" s="6" t="s">
        <v>7598</v>
      </c>
      <c r="D7518" s="6"/>
      <c r="E7518" s="7" t="s">
        <v>7599</v>
      </c>
    </row>
    <row r="7519">
      <c r="A7519" s="4" t="s">
        <v>7629</v>
      </c>
      <c r="B7519" s="5" t="str">
        <f>IFERROR(__xludf.DUMMYFUNCTION("IF(A7519="""","""",INDEX(SPLIT(A7519,"" ""),COUNTA(SPLIT(A7519,"" ""))))"),"Palagonia")</f>
        <v>Palagonia</v>
      </c>
      <c r="C7519" s="6" t="s">
        <v>7598</v>
      </c>
      <c r="D7519" s="6"/>
      <c r="E7519" s="7" t="s">
        <v>7599</v>
      </c>
    </row>
    <row r="7520">
      <c r="A7520" s="4" t="s">
        <v>7630</v>
      </c>
      <c r="B7520" s="5" t="str">
        <f>IFERROR(__xludf.DUMMYFUNCTION("IF(A7520="""","""",INDEX(SPLIT(A7520,"" ""),COUNTA(SPLIT(A7520,"" ""))))"),"Paternò")</f>
        <v>Paternò</v>
      </c>
      <c r="C7520" s="6" t="s">
        <v>7598</v>
      </c>
      <c r="D7520" s="6"/>
      <c r="E7520" s="7" t="s">
        <v>7599</v>
      </c>
    </row>
    <row r="7521">
      <c r="A7521" s="4" t="s">
        <v>7631</v>
      </c>
      <c r="B7521" s="5" t="str">
        <f>IFERROR(__xludf.DUMMYFUNCTION("IF(A7521="""","""",INDEX(SPLIT(A7521,"" ""),COUNTA(SPLIT(A7521,"" ""))))"),"Pedara")</f>
        <v>Pedara</v>
      </c>
      <c r="C7521" s="6" t="s">
        <v>7598</v>
      </c>
      <c r="D7521" s="6"/>
      <c r="E7521" s="7" t="s">
        <v>7599</v>
      </c>
    </row>
    <row r="7522">
      <c r="A7522" s="4" t="s">
        <v>7632</v>
      </c>
      <c r="B7522" s="5" t="str">
        <f>IFERROR(__xludf.DUMMYFUNCTION("IF(A7522="""","""",INDEX(SPLIT(A7522,"" ""),COUNTA(SPLIT(A7522,"" ""))))"),"Etneo")</f>
        <v>Etneo</v>
      </c>
      <c r="C7522" s="6" t="s">
        <v>7598</v>
      </c>
      <c r="D7522" s="6"/>
      <c r="E7522" s="7" t="s">
        <v>7599</v>
      </c>
    </row>
    <row r="7523">
      <c r="A7523" s="4" t="s">
        <v>7633</v>
      </c>
      <c r="B7523" s="5" t="str">
        <f>IFERROR(__xludf.DUMMYFUNCTION("IF(A7523="""","""",INDEX(SPLIT(A7523,"" ""),COUNTA(SPLIT(A7523,"" ""))))"),"Raddusa")</f>
        <v>Raddusa</v>
      </c>
      <c r="C7523" s="6" t="s">
        <v>7598</v>
      </c>
      <c r="D7523" s="6"/>
      <c r="E7523" s="7" t="s">
        <v>7599</v>
      </c>
    </row>
    <row r="7524">
      <c r="A7524" s="4" t="s">
        <v>7634</v>
      </c>
      <c r="B7524" s="5" t="str">
        <f>IFERROR(__xludf.DUMMYFUNCTION("IF(A7524="""","""",INDEX(SPLIT(A7524,"" ""),COUNTA(SPLIT(A7524,"" ""))))"),"Ramacca")</f>
        <v>Ramacca</v>
      </c>
      <c r="C7524" s="6" t="s">
        <v>7598</v>
      </c>
      <c r="D7524" s="6"/>
      <c r="E7524" s="7" t="s">
        <v>7599</v>
      </c>
    </row>
    <row r="7525">
      <c r="A7525" s="4" t="s">
        <v>7635</v>
      </c>
      <c r="B7525" s="5" t="str">
        <f>IFERROR(__xludf.DUMMYFUNCTION("IF(A7525="""","""",INDEX(SPLIT(A7525,"" ""),COUNTA(SPLIT(A7525,"" ""))))"),"Randazzo")</f>
        <v>Randazzo</v>
      </c>
      <c r="C7525" s="6" t="s">
        <v>7598</v>
      </c>
      <c r="D7525" s="6"/>
      <c r="E7525" s="7" t="s">
        <v>7599</v>
      </c>
    </row>
    <row r="7526">
      <c r="A7526" s="4" t="s">
        <v>7636</v>
      </c>
      <c r="B7526" s="5" t="str">
        <f>IFERROR(__xludf.DUMMYFUNCTION("IF(A7526="""","""",INDEX(SPLIT(A7526,"" ""),COUNTA(SPLIT(A7526,"" ""))))"),"Riposto")</f>
        <v>Riposto</v>
      </c>
      <c r="C7526" s="6" t="s">
        <v>7598</v>
      </c>
      <c r="D7526" s="6"/>
      <c r="E7526" s="7" t="s">
        <v>7599</v>
      </c>
    </row>
    <row r="7527">
      <c r="A7527" s="4" t="s">
        <v>7637</v>
      </c>
      <c r="B7527" s="5" t="str">
        <f>IFERROR(__xludf.DUMMYFUNCTION("IF(A7527="""","""",INDEX(SPLIT(A7527,"" ""),COUNTA(SPLIT(A7527,"" ""))))"),"Cono")</f>
        <v>Cono</v>
      </c>
      <c r="C7527" s="6" t="s">
        <v>7598</v>
      </c>
      <c r="D7527" s="6"/>
      <c r="E7527" s="7" t="s">
        <v>7599</v>
      </c>
    </row>
    <row r="7528">
      <c r="A7528" s="4" t="s">
        <v>7638</v>
      </c>
      <c r="B7528" s="5" t="str">
        <f>IFERROR(__xludf.DUMMYFUNCTION("IF(A7528="""","""",INDEX(SPLIT(A7528,"" ""),COUNTA(SPLIT(A7528,"" ""))))"),"Punta")</f>
        <v>Punta</v>
      </c>
      <c r="C7528" s="6" t="s">
        <v>7598</v>
      </c>
      <c r="D7528" s="6"/>
      <c r="E7528" s="7" t="s">
        <v>7599</v>
      </c>
    </row>
    <row r="7529">
      <c r="A7529" s="4" t="s">
        <v>7639</v>
      </c>
      <c r="B7529" s="5" t="str">
        <f>IFERROR(__xludf.DUMMYFUNCTION("IF(A7529="""","""",INDEX(SPLIT(A7529,"" ""),COUNTA(SPLIT(A7529,"" ""))))"),"Catania")</f>
        <v>Catania</v>
      </c>
      <c r="C7529" s="6" t="s">
        <v>7598</v>
      </c>
      <c r="D7529" s="6"/>
      <c r="E7529" s="7" t="s">
        <v>7599</v>
      </c>
    </row>
    <row r="7530">
      <c r="A7530" s="4" t="s">
        <v>7640</v>
      </c>
      <c r="B7530" s="5" t="str">
        <f>IFERROR(__xludf.DUMMYFUNCTION("IF(A7530="""","""",INDEX(SPLIT(A7530,"" ""),COUNTA(SPLIT(A7530,"" ""))))"),"Ganzaria")</f>
        <v>Ganzaria</v>
      </c>
      <c r="C7530" s="6" t="s">
        <v>7598</v>
      </c>
      <c r="D7530" s="6"/>
      <c r="E7530" s="7" t="s">
        <v>7599</v>
      </c>
    </row>
    <row r="7531">
      <c r="A7531" s="4" t="s">
        <v>7641</v>
      </c>
      <c r="B7531" s="5" t="str">
        <f>IFERROR(__xludf.DUMMYFUNCTION("IF(A7531="""","""",INDEX(SPLIT(A7531,"" ""),COUNTA(SPLIT(A7531,"" ""))))"),"Clarenza")</f>
        <v>Clarenza</v>
      </c>
      <c r="C7531" s="6" t="s">
        <v>7598</v>
      </c>
      <c r="D7531" s="6"/>
      <c r="E7531" s="7" t="s">
        <v>7599</v>
      </c>
    </row>
    <row r="7532">
      <c r="A7532" s="4" t="s">
        <v>7642</v>
      </c>
      <c r="B7532" s="5" t="str">
        <f>IFERROR(__xludf.DUMMYFUNCTION("IF(A7532="""","""",INDEX(SPLIT(A7532,"" ""),COUNTA(SPLIT(A7532,"" ""))))"),"Battiati")</f>
        <v>Battiati</v>
      </c>
      <c r="C7532" s="6" t="s">
        <v>7598</v>
      </c>
      <c r="D7532" s="6"/>
      <c r="E7532" s="7" t="s">
        <v>7599</v>
      </c>
    </row>
    <row r="7533">
      <c r="A7533" s="4" t="s">
        <v>7643</v>
      </c>
      <c r="B7533" s="5" t="str">
        <f>IFERROR(__xludf.DUMMYFUNCTION("IF(A7533="""","""",INDEX(SPLIT(A7533,"" ""),COUNTA(SPLIT(A7533,"" ""))))"),"Sant'Alfio")</f>
        <v>Sant'Alfio</v>
      </c>
      <c r="C7533" s="6" t="s">
        <v>7598</v>
      </c>
      <c r="D7533" s="6"/>
      <c r="E7533" s="7" t="s">
        <v>7599</v>
      </c>
    </row>
    <row r="7534">
      <c r="A7534" s="4" t="s">
        <v>7644</v>
      </c>
      <c r="B7534" s="5" t="str">
        <f>IFERROR(__xludf.DUMMYFUNCTION("IF(A7534="""","""",INDEX(SPLIT(A7534,"" ""),COUNTA(SPLIT(A7534,"" ""))))"),"Licodia")</f>
        <v>Licodia</v>
      </c>
      <c r="C7534" s="6" t="s">
        <v>7598</v>
      </c>
      <c r="D7534" s="6"/>
      <c r="E7534" s="7" t="s">
        <v>7599</v>
      </c>
    </row>
    <row r="7535">
      <c r="A7535" s="4" t="s">
        <v>7645</v>
      </c>
      <c r="B7535" s="5" t="str">
        <f>IFERROR(__xludf.DUMMYFUNCTION("IF(A7535="""","""",INDEX(SPLIT(A7535,"" ""),COUNTA(SPLIT(A7535,"" ""))))"),"Venerina")</f>
        <v>Venerina</v>
      </c>
      <c r="C7535" s="6" t="s">
        <v>7598</v>
      </c>
      <c r="D7535" s="6"/>
      <c r="E7535" s="7" t="s">
        <v>7599</v>
      </c>
    </row>
    <row r="7536">
      <c r="A7536" s="4" t="s">
        <v>7646</v>
      </c>
      <c r="B7536" s="5" t="str">
        <f>IFERROR(__xludf.DUMMYFUNCTION("IF(A7536="""","""",INDEX(SPLIT(A7536,"" ""),COUNTA(SPLIT(A7536,"" ""))))"),"Scordia")</f>
        <v>Scordia</v>
      </c>
      <c r="C7536" s="6" t="s">
        <v>7598</v>
      </c>
      <c r="D7536" s="6"/>
      <c r="E7536" s="7" t="s">
        <v>7599</v>
      </c>
    </row>
    <row r="7537">
      <c r="A7537" s="4" t="s">
        <v>7647</v>
      </c>
      <c r="B7537" s="5" t="str">
        <f>IFERROR(__xludf.DUMMYFUNCTION("IF(A7537="""","""",INDEX(SPLIT(A7537,"" ""),COUNTA(SPLIT(A7537,"" ""))))"),"Trecastagni")</f>
        <v>Trecastagni</v>
      </c>
      <c r="C7537" s="6" t="s">
        <v>7598</v>
      </c>
      <c r="D7537" s="6"/>
      <c r="E7537" s="7" t="s">
        <v>7599</v>
      </c>
    </row>
    <row r="7538">
      <c r="A7538" s="4" t="s">
        <v>7648</v>
      </c>
      <c r="B7538" s="5" t="str">
        <f>IFERROR(__xludf.DUMMYFUNCTION("IF(A7538="""","""",INDEX(SPLIT(A7538,"" ""),COUNTA(SPLIT(A7538,"" ""))))"),"Etneo")</f>
        <v>Etneo</v>
      </c>
      <c r="C7538" s="6" t="s">
        <v>7598</v>
      </c>
      <c r="D7538" s="6"/>
      <c r="E7538" s="7" t="s">
        <v>7599</v>
      </c>
    </row>
    <row r="7539">
      <c r="A7539" s="4" t="s">
        <v>2404</v>
      </c>
      <c r="B7539" s="5" t="str">
        <f>IFERROR(__xludf.DUMMYFUNCTION("IF(A7539="""","""",INDEX(SPLIT(A7539,"" ""),COUNTA(SPLIT(A7539,"" ""))))"),"Valverde")</f>
        <v>Valverde</v>
      </c>
      <c r="C7539" s="6" t="s">
        <v>7598</v>
      </c>
      <c r="D7539" s="6"/>
      <c r="E7539" s="7" t="s">
        <v>7599</v>
      </c>
    </row>
    <row r="7540">
      <c r="A7540" s="4" t="s">
        <v>7649</v>
      </c>
      <c r="B7540" s="5" t="str">
        <f>IFERROR(__xludf.DUMMYFUNCTION("IF(A7540="""","""",INDEX(SPLIT(A7540,"" ""),COUNTA(SPLIT(A7540,"" ""))))"),"Viagrande")</f>
        <v>Viagrande</v>
      </c>
      <c r="C7540" s="6" t="s">
        <v>7598</v>
      </c>
      <c r="D7540" s="6"/>
      <c r="E7540" s="7" t="s">
        <v>7599</v>
      </c>
    </row>
    <row r="7541">
      <c r="A7541" s="4" t="s">
        <v>7650</v>
      </c>
      <c r="B7541" s="5" t="str">
        <f>IFERROR(__xludf.DUMMYFUNCTION("IF(A7541="""","""",INDEX(SPLIT(A7541,"" ""),COUNTA(SPLIT(A7541,"" ""))))"),"Vizzini")</f>
        <v>Vizzini</v>
      </c>
      <c r="C7541" s="6" t="s">
        <v>7598</v>
      </c>
      <c r="D7541" s="6"/>
      <c r="E7541" s="7" t="s">
        <v>7599</v>
      </c>
    </row>
    <row r="7542">
      <c r="A7542" s="4" t="s">
        <v>7651</v>
      </c>
      <c r="B7542" s="5" t="str">
        <f>IFERROR(__xludf.DUMMYFUNCTION("IF(A7542="""","""",INDEX(SPLIT(A7542,"" ""),COUNTA(SPLIT(A7542,"" ""))))"),"Etnea")</f>
        <v>Etnea</v>
      </c>
      <c r="C7542" s="6" t="s">
        <v>7598</v>
      </c>
      <c r="D7542" s="6"/>
      <c r="E7542" s="7" t="s">
        <v>7599</v>
      </c>
    </row>
    <row r="7543">
      <c r="A7543" s="4" t="s">
        <v>7652</v>
      </c>
      <c r="B7543" s="5" t="str">
        <f>IFERROR(__xludf.DUMMYFUNCTION("IF(A7543="""","""",INDEX(SPLIT(A7543,"" ""),COUNTA(SPLIT(A7543,"" ""))))"),"Mazzarrone")</f>
        <v>Mazzarrone</v>
      </c>
      <c r="C7543" s="6" t="s">
        <v>7598</v>
      </c>
      <c r="D7543" s="6"/>
      <c r="E7543" s="7" t="s">
        <v>7599</v>
      </c>
    </row>
    <row r="7544">
      <c r="A7544" s="4" t="s">
        <v>7653</v>
      </c>
      <c r="B7544" s="5" t="str">
        <f>IFERROR(__xludf.DUMMYFUNCTION("IF(A7544="""","""",INDEX(SPLIT(A7544,"" ""),COUNTA(SPLIT(A7544,"" ""))))"),"Maniace")</f>
        <v>Maniace</v>
      </c>
      <c r="C7544" s="6" t="s">
        <v>7598</v>
      </c>
      <c r="D7544" s="6"/>
      <c r="E7544" s="7" t="s">
        <v>7599</v>
      </c>
    </row>
    <row r="7545">
      <c r="A7545" s="4" t="s">
        <v>7654</v>
      </c>
      <c r="B7545" s="5" t="str">
        <f>IFERROR(__xludf.DUMMYFUNCTION("IF(A7545="""","""",INDEX(SPLIT(A7545,"" ""),COUNTA(SPLIT(A7545,"" ""))))"),"Ragalna")</f>
        <v>Ragalna</v>
      </c>
      <c r="C7545" s="6" t="s">
        <v>7598</v>
      </c>
      <c r="D7545" s="6"/>
      <c r="E7545" s="7" t="s">
        <v>7599</v>
      </c>
    </row>
    <row r="7546">
      <c r="A7546" s="4" t="s">
        <v>7655</v>
      </c>
      <c r="B7546" s="5" t="str">
        <f>IFERROR(__xludf.DUMMYFUNCTION("IF(A7546="""","""",INDEX(SPLIT(A7546,"" ""),COUNTA(SPLIT(A7546,"" ""))))"),"Acate")</f>
        <v>Acate</v>
      </c>
      <c r="C7546" s="6"/>
      <c r="D7546" s="6" t="s">
        <v>7656</v>
      </c>
      <c r="E7546" s="7" t="s">
        <v>7657</v>
      </c>
    </row>
    <row r="7547">
      <c r="A7547" s="4" t="s">
        <v>7658</v>
      </c>
      <c r="B7547" s="5" t="str">
        <f>IFERROR(__xludf.DUMMYFUNCTION("IF(A7547="""","""",INDEX(SPLIT(A7547,"" ""),COUNTA(SPLIT(A7547,"" ""))))"),"Gulfi")</f>
        <v>Gulfi</v>
      </c>
      <c r="C7547" s="6"/>
      <c r="D7547" s="6" t="s">
        <v>7656</v>
      </c>
      <c r="E7547" s="7" t="s">
        <v>7657</v>
      </c>
    </row>
    <row r="7548">
      <c r="A7548" s="4" t="s">
        <v>7659</v>
      </c>
      <c r="B7548" s="5" t="str">
        <f>IFERROR(__xludf.DUMMYFUNCTION("IF(A7548="""","""",INDEX(SPLIT(A7548,"" ""),COUNTA(SPLIT(A7548,"" ""))))"),"Comiso")</f>
        <v>Comiso</v>
      </c>
      <c r="C7548" s="6"/>
      <c r="D7548" s="6" t="s">
        <v>7656</v>
      </c>
      <c r="E7548" s="7" t="s">
        <v>7657</v>
      </c>
    </row>
    <row r="7549">
      <c r="A7549" s="4" t="s">
        <v>7660</v>
      </c>
      <c r="B7549" s="5" t="str">
        <f>IFERROR(__xludf.DUMMYFUNCTION("IF(A7549="""","""",INDEX(SPLIT(A7549,"" ""),COUNTA(SPLIT(A7549,"" ""))))"),"Giarratana")</f>
        <v>Giarratana</v>
      </c>
      <c r="C7549" s="6"/>
      <c r="D7549" s="6" t="s">
        <v>7656</v>
      </c>
      <c r="E7549" s="7" t="s">
        <v>7657</v>
      </c>
    </row>
    <row r="7550">
      <c r="A7550" s="4" t="s">
        <v>7661</v>
      </c>
      <c r="B7550" s="5" t="str">
        <f>IFERROR(__xludf.DUMMYFUNCTION("IF(A7550="""","""",INDEX(SPLIT(A7550,"" ""),COUNTA(SPLIT(A7550,"" ""))))"),"Ispica")</f>
        <v>Ispica</v>
      </c>
      <c r="C7550" s="6"/>
      <c r="D7550" s="6" t="s">
        <v>7656</v>
      </c>
      <c r="E7550" s="7" t="s">
        <v>7657</v>
      </c>
    </row>
    <row r="7551">
      <c r="A7551" s="4" t="s">
        <v>7662</v>
      </c>
      <c r="B7551" s="5" t="str">
        <f>IFERROR(__xludf.DUMMYFUNCTION("IF(A7551="""","""",INDEX(SPLIT(A7551,"" ""),COUNTA(SPLIT(A7551,"" ""))))"),"Modica")</f>
        <v>Modica</v>
      </c>
      <c r="C7551" s="6"/>
      <c r="D7551" s="6" t="s">
        <v>7656</v>
      </c>
      <c r="E7551" s="7" t="s">
        <v>7657</v>
      </c>
    </row>
    <row r="7552">
      <c r="A7552" s="4" t="s">
        <v>7663</v>
      </c>
      <c r="B7552" s="5" t="str">
        <f>IFERROR(__xludf.DUMMYFUNCTION("IF(A7552="""","""",INDEX(SPLIT(A7552,"" ""),COUNTA(SPLIT(A7552,"" ""))))"),"Almo")</f>
        <v>Almo</v>
      </c>
      <c r="C7552" s="6"/>
      <c r="D7552" s="6" t="s">
        <v>7656</v>
      </c>
      <c r="E7552" s="7" t="s">
        <v>7657</v>
      </c>
    </row>
    <row r="7553">
      <c r="A7553" s="4" t="s">
        <v>7664</v>
      </c>
      <c r="B7553" s="5" t="str">
        <f>IFERROR(__xludf.DUMMYFUNCTION("IF(A7553="""","""",INDEX(SPLIT(A7553,"" ""),COUNTA(SPLIT(A7553,"" ""))))"),"Pozzallo")</f>
        <v>Pozzallo</v>
      </c>
      <c r="C7553" s="6"/>
      <c r="D7553" s="6" t="s">
        <v>7656</v>
      </c>
      <c r="E7553" s="7" t="s">
        <v>7657</v>
      </c>
    </row>
    <row r="7554">
      <c r="A7554" s="4" t="s">
        <v>7656</v>
      </c>
      <c r="B7554" s="5" t="str">
        <f>IFERROR(__xludf.DUMMYFUNCTION("IF(A7554="""","""",INDEX(SPLIT(A7554,"" ""),COUNTA(SPLIT(A7554,"" ""))))"),"Ragusa")</f>
        <v>Ragusa</v>
      </c>
      <c r="C7554" s="6"/>
      <c r="D7554" s="6" t="s">
        <v>7656</v>
      </c>
      <c r="E7554" s="7" t="s">
        <v>7657</v>
      </c>
    </row>
    <row r="7555">
      <c r="A7555" s="4" t="s">
        <v>7665</v>
      </c>
      <c r="B7555" s="5" t="str">
        <f>IFERROR(__xludf.DUMMYFUNCTION("IF(A7555="""","""",INDEX(SPLIT(A7555,"" ""),COUNTA(SPLIT(A7555,"" ""))))"),"Camerina")</f>
        <v>Camerina</v>
      </c>
      <c r="C7555" s="6"/>
      <c r="D7555" s="6" t="s">
        <v>7656</v>
      </c>
      <c r="E7555" s="7" t="s">
        <v>7657</v>
      </c>
    </row>
    <row r="7556">
      <c r="A7556" s="4" t="s">
        <v>7666</v>
      </c>
      <c r="B7556" s="5" t="str">
        <f>IFERROR(__xludf.DUMMYFUNCTION("IF(A7556="""","""",INDEX(SPLIT(A7556,"" ""),COUNTA(SPLIT(A7556,"" ""))))"),"Scicli")</f>
        <v>Scicli</v>
      </c>
      <c r="C7556" s="6"/>
      <c r="D7556" s="6" t="s">
        <v>7656</v>
      </c>
      <c r="E7556" s="7" t="s">
        <v>7657</v>
      </c>
    </row>
    <row r="7557">
      <c r="A7557" s="4" t="s">
        <v>7667</v>
      </c>
      <c r="B7557" s="5" t="str">
        <f>IFERROR(__xludf.DUMMYFUNCTION("IF(A7557="""","""",INDEX(SPLIT(A7557,"" ""),COUNTA(SPLIT(A7557,"" ""))))"),"Vittoria")</f>
        <v>Vittoria</v>
      </c>
      <c r="C7557" s="6"/>
      <c r="D7557" s="6" t="s">
        <v>7656</v>
      </c>
      <c r="E7557" s="7" t="s">
        <v>7657</v>
      </c>
    </row>
    <row r="7558">
      <c r="A7558" s="4" t="s">
        <v>7668</v>
      </c>
      <c r="B7558" s="5" t="str">
        <f>IFERROR(__xludf.DUMMYFUNCTION("IF(A7558="""","""",INDEX(SPLIT(A7558,"" ""),COUNTA(SPLIT(A7558,"" ""))))"),"Augusta")</f>
        <v>Augusta</v>
      </c>
      <c r="C7558" s="6"/>
      <c r="D7558" s="6" t="s">
        <v>7669</v>
      </c>
      <c r="E7558" s="7" t="s">
        <v>7670</v>
      </c>
    </row>
    <row r="7559">
      <c r="A7559" s="4" t="s">
        <v>7671</v>
      </c>
      <c r="B7559" s="5" t="str">
        <f>IFERROR(__xludf.DUMMYFUNCTION("IF(A7559="""","""",INDEX(SPLIT(A7559,"" ""),COUNTA(SPLIT(A7559,"" ""))))"),"Avola")</f>
        <v>Avola</v>
      </c>
      <c r="C7559" s="6"/>
      <c r="D7559" s="6" t="s">
        <v>7669</v>
      </c>
      <c r="E7559" s="7" t="s">
        <v>7670</v>
      </c>
    </row>
    <row r="7560">
      <c r="A7560" s="4" t="s">
        <v>7672</v>
      </c>
      <c r="B7560" s="5" t="str">
        <f>IFERROR(__xludf.DUMMYFUNCTION("IF(A7560="""","""",INDEX(SPLIT(A7560,"" ""),COUNTA(SPLIT(A7560,"" ""))))"),"Buccheri")</f>
        <v>Buccheri</v>
      </c>
      <c r="C7560" s="6"/>
      <c r="D7560" s="6" t="s">
        <v>7669</v>
      </c>
      <c r="E7560" s="7" t="s">
        <v>7670</v>
      </c>
    </row>
    <row r="7561">
      <c r="A7561" s="4" t="s">
        <v>7673</v>
      </c>
      <c r="B7561" s="5" t="str">
        <f>IFERROR(__xludf.DUMMYFUNCTION("IF(A7561="""","""",INDEX(SPLIT(A7561,"" ""),COUNTA(SPLIT(A7561,"" ""))))"),"Buscemi")</f>
        <v>Buscemi</v>
      </c>
      <c r="C7561" s="6"/>
      <c r="D7561" s="6" t="s">
        <v>7669</v>
      </c>
      <c r="E7561" s="7" t="s">
        <v>7670</v>
      </c>
    </row>
    <row r="7562">
      <c r="A7562" s="4" t="s">
        <v>7674</v>
      </c>
      <c r="B7562" s="5" t="str">
        <f>IFERROR(__xludf.DUMMYFUNCTION("IF(A7562="""","""",INDEX(SPLIT(A7562,"" ""),COUNTA(SPLIT(A7562,"" ""))))"),"Bagni")</f>
        <v>Bagni</v>
      </c>
      <c r="C7562" s="6"/>
      <c r="D7562" s="6" t="s">
        <v>7669</v>
      </c>
      <c r="E7562" s="7" t="s">
        <v>7670</v>
      </c>
    </row>
    <row r="7563">
      <c r="A7563" s="4" t="s">
        <v>7675</v>
      </c>
      <c r="B7563" s="5" t="str">
        <f>IFERROR(__xludf.DUMMYFUNCTION("IF(A7563="""","""",INDEX(SPLIT(A7563,"" ""),COUNTA(SPLIT(A7563,"" ""))))"),"Carlentini")</f>
        <v>Carlentini</v>
      </c>
      <c r="C7563" s="6"/>
      <c r="D7563" s="6" t="s">
        <v>7669</v>
      </c>
      <c r="E7563" s="7" t="s">
        <v>7670</v>
      </c>
    </row>
    <row r="7564">
      <c r="A7564" s="4" t="s">
        <v>7676</v>
      </c>
      <c r="B7564" s="5" t="str">
        <f>IFERROR(__xludf.DUMMYFUNCTION("IF(A7564="""","""",INDEX(SPLIT(A7564,"" ""),COUNTA(SPLIT(A7564,"" ""))))"),"Cassaro")</f>
        <v>Cassaro</v>
      </c>
      <c r="C7564" s="6"/>
      <c r="D7564" s="6" t="s">
        <v>7669</v>
      </c>
      <c r="E7564" s="7" t="s">
        <v>7670</v>
      </c>
    </row>
    <row r="7565">
      <c r="A7565" s="4" t="s">
        <v>7677</v>
      </c>
      <c r="B7565" s="5" t="str">
        <f>IFERROR(__xludf.DUMMYFUNCTION("IF(A7565="""","""",INDEX(SPLIT(A7565,"" ""),COUNTA(SPLIT(A7565,"" ""))))"),"Ferla")</f>
        <v>Ferla</v>
      </c>
      <c r="C7565" s="6"/>
      <c r="D7565" s="6" t="s">
        <v>7669</v>
      </c>
      <c r="E7565" s="7" t="s">
        <v>7670</v>
      </c>
    </row>
    <row r="7566">
      <c r="A7566" s="4" t="s">
        <v>7678</v>
      </c>
      <c r="B7566" s="5" t="str">
        <f>IFERROR(__xludf.DUMMYFUNCTION("IF(A7566="""","""",INDEX(SPLIT(A7566,"" ""),COUNTA(SPLIT(A7566,"" ""))))"),"Floridia")</f>
        <v>Floridia</v>
      </c>
      <c r="C7566" s="6"/>
      <c r="D7566" s="6" t="s">
        <v>7669</v>
      </c>
      <c r="E7566" s="7" t="s">
        <v>7670</v>
      </c>
    </row>
    <row r="7567">
      <c r="A7567" s="4" t="s">
        <v>7679</v>
      </c>
      <c r="B7567" s="5" t="str">
        <f>IFERROR(__xludf.DUMMYFUNCTION("IF(A7567="""","""",INDEX(SPLIT(A7567,"" ""),COUNTA(SPLIT(A7567,"" ""))))"),"Francofonte")</f>
        <v>Francofonte</v>
      </c>
      <c r="C7567" s="6"/>
      <c r="D7567" s="6" t="s">
        <v>7669</v>
      </c>
      <c r="E7567" s="7" t="s">
        <v>7670</v>
      </c>
    </row>
    <row r="7568">
      <c r="A7568" s="4" t="s">
        <v>7680</v>
      </c>
      <c r="B7568" s="5" t="str">
        <f>IFERROR(__xludf.DUMMYFUNCTION("IF(A7568="""","""",INDEX(SPLIT(A7568,"" ""),COUNTA(SPLIT(A7568,"" ""))))"),"Lentini")</f>
        <v>Lentini</v>
      </c>
      <c r="C7568" s="6"/>
      <c r="D7568" s="6" t="s">
        <v>7669</v>
      </c>
      <c r="E7568" s="7" t="s">
        <v>7670</v>
      </c>
    </row>
    <row r="7569">
      <c r="A7569" s="4" t="s">
        <v>7681</v>
      </c>
      <c r="B7569" s="5" t="str">
        <f>IFERROR(__xludf.DUMMYFUNCTION("IF(A7569="""","""",INDEX(SPLIT(A7569,"" ""),COUNTA(SPLIT(A7569,"" ""))))"),"Melilli")</f>
        <v>Melilli</v>
      </c>
      <c r="C7569" s="6"/>
      <c r="D7569" s="6" t="s">
        <v>7669</v>
      </c>
      <c r="E7569" s="7" t="s">
        <v>7670</v>
      </c>
    </row>
    <row r="7570">
      <c r="A7570" s="4" t="s">
        <v>7682</v>
      </c>
      <c r="B7570" s="5" t="str">
        <f>IFERROR(__xludf.DUMMYFUNCTION("IF(A7570="""","""",INDEX(SPLIT(A7570,"" ""),COUNTA(SPLIT(A7570,"" ""))))"),"Noto")</f>
        <v>Noto</v>
      </c>
      <c r="C7570" s="6"/>
      <c r="D7570" s="6" t="s">
        <v>7669</v>
      </c>
      <c r="E7570" s="7" t="s">
        <v>7670</v>
      </c>
    </row>
    <row r="7571">
      <c r="A7571" s="4" t="s">
        <v>7683</v>
      </c>
      <c r="B7571" s="5" t="str">
        <f>IFERROR(__xludf.DUMMYFUNCTION("IF(A7571="""","""",INDEX(SPLIT(A7571,"" ""),COUNTA(SPLIT(A7571,"" ""))))"),"Pachino")</f>
        <v>Pachino</v>
      </c>
      <c r="C7571" s="6"/>
      <c r="D7571" s="6" t="s">
        <v>7669</v>
      </c>
      <c r="E7571" s="7" t="s">
        <v>7670</v>
      </c>
    </row>
    <row r="7572">
      <c r="A7572" s="4" t="s">
        <v>7684</v>
      </c>
      <c r="B7572" s="5" t="str">
        <f>IFERROR(__xludf.DUMMYFUNCTION("IF(A7572="""","""",INDEX(SPLIT(A7572,"" ""),COUNTA(SPLIT(A7572,"" ""))))"),"Acreide")</f>
        <v>Acreide</v>
      </c>
      <c r="C7572" s="6"/>
      <c r="D7572" s="6" t="s">
        <v>7669</v>
      </c>
      <c r="E7572" s="7" t="s">
        <v>7670</v>
      </c>
    </row>
    <row r="7573">
      <c r="A7573" s="4" t="s">
        <v>7685</v>
      </c>
      <c r="B7573" s="5" t="str">
        <f>IFERROR(__xludf.DUMMYFUNCTION("IF(A7573="""","""",INDEX(SPLIT(A7573,"" ""),COUNTA(SPLIT(A7573,"" ""))))"),"Rosolini")</f>
        <v>Rosolini</v>
      </c>
      <c r="C7573" s="6"/>
      <c r="D7573" s="6" t="s">
        <v>7669</v>
      </c>
      <c r="E7573" s="7" t="s">
        <v>7670</v>
      </c>
    </row>
    <row r="7574">
      <c r="A7574" s="4" t="s">
        <v>7669</v>
      </c>
      <c r="B7574" s="5" t="str">
        <f>IFERROR(__xludf.DUMMYFUNCTION("IF(A7574="""","""",INDEX(SPLIT(A7574,"" ""),COUNTA(SPLIT(A7574,"" ""))))"),"Siracusa")</f>
        <v>Siracusa</v>
      </c>
      <c r="C7574" s="6"/>
      <c r="D7574" s="6" t="s">
        <v>7669</v>
      </c>
      <c r="E7574" s="7" t="s">
        <v>7670</v>
      </c>
    </row>
    <row r="7575">
      <c r="A7575" s="4" t="s">
        <v>7686</v>
      </c>
      <c r="B7575" s="5" t="str">
        <f>IFERROR(__xludf.DUMMYFUNCTION("IF(A7575="""","""",INDEX(SPLIT(A7575,"" ""),COUNTA(SPLIT(A7575,"" ""))))"),"Solarino")</f>
        <v>Solarino</v>
      </c>
      <c r="C7575" s="6"/>
      <c r="D7575" s="6" t="s">
        <v>7669</v>
      </c>
      <c r="E7575" s="7" t="s">
        <v>7670</v>
      </c>
    </row>
    <row r="7576">
      <c r="A7576" s="4" t="s">
        <v>7687</v>
      </c>
      <c r="B7576" s="5" t="str">
        <f>IFERROR(__xludf.DUMMYFUNCTION("IF(A7576="""","""",INDEX(SPLIT(A7576,"" ""),COUNTA(SPLIT(A7576,"" ""))))"),"Sortino")</f>
        <v>Sortino</v>
      </c>
      <c r="C7576" s="6"/>
      <c r="D7576" s="6" t="s">
        <v>7669</v>
      </c>
      <c r="E7576" s="7" t="s">
        <v>7670</v>
      </c>
    </row>
    <row r="7577">
      <c r="A7577" s="4" t="s">
        <v>7688</v>
      </c>
      <c r="B7577" s="5" t="str">
        <f>IFERROR(__xludf.DUMMYFUNCTION("IF(A7577="""","""",INDEX(SPLIT(A7577,"" ""),COUNTA(SPLIT(A7577,"" ""))))"),"Passero")</f>
        <v>Passero</v>
      </c>
      <c r="C7577" s="6"/>
      <c r="D7577" s="6" t="s">
        <v>7669</v>
      </c>
      <c r="E7577" s="7" t="s">
        <v>7670</v>
      </c>
    </row>
    <row r="7578">
      <c r="A7578" s="4" t="s">
        <v>7689</v>
      </c>
      <c r="B7578" s="5" t="str">
        <f>IFERROR(__xludf.DUMMYFUNCTION("IF(A7578="""","""",INDEX(SPLIT(A7578,"" ""),COUNTA(SPLIT(A7578,"" ""))))"),"Gargallo")</f>
        <v>Gargallo</v>
      </c>
      <c r="C7578" s="6"/>
      <c r="D7578" s="6" t="s">
        <v>7669</v>
      </c>
      <c r="E7578" s="7" t="s">
        <v>7670</v>
      </c>
    </row>
    <row r="7579">
      <c r="A7579" s="4" t="s">
        <v>7690</v>
      </c>
      <c r="B7579" s="5" t="str">
        <f>IFERROR(__xludf.DUMMYFUNCTION("IF(A7579="""","""",INDEX(SPLIT(A7579,"" ""),COUNTA(SPLIT(A7579,"" ""))))"),"Aggius")</f>
        <v>Aggius</v>
      </c>
      <c r="C7579" s="6"/>
      <c r="D7579" s="6" t="s">
        <v>7691</v>
      </c>
      <c r="E7579" s="7" t="s">
        <v>7692</v>
      </c>
    </row>
    <row r="7580">
      <c r="A7580" s="4" t="s">
        <v>7693</v>
      </c>
      <c r="B7580" s="5" t="str">
        <f>IFERROR(__xludf.DUMMYFUNCTION("IF(A7580="""","""",INDEX(SPLIT(A7580,"" ""),COUNTA(SPLIT(A7580,"" ""))))"),"Sardi")</f>
        <v>Sardi</v>
      </c>
      <c r="C7580" s="6"/>
      <c r="D7580" s="6" t="s">
        <v>7691</v>
      </c>
      <c r="E7580" s="7" t="s">
        <v>7692</v>
      </c>
    </row>
    <row r="7581">
      <c r="A7581" s="4" t="s">
        <v>7694</v>
      </c>
      <c r="B7581" s="5" t="str">
        <f>IFERROR(__xludf.DUMMYFUNCTION("IF(A7581="""","""",INDEX(SPLIT(A7581,"" ""),COUNTA(SPLIT(A7581,"" ""))))"),"Alghero")</f>
        <v>Alghero</v>
      </c>
      <c r="C7581" s="6"/>
      <c r="D7581" s="6" t="s">
        <v>7691</v>
      </c>
      <c r="E7581" s="7" t="s">
        <v>7692</v>
      </c>
    </row>
    <row r="7582">
      <c r="A7582" s="4" t="s">
        <v>7695</v>
      </c>
      <c r="B7582" s="5" t="str">
        <f>IFERROR(__xludf.DUMMYFUNCTION("IF(A7582="""","""",INDEX(SPLIT(A7582,"" ""),COUNTA(SPLIT(A7582,"" ""))))"),"Anela")</f>
        <v>Anela</v>
      </c>
      <c r="C7582" s="6"/>
      <c r="D7582" s="6" t="s">
        <v>7691</v>
      </c>
      <c r="E7582" s="7" t="s">
        <v>7692</v>
      </c>
    </row>
    <row r="7583">
      <c r="A7583" s="4" t="s">
        <v>7696</v>
      </c>
      <c r="B7583" s="5" t="str">
        <f>IFERROR(__xludf.DUMMYFUNCTION("IF(A7583="""","""",INDEX(SPLIT(A7583,"" ""),COUNTA(SPLIT(A7583,"" ""))))"),"Ardara")</f>
        <v>Ardara</v>
      </c>
      <c r="C7583" s="6"/>
      <c r="D7583" s="6" t="s">
        <v>7691</v>
      </c>
      <c r="E7583" s="7" t="s">
        <v>7692</v>
      </c>
    </row>
    <row r="7584">
      <c r="A7584" s="4" t="s">
        <v>7697</v>
      </c>
      <c r="B7584" s="5" t="str">
        <f>IFERROR(__xludf.DUMMYFUNCTION("IF(A7584="""","""",INDEX(SPLIT(A7584,"" ""),COUNTA(SPLIT(A7584,"" ""))))"),"Arzachena")</f>
        <v>Arzachena</v>
      </c>
      <c r="C7584" s="6"/>
      <c r="D7584" s="6" t="s">
        <v>7691</v>
      </c>
      <c r="E7584" s="7" t="s">
        <v>7692</v>
      </c>
    </row>
    <row r="7585">
      <c r="A7585" s="4" t="s">
        <v>7698</v>
      </c>
      <c r="B7585" s="5" t="str">
        <f>IFERROR(__xludf.DUMMYFUNCTION("IF(A7585="""","""",INDEX(SPLIT(A7585,"" ""),COUNTA(SPLIT(A7585,"" ""))))"),"Banari")</f>
        <v>Banari</v>
      </c>
      <c r="C7585" s="6"/>
      <c r="D7585" s="6" t="s">
        <v>7691</v>
      </c>
      <c r="E7585" s="7" t="s">
        <v>7692</v>
      </c>
    </row>
    <row r="7586">
      <c r="A7586" s="4" t="s">
        <v>7699</v>
      </c>
      <c r="B7586" s="5" t="str">
        <f>IFERROR(__xludf.DUMMYFUNCTION("IF(A7586="""","""",INDEX(SPLIT(A7586,"" ""),COUNTA(SPLIT(A7586,"" ""))))"),"Benetutti")</f>
        <v>Benetutti</v>
      </c>
      <c r="C7586" s="6"/>
      <c r="D7586" s="6" t="s">
        <v>7691</v>
      </c>
      <c r="E7586" s="7" t="s">
        <v>7692</v>
      </c>
    </row>
    <row r="7587">
      <c r="A7587" s="4" t="s">
        <v>7700</v>
      </c>
      <c r="B7587" s="5" t="str">
        <f>IFERROR(__xludf.DUMMYFUNCTION("IF(A7587="""","""",INDEX(SPLIT(A7587,"" ""),COUNTA(SPLIT(A7587,"" ""))))"),"Berchidda")</f>
        <v>Berchidda</v>
      </c>
      <c r="C7587" s="6"/>
      <c r="D7587" s="6" t="s">
        <v>7691</v>
      </c>
      <c r="E7587" s="7" t="s">
        <v>7692</v>
      </c>
    </row>
    <row r="7588">
      <c r="A7588" s="4" t="s">
        <v>7701</v>
      </c>
      <c r="B7588" s="5" t="str">
        <f>IFERROR(__xludf.DUMMYFUNCTION("IF(A7588="""","""",INDEX(SPLIT(A7588,"" ""),COUNTA(SPLIT(A7588,"" ""))))"),"Bessude")</f>
        <v>Bessude</v>
      </c>
      <c r="C7588" s="6"/>
      <c r="D7588" s="6" t="s">
        <v>7691</v>
      </c>
      <c r="E7588" s="7" t="s">
        <v>7692</v>
      </c>
    </row>
    <row r="7589">
      <c r="A7589" s="4" t="s">
        <v>7702</v>
      </c>
      <c r="B7589" s="5" t="str">
        <f>IFERROR(__xludf.DUMMYFUNCTION("IF(A7589="""","""",INDEX(SPLIT(A7589,"" ""),COUNTA(SPLIT(A7589,"" ""))))"),"Bonnanaro")</f>
        <v>Bonnanaro</v>
      </c>
      <c r="C7589" s="6"/>
      <c r="D7589" s="6" t="s">
        <v>7691</v>
      </c>
      <c r="E7589" s="7" t="s">
        <v>7692</v>
      </c>
    </row>
    <row r="7590">
      <c r="A7590" s="4" t="s">
        <v>7703</v>
      </c>
      <c r="B7590" s="5" t="str">
        <f>IFERROR(__xludf.DUMMYFUNCTION("IF(A7590="""","""",INDEX(SPLIT(A7590,"" ""),COUNTA(SPLIT(A7590,"" ""))))"),"Bono")</f>
        <v>Bono</v>
      </c>
      <c r="C7590" s="6"/>
      <c r="D7590" s="6" t="s">
        <v>7691</v>
      </c>
      <c r="E7590" s="7" t="s">
        <v>7692</v>
      </c>
    </row>
    <row r="7591">
      <c r="A7591" s="4" t="s">
        <v>7704</v>
      </c>
      <c r="B7591" s="5" t="str">
        <f>IFERROR(__xludf.DUMMYFUNCTION("IF(A7591="""","""",INDEX(SPLIT(A7591,"" ""),COUNTA(SPLIT(A7591,"" ""))))"),"Bonorva")</f>
        <v>Bonorva</v>
      </c>
      <c r="C7591" s="6"/>
      <c r="D7591" s="6" t="s">
        <v>7691</v>
      </c>
      <c r="E7591" s="7" t="s">
        <v>7692</v>
      </c>
    </row>
    <row r="7592">
      <c r="A7592" s="4" t="s">
        <v>7705</v>
      </c>
      <c r="B7592" s="5" t="str">
        <f>IFERROR(__xludf.DUMMYFUNCTION("IF(A7592="""","""",INDEX(SPLIT(A7592,"" ""),COUNTA(SPLIT(A7592,"" ""))))"),"Bortigiadas")</f>
        <v>Bortigiadas</v>
      </c>
      <c r="C7592" s="6"/>
      <c r="D7592" s="6" t="s">
        <v>7691</v>
      </c>
      <c r="E7592" s="7" t="s">
        <v>7692</v>
      </c>
    </row>
    <row r="7593">
      <c r="A7593" s="4" t="s">
        <v>7706</v>
      </c>
      <c r="B7593" s="5" t="str">
        <f>IFERROR(__xludf.DUMMYFUNCTION("IF(A7593="""","""",INDEX(SPLIT(A7593,"" ""),COUNTA(SPLIT(A7593,"" ""))))"),"Borutta")</f>
        <v>Borutta</v>
      </c>
      <c r="C7593" s="6"/>
      <c r="D7593" s="6" t="s">
        <v>7691</v>
      </c>
      <c r="E7593" s="7" t="s">
        <v>7692</v>
      </c>
    </row>
    <row r="7594">
      <c r="A7594" s="4" t="s">
        <v>7707</v>
      </c>
      <c r="B7594" s="5" t="str">
        <f>IFERROR(__xludf.DUMMYFUNCTION("IF(A7594="""","""",INDEX(SPLIT(A7594,"" ""),COUNTA(SPLIT(A7594,"" ""))))"),"Bottidda")</f>
        <v>Bottidda</v>
      </c>
      <c r="C7594" s="6"/>
      <c r="D7594" s="6" t="s">
        <v>7691</v>
      </c>
      <c r="E7594" s="7" t="s">
        <v>7692</v>
      </c>
    </row>
    <row r="7595">
      <c r="A7595" s="4" t="s">
        <v>7708</v>
      </c>
      <c r="B7595" s="5" t="str">
        <f>IFERROR(__xludf.DUMMYFUNCTION("IF(A7595="""","""",INDEX(SPLIT(A7595,"" ""),COUNTA(SPLIT(A7595,"" ""))))"),"Buddusò")</f>
        <v>Buddusò</v>
      </c>
      <c r="C7595" s="6"/>
      <c r="D7595" s="6" t="s">
        <v>7691</v>
      </c>
      <c r="E7595" s="7" t="s">
        <v>7692</v>
      </c>
    </row>
    <row r="7596">
      <c r="A7596" s="4" t="s">
        <v>7709</v>
      </c>
      <c r="B7596" s="5" t="str">
        <f>IFERROR(__xludf.DUMMYFUNCTION("IF(A7596="""","""",INDEX(SPLIT(A7596,"" ""),COUNTA(SPLIT(A7596,"" ""))))"),"Bultei")</f>
        <v>Bultei</v>
      </c>
      <c r="C7596" s="6"/>
      <c r="D7596" s="6" t="s">
        <v>7691</v>
      </c>
      <c r="E7596" s="7" t="s">
        <v>7692</v>
      </c>
    </row>
    <row r="7597">
      <c r="A7597" s="4" t="s">
        <v>7710</v>
      </c>
      <c r="B7597" s="5" t="str">
        <f>IFERROR(__xludf.DUMMYFUNCTION("IF(A7597="""","""",INDEX(SPLIT(A7597,"" ""),COUNTA(SPLIT(A7597,"" ""))))"),"Bulzi")</f>
        <v>Bulzi</v>
      </c>
      <c r="C7597" s="6"/>
      <c r="D7597" s="6" t="s">
        <v>7691</v>
      </c>
      <c r="E7597" s="7" t="s">
        <v>7692</v>
      </c>
    </row>
    <row r="7598">
      <c r="A7598" s="4" t="s">
        <v>7711</v>
      </c>
      <c r="B7598" s="5" t="str">
        <f>IFERROR(__xludf.DUMMYFUNCTION("IF(A7598="""","""",INDEX(SPLIT(A7598,"" ""),COUNTA(SPLIT(A7598,"" ""))))"),"Burgos")</f>
        <v>Burgos</v>
      </c>
      <c r="C7598" s="6"/>
      <c r="D7598" s="6" t="s">
        <v>7691</v>
      </c>
      <c r="E7598" s="7" t="s">
        <v>7692</v>
      </c>
    </row>
    <row r="7599">
      <c r="A7599" s="4" t="s">
        <v>7712</v>
      </c>
      <c r="B7599" s="5" t="str">
        <f>IFERROR(__xludf.DUMMYFUNCTION("IF(A7599="""","""",INDEX(SPLIT(A7599,"" ""),COUNTA(SPLIT(A7599,"" ""))))"),"Calangianus")</f>
        <v>Calangianus</v>
      </c>
      <c r="C7599" s="6"/>
      <c r="D7599" s="6" t="s">
        <v>7691</v>
      </c>
      <c r="E7599" s="7" t="s">
        <v>7692</v>
      </c>
    </row>
    <row r="7600">
      <c r="A7600" s="4" t="s">
        <v>7713</v>
      </c>
      <c r="B7600" s="5" t="str">
        <f>IFERROR(__xludf.DUMMYFUNCTION("IF(A7600="""","""",INDEX(SPLIT(A7600,"" ""),COUNTA(SPLIT(A7600,"" ""))))"),"Cargeghe")</f>
        <v>Cargeghe</v>
      </c>
      <c r="C7600" s="6"/>
      <c r="D7600" s="6" t="s">
        <v>7691</v>
      </c>
      <c r="E7600" s="7" t="s">
        <v>7692</v>
      </c>
    </row>
    <row r="7601">
      <c r="A7601" s="4" t="s">
        <v>7714</v>
      </c>
      <c r="B7601" s="5" t="str">
        <f>IFERROR(__xludf.DUMMYFUNCTION("IF(A7601="""","""",INDEX(SPLIT(A7601,"" ""),COUNTA(SPLIT(A7601,"" ""))))"),"Castelsardo")</f>
        <v>Castelsardo</v>
      </c>
      <c r="C7601" s="6"/>
      <c r="D7601" s="6" t="s">
        <v>7691</v>
      </c>
      <c r="E7601" s="7" t="s">
        <v>7692</v>
      </c>
    </row>
    <row r="7602">
      <c r="A7602" s="4" t="s">
        <v>7715</v>
      </c>
      <c r="B7602" s="5" t="str">
        <f>IFERROR(__xludf.DUMMYFUNCTION("IF(A7602="""","""",INDEX(SPLIT(A7602,"" ""),COUNTA(SPLIT(A7602,"" ""))))"),"Cheremule")</f>
        <v>Cheremule</v>
      </c>
      <c r="C7602" s="6"/>
      <c r="D7602" s="6" t="s">
        <v>7691</v>
      </c>
      <c r="E7602" s="7" t="s">
        <v>7692</v>
      </c>
    </row>
    <row r="7603">
      <c r="A7603" s="4" t="s">
        <v>7716</v>
      </c>
      <c r="B7603" s="5" t="str">
        <f>IFERROR(__xludf.DUMMYFUNCTION("IF(A7603="""","""",INDEX(SPLIT(A7603,"" ""),COUNTA(SPLIT(A7603,"" ""))))"),"Chiaramonti")</f>
        <v>Chiaramonti</v>
      </c>
      <c r="C7603" s="6"/>
      <c r="D7603" s="6" t="s">
        <v>7691</v>
      </c>
      <c r="E7603" s="7" t="s">
        <v>7692</v>
      </c>
    </row>
    <row r="7604">
      <c r="A7604" s="4" t="s">
        <v>7717</v>
      </c>
      <c r="B7604" s="5" t="str">
        <f>IFERROR(__xludf.DUMMYFUNCTION("IF(A7604="""","""",INDEX(SPLIT(A7604,"" ""),COUNTA(SPLIT(A7604,"" ""))))"),"Codrongianos")</f>
        <v>Codrongianos</v>
      </c>
      <c r="C7604" s="6"/>
      <c r="D7604" s="6" t="s">
        <v>7691</v>
      </c>
      <c r="E7604" s="7" t="s">
        <v>7692</v>
      </c>
    </row>
    <row r="7605">
      <c r="A7605" s="4" t="s">
        <v>7718</v>
      </c>
      <c r="B7605" s="5" t="str">
        <f>IFERROR(__xludf.DUMMYFUNCTION("IF(A7605="""","""",INDEX(SPLIT(A7605,"" ""),COUNTA(SPLIT(A7605,"" ""))))"),"Cossoine")</f>
        <v>Cossoine</v>
      </c>
      <c r="C7605" s="6"/>
      <c r="D7605" s="6" t="s">
        <v>7691</v>
      </c>
      <c r="E7605" s="7" t="s">
        <v>7692</v>
      </c>
    </row>
    <row r="7606">
      <c r="A7606" s="4" t="s">
        <v>7719</v>
      </c>
      <c r="B7606" s="5" t="str">
        <f>IFERROR(__xludf.DUMMYFUNCTION("IF(A7606="""","""",INDEX(SPLIT(A7606,"" ""),COUNTA(SPLIT(A7606,"" ""))))"),"Esporlatu")</f>
        <v>Esporlatu</v>
      </c>
      <c r="C7606" s="6"/>
      <c r="D7606" s="6" t="s">
        <v>7691</v>
      </c>
      <c r="E7606" s="7" t="s">
        <v>7692</v>
      </c>
    </row>
    <row r="7607">
      <c r="A7607" s="4" t="s">
        <v>7720</v>
      </c>
      <c r="B7607" s="5" t="str">
        <f>IFERROR(__xludf.DUMMYFUNCTION("IF(A7607="""","""",INDEX(SPLIT(A7607,"" ""),COUNTA(SPLIT(A7607,"" ""))))"),"Florinas")</f>
        <v>Florinas</v>
      </c>
      <c r="C7607" s="6"/>
      <c r="D7607" s="6" t="s">
        <v>7691</v>
      </c>
      <c r="E7607" s="7" t="s">
        <v>7692</v>
      </c>
    </row>
    <row r="7608">
      <c r="A7608" s="4" t="s">
        <v>7721</v>
      </c>
      <c r="B7608" s="5" t="str">
        <f>IFERROR(__xludf.DUMMYFUNCTION("IF(A7608="""","""",INDEX(SPLIT(A7608,"" ""),COUNTA(SPLIT(A7608,"" ""))))"),"Giave")</f>
        <v>Giave</v>
      </c>
      <c r="C7608" s="6"/>
      <c r="D7608" s="6" t="s">
        <v>7691</v>
      </c>
      <c r="E7608" s="7" t="s">
        <v>7692</v>
      </c>
    </row>
    <row r="7609">
      <c r="A7609" s="4" t="s">
        <v>7722</v>
      </c>
      <c r="B7609" s="5" t="str">
        <f>IFERROR(__xludf.DUMMYFUNCTION("IF(A7609="""","""",INDEX(SPLIT(A7609,"" ""),COUNTA(SPLIT(A7609,"" ""))))"),"Illorai")</f>
        <v>Illorai</v>
      </c>
      <c r="C7609" s="6"/>
      <c r="D7609" s="6" t="s">
        <v>7691</v>
      </c>
      <c r="E7609" s="7" t="s">
        <v>7692</v>
      </c>
    </row>
    <row r="7610">
      <c r="A7610" s="4" t="s">
        <v>7723</v>
      </c>
      <c r="B7610" s="5" t="str">
        <f>IFERROR(__xludf.DUMMYFUNCTION("IF(A7610="""","""",INDEX(SPLIT(A7610,"" ""),COUNTA(SPLIT(A7610,"" ""))))"),"Ittireddu")</f>
        <v>Ittireddu</v>
      </c>
      <c r="C7610" s="6"/>
      <c r="D7610" s="6" t="s">
        <v>7691</v>
      </c>
      <c r="E7610" s="7" t="s">
        <v>7692</v>
      </c>
    </row>
    <row r="7611">
      <c r="A7611" s="4" t="s">
        <v>7724</v>
      </c>
      <c r="B7611" s="5" t="str">
        <f>IFERROR(__xludf.DUMMYFUNCTION("IF(A7611="""","""",INDEX(SPLIT(A7611,"" ""),COUNTA(SPLIT(A7611,"" ""))))"),"Ittiri")</f>
        <v>Ittiri</v>
      </c>
      <c r="C7611" s="6"/>
      <c r="D7611" s="6" t="s">
        <v>7691</v>
      </c>
      <c r="E7611" s="7" t="s">
        <v>7692</v>
      </c>
    </row>
    <row r="7612">
      <c r="A7612" s="4" t="s">
        <v>7725</v>
      </c>
      <c r="B7612" s="5" t="str">
        <f>IFERROR(__xludf.DUMMYFUNCTION("IF(A7612="""","""",INDEX(SPLIT(A7612,"" ""),COUNTA(SPLIT(A7612,"" ""))))"),"Laerru")</f>
        <v>Laerru</v>
      </c>
      <c r="C7612" s="6"/>
      <c r="D7612" s="6" t="s">
        <v>7691</v>
      </c>
      <c r="E7612" s="7" t="s">
        <v>7692</v>
      </c>
    </row>
    <row r="7613">
      <c r="A7613" s="4" t="s">
        <v>7726</v>
      </c>
      <c r="B7613" s="5" t="str">
        <f>IFERROR(__xludf.DUMMYFUNCTION("IF(A7613="""","""",INDEX(SPLIT(A7613,"" ""),COUNTA(SPLIT(A7613,"" ""))))"),"Maddalena")</f>
        <v>Maddalena</v>
      </c>
      <c r="C7613" s="6"/>
      <c r="D7613" s="6" t="s">
        <v>7691</v>
      </c>
      <c r="E7613" s="7" t="s">
        <v>7692</v>
      </c>
    </row>
    <row r="7614">
      <c r="A7614" s="4" t="s">
        <v>7727</v>
      </c>
      <c r="B7614" s="5" t="str">
        <f>IFERROR(__xludf.DUMMYFUNCTION("IF(A7614="""","""",INDEX(SPLIT(A7614,"" ""),COUNTA(SPLIT(A7614,"" ""))))"),"Luogosanto")</f>
        <v>Luogosanto</v>
      </c>
      <c r="C7614" s="6"/>
      <c r="D7614" s="6" t="s">
        <v>7691</v>
      </c>
      <c r="E7614" s="7" t="s">
        <v>7692</v>
      </c>
    </row>
    <row r="7615">
      <c r="A7615" s="4" t="s">
        <v>7728</v>
      </c>
      <c r="B7615" s="5" t="str">
        <f>IFERROR(__xludf.DUMMYFUNCTION("IF(A7615="""","""",INDEX(SPLIT(A7615,"" ""),COUNTA(SPLIT(A7615,"" ""))))"),"Luras")</f>
        <v>Luras</v>
      </c>
      <c r="C7615" s="6"/>
      <c r="D7615" s="6" t="s">
        <v>7691</v>
      </c>
      <c r="E7615" s="7" t="s">
        <v>7692</v>
      </c>
    </row>
    <row r="7616">
      <c r="A7616" s="4" t="s">
        <v>7729</v>
      </c>
      <c r="B7616" s="5" t="str">
        <f>IFERROR(__xludf.DUMMYFUNCTION("IF(A7616="""","""",INDEX(SPLIT(A7616,"" ""),COUNTA(SPLIT(A7616,"" ""))))"),"Mara")</f>
        <v>Mara</v>
      </c>
      <c r="C7616" s="6"/>
      <c r="D7616" s="6" t="s">
        <v>7691</v>
      </c>
      <c r="E7616" s="7" t="s">
        <v>7692</v>
      </c>
    </row>
    <row r="7617">
      <c r="A7617" s="4" t="s">
        <v>7730</v>
      </c>
      <c r="B7617" s="5" t="str">
        <f>IFERROR(__xludf.DUMMYFUNCTION("IF(A7617="""","""",INDEX(SPLIT(A7617,"" ""),COUNTA(SPLIT(A7617,"" ""))))"),"Martis")</f>
        <v>Martis</v>
      </c>
      <c r="C7617" s="6"/>
      <c r="D7617" s="6" t="s">
        <v>7691</v>
      </c>
      <c r="E7617" s="7" t="s">
        <v>7692</v>
      </c>
    </row>
    <row r="7618">
      <c r="A7618" s="4" t="s">
        <v>7731</v>
      </c>
      <c r="B7618" s="5" t="str">
        <f>IFERROR(__xludf.DUMMYFUNCTION("IF(A7618="""","""",INDEX(SPLIT(A7618,"" ""),COUNTA(SPLIT(A7618,"" ""))))"),"Doria")</f>
        <v>Doria</v>
      </c>
      <c r="C7618" s="6"/>
      <c r="D7618" s="6" t="s">
        <v>7691</v>
      </c>
      <c r="E7618" s="7" t="s">
        <v>7692</v>
      </c>
    </row>
    <row r="7619">
      <c r="A7619" s="4" t="s">
        <v>7732</v>
      </c>
      <c r="B7619" s="5" t="str">
        <f>IFERROR(__xludf.DUMMYFUNCTION("IF(A7619="""","""",INDEX(SPLIT(A7619,"" ""),COUNTA(SPLIT(A7619,"" ""))))"),"Monti")</f>
        <v>Monti</v>
      </c>
      <c r="C7619" s="6"/>
      <c r="D7619" s="6" t="s">
        <v>7691</v>
      </c>
      <c r="E7619" s="7" t="s">
        <v>7692</v>
      </c>
    </row>
    <row r="7620">
      <c r="A7620" s="4" t="s">
        <v>7733</v>
      </c>
      <c r="B7620" s="5" t="str">
        <f>IFERROR(__xludf.DUMMYFUNCTION("IF(A7620="""","""",INDEX(SPLIT(A7620,"" ""),COUNTA(SPLIT(A7620,"" ""))))"),"Mores")</f>
        <v>Mores</v>
      </c>
      <c r="C7620" s="6"/>
      <c r="D7620" s="6" t="s">
        <v>7691</v>
      </c>
      <c r="E7620" s="7" t="s">
        <v>7692</v>
      </c>
    </row>
    <row r="7621">
      <c r="A7621" s="4" t="s">
        <v>7734</v>
      </c>
      <c r="B7621" s="5" t="str">
        <f>IFERROR(__xludf.DUMMYFUNCTION("IF(A7621="""","""",INDEX(SPLIT(A7621,"" ""),COUNTA(SPLIT(A7621,"" ""))))"),"Muros")</f>
        <v>Muros</v>
      </c>
      <c r="C7621" s="6"/>
      <c r="D7621" s="6" t="s">
        <v>7691</v>
      </c>
      <c r="E7621" s="7" t="s">
        <v>7692</v>
      </c>
    </row>
    <row r="7622">
      <c r="A7622" s="4" t="s">
        <v>7735</v>
      </c>
      <c r="B7622" s="5" t="str">
        <f>IFERROR(__xludf.DUMMYFUNCTION("IF(A7622="""","""",INDEX(SPLIT(A7622,"" ""),COUNTA(SPLIT(A7622,"" ""))))"),"Nicolò")</f>
        <v>Nicolò</v>
      </c>
      <c r="C7622" s="6"/>
      <c r="D7622" s="6" t="s">
        <v>7691</v>
      </c>
      <c r="E7622" s="7" t="s">
        <v>7692</v>
      </c>
    </row>
    <row r="7623">
      <c r="A7623" s="4" t="s">
        <v>7736</v>
      </c>
      <c r="B7623" s="5" t="str">
        <f>IFERROR(__xludf.DUMMYFUNCTION("IF(A7623="""","""",INDEX(SPLIT(A7623,"" ""),COUNTA(SPLIT(A7623,"" ""))))"),"Nule")</f>
        <v>Nule</v>
      </c>
      <c r="C7623" s="6"/>
      <c r="D7623" s="6" t="s">
        <v>7691</v>
      </c>
      <c r="E7623" s="7" t="s">
        <v>7692</v>
      </c>
    </row>
    <row r="7624">
      <c r="A7624" s="4" t="s">
        <v>7737</v>
      </c>
      <c r="B7624" s="5" t="str">
        <f>IFERROR(__xludf.DUMMYFUNCTION("IF(A7624="""","""",INDEX(SPLIT(A7624,"" ""),COUNTA(SPLIT(A7624,"" ""))))"),"Nulvi")</f>
        <v>Nulvi</v>
      </c>
      <c r="C7624" s="6"/>
      <c r="D7624" s="6" t="s">
        <v>7691</v>
      </c>
      <c r="E7624" s="7" t="s">
        <v>7692</v>
      </c>
    </row>
    <row r="7625">
      <c r="A7625" s="4" t="s">
        <v>7738</v>
      </c>
      <c r="B7625" s="5" t="str">
        <f>IFERROR(__xludf.DUMMYFUNCTION("IF(A7625="""","""",INDEX(SPLIT(A7625,"" ""),COUNTA(SPLIT(A7625,"" ""))))"),"Olbia")</f>
        <v>Olbia</v>
      </c>
      <c r="C7625" s="6"/>
      <c r="D7625" s="6" t="s">
        <v>7691</v>
      </c>
      <c r="E7625" s="7" t="s">
        <v>7692</v>
      </c>
    </row>
    <row r="7626">
      <c r="A7626" s="4" t="s">
        <v>7739</v>
      </c>
      <c r="B7626" s="5" t="str">
        <f>IFERROR(__xludf.DUMMYFUNCTION("IF(A7626="""","""",INDEX(SPLIT(A7626,"" ""),COUNTA(SPLIT(A7626,"" ""))))"),"Olmedo")</f>
        <v>Olmedo</v>
      </c>
      <c r="C7626" s="6"/>
      <c r="D7626" s="6" t="s">
        <v>7691</v>
      </c>
      <c r="E7626" s="7" t="s">
        <v>7692</v>
      </c>
    </row>
    <row r="7627">
      <c r="A7627" s="4" t="s">
        <v>7740</v>
      </c>
      <c r="B7627" s="5" t="str">
        <f>IFERROR(__xludf.DUMMYFUNCTION("IF(A7627="""","""",INDEX(SPLIT(A7627,"" ""),COUNTA(SPLIT(A7627,"" ""))))"),"Oschiri")</f>
        <v>Oschiri</v>
      </c>
      <c r="C7627" s="6"/>
      <c r="D7627" s="6" t="s">
        <v>7691</v>
      </c>
      <c r="E7627" s="7" t="s">
        <v>7692</v>
      </c>
    </row>
    <row r="7628">
      <c r="A7628" s="4" t="s">
        <v>7741</v>
      </c>
      <c r="B7628" s="5" t="str">
        <f>IFERROR(__xludf.DUMMYFUNCTION("IF(A7628="""","""",INDEX(SPLIT(A7628,"" ""),COUNTA(SPLIT(A7628,"" ""))))"),"Osilo")</f>
        <v>Osilo</v>
      </c>
      <c r="C7628" s="6"/>
      <c r="D7628" s="6" t="s">
        <v>7691</v>
      </c>
      <c r="E7628" s="7" t="s">
        <v>7692</v>
      </c>
    </row>
    <row r="7629">
      <c r="A7629" s="4" t="s">
        <v>7742</v>
      </c>
      <c r="B7629" s="5" t="str">
        <f>IFERROR(__xludf.DUMMYFUNCTION("IF(A7629="""","""",INDEX(SPLIT(A7629,"" ""),COUNTA(SPLIT(A7629,"" ""))))"),"Ossi")</f>
        <v>Ossi</v>
      </c>
      <c r="C7629" s="6"/>
      <c r="D7629" s="6" t="s">
        <v>7691</v>
      </c>
      <c r="E7629" s="7" t="s">
        <v>7692</v>
      </c>
    </row>
    <row r="7630">
      <c r="A7630" s="4" t="s">
        <v>7743</v>
      </c>
      <c r="B7630" s="5" t="str">
        <f>IFERROR(__xludf.DUMMYFUNCTION("IF(A7630="""","""",INDEX(SPLIT(A7630,"" ""),COUNTA(SPLIT(A7630,"" ""))))"),"Ozieri")</f>
        <v>Ozieri</v>
      </c>
      <c r="C7630" s="6"/>
      <c r="D7630" s="6" t="s">
        <v>7691</v>
      </c>
      <c r="E7630" s="7" t="s">
        <v>7692</v>
      </c>
    </row>
    <row r="7631">
      <c r="A7631" s="4" t="s">
        <v>7744</v>
      </c>
      <c r="B7631" s="5" t="str">
        <f>IFERROR(__xludf.DUMMYFUNCTION("IF(A7631="""","""",INDEX(SPLIT(A7631,"" ""),COUNTA(SPLIT(A7631,"" ""))))"),"Padria")</f>
        <v>Padria</v>
      </c>
      <c r="C7631" s="6"/>
      <c r="D7631" s="6" t="s">
        <v>7691</v>
      </c>
      <c r="E7631" s="7" t="s">
        <v>7692</v>
      </c>
    </row>
    <row r="7632">
      <c r="A7632" s="4" t="s">
        <v>7745</v>
      </c>
      <c r="B7632" s="5" t="str">
        <f>IFERROR(__xludf.DUMMYFUNCTION("IF(A7632="""","""",INDEX(SPLIT(A7632,"" ""),COUNTA(SPLIT(A7632,"" ""))))"),"Palau")</f>
        <v>Palau</v>
      </c>
      <c r="C7632" s="6"/>
      <c r="D7632" s="6" t="s">
        <v>7691</v>
      </c>
      <c r="E7632" s="7" t="s">
        <v>7692</v>
      </c>
    </row>
    <row r="7633">
      <c r="A7633" s="4" t="s">
        <v>7746</v>
      </c>
      <c r="B7633" s="5" t="str">
        <f>IFERROR(__xludf.DUMMYFUNCTION("IF(A7633="""","""",INDEX(SPLIT(A7633,"" ""),COUNTA(SPLIT(A7633,"" ""))))"),"Pattada")</f>
        <v>Pattada</v>
      </c>
      <c r="C7633" s="6"/>
      <c r="D7633" s="6" t="s">
        <v>7691</v>
      </c>
      <c r="E7633" s="7" t="s">
        <v>7692</v>
      </c>
    </row>
    <row r="7634">
      <c r="A7634" s="4" t="s">
        <v>7747</v>
      </c>
      <c r="B7634" s="5" t="str">
        <f>IFERROR(__xludf.DUMMYFUNCTION("IF(A7634="""","""",INDEX(SPLIT(A7634,"" ""),COUNTA(SPLIT(A7634,"" ""))))"),"Perfugas")</f>
        <v>Perfugas</v>
      </c>
      <c r="C7634" s="6"/>
      <c r="D7634" s="6" t="s">
        <v>7691</v>
      </c>
      <c r="E7634" s="7" t="s">
        <v>7692</v>
      </c>
    </row>
    <row r="7635">
      <c r="A7635" s="4" t="s">
        <v>7748</v>
      </c>
      <c r="B7635" s="5" t="str">
        <f>IFERROR(__xludf.DUMMYFUNCTION("IF(A7635="""","""",INDEX(SPLIT(A7635,"" ""),COUNTA(SPLIT(A7635,"" ""))))"),"Ploaghe")</f>
        <v>Ploaghe</v>
      </c>
      <c r="C7635" s="6"/>
      <c r="D7635" s="6" t="s">
        <v>7691</v>
      </c>
      <c r="E7635" s="7" t="s">
        <v>7692</v>
      </c>
    </row>
    <row r="7636">
      <c r="A7636" s="4" t="s">
        <v>7749</v>
      </c>
      <c r="B7636" s="5" t="str">
        <f>IFERROR(__xludf.DUMMYFUNCTION("IF(A7636="""","""",INDEX(SPLIT(A7636,"" ""),COUNTA(SPLIT(A7636,"" ""))))"),"Torres")</f>
        <v>Torres</v>
      </c>
      <c r="C7636" s="6"/>
      <c r="D7636" s="6" t="s">
        <v>7691</v>
      </c>
      <c r="E7636" s="7" t="s">
        <v>7692</v>
      </c>
    </row>
    <row r="7637">
      <c r="A7637" s="4" t="s">
        <v>7750</v>
      </c>
      <c r="B7637" s="5" t="str">
        <f>IFERROR(__xludf.DUMMYFUNCTION("IF(A7637="""","""",INDEX(SPLIT(A7637,"" ""),COUNTA(SPLIT(A7637,"" ""))))"),"Pozzomaggiore")</f>
        <v>Pozzomaggiore</v>
      </c>
      <c r="C7637" s="6"/>
      <c r="D7637" s="6" t="s">
        <v>7691</v>
      </c>
      <c r="E7637" s="7" t="s">
        <v>7692</v>
      </c>
    </row>
    <row r="7638">
      <c r="A7638" s="4" t="s">
        <v>7751</v>
      </c>
      <c r="B7638" s="5" t="str">
        <f>IFERROR(__xludf.DUMMYFUNCTION("IF(A7638="""","""",INDEX(SPLIT(A7638,"" ""),COUNTA(SPLIT(A7638,"" ""))))"),"Putifigari")</f>
        <v>Putifigari</v>
      </c>
      <c r="C7638" s="6"/>
      <c r="D7638" s="6" t="s">
        <v>7691</v>
      </c>
      <c r="E7638" s="7" t="s">
        <v>7692</v>
      </c>
    </row>
    <row r="7639">
      <c r="A7639" s="4" t="s">
        <v>7752</v>
      </c>
      <c r="B7639" s="5" t="str">
        <f>IFERROR(__xludf.DUMMYFUNCTION("IF(A7639="""","""",INDEX(SPLIT(A7639,"" ""),COUNTA(SPLIT(A7639,"" ""))))"),"Romana")</f>
        <v>Romana</v>
      </c>
      <c r="C7639" s="6"/>
      <c r="D7639" s="6" t="s">
        <v>7691</v>
      </c>
      <c r="E7639" s="7" t="s">
        <v>7692</v>
      </c>
    </row>
    <row r="7640">
      <c r="A7640" s="4" t="s">
        <v>7753</v>
      </c>
      <c r="B7640" s="5" t="str">
        <f>IFERROR(__xludf.DUMMYFUNCTION("IF(A7640="""","""",INDEX(SPLIT(A7640,"" ""),COUNTA(SPLIT(A7640,"" ""))))"),"Aglientu")</f>
        <v>Aglientu</v>
      </c>
      <c r="C7640" s="6"/>
      <c r="D7640" s="6" t="s">
        <v>7691</v>
      </c>
      <c r="E7640" s="7" t="s">
        <v>7692</v>
      </c>
    </row>
    <row r="7641">
      <c r="A7641" s="4" t="s">
        <v>7754</v>
      </c>
      <c r="B7641" s="5" t="str">
        <f>IFERROR(__xludf.DUMMYFUNCTION("IF(A7641="""","""",INDEX(SPLIT(A7641,"" ""),COUNTA(SPLIT(A7641,"" ""))))"),"Gallura")</f>
        <v>Gallura</v>
      </c>
      <c r="C7641" s="6"/>
      <c r="D7641" s="6" t="s">
        <v>7691</v>
      </c>
      <c r="E7641" s="7" t="s">
        <v>7692</v>
      </c>
    </row>
    <row r="7642">
      <c r="A7642" s="4" t="s">
        <v>7691</v>
      </c>
      <c r="B7642" s="5" t="str">
        <f>IFERROR(__xludf.DUMMYFUNCTION("IF(A7642="""","""",INDEX(SPLIT(A7642,"" ""),COUNTA(SPLIT(A7642,"" ""))))"),"Sassari")</f>
        <v>Sassari</v>
      </c>
      <c r="C7642" s="6"/>
      <c r="D7642" s="6" t="s">
        <v>7691</v>
      </c>
      <c r="E7642" s="7" t="s">
        <v>7692</v>
      </c>
    </row>
    <row r="7643">
      <c r="A7643" s="4" t="s">
        <v>7755</v>
      </c>
      <c r="B7643" s="5" t="str">
        <f>IFERROR(__xludf.DUMMYFUNCTION("IF(A7643="""","""",INDEX(SPLIT(A7643,"" ""),COUNTA(SPLIT(A7643,"" ""))))"),"Sedini")</f>
        <v>Sedini</v>
      </c>
      <c r="C7643" s="6"/>
      <c r="D7643" s="6" t="s">
        <v>7691</v>
      </c>
      <c r="E7643" s="7" t="s">
        <v>7692</v>
      </c>
    </row>
    <row r="7644">
      <c r="A7644" s="4" t="s">
        <v>7756</v>
      </c>
      <c r="B7644" s="5" t="str">
        <f>IFERROR(__xludf.DUMMYFUNCTION("IF(A7644="""","""",INDEX(SPLIT(A7644,"" ""),COUNTA(SPLIT(A7644,"" ""))))"),"Semestene")</f>
        <v>Semestene</v>
      </c>
      <c r="C7644" s="6"/>
      <c r="D7644" s="6" t="s">
        <v>7691</v>
      </c>
      <c r="E7644" s="7" t="s">
        <v>7692</v>
      </c>
    </row>
    <row r="7645">
      <c r="A7645" s="4" t="s">
        <v>7757</v>
      </c>
      <c r="B7645" s="5" t="str">
        <f>IFERROR(__xludf.DUMMYFUNCTION("IF(A7645="""","""",INDEX(SPLIT(A7645,"" ""),COUNTA(SPLIT(A7645,"" ""))))"),"Sennori")</f>
        <v>Sennori</v>
      </c>
      <c r="C7645" s="6"/>
      <c r="D7645" s="6" t="s">
        <v>7691</v>
      </c>
      <c r="E7645" s="7" t="s">
        <v>7692</v>
      </c>
    </row>
    <row r="7646">
      <c r="A7646" s="4" t="s">
        <v>7758</v>
      </c>
      <c r="B7646" s="5" t="str">
        <f>IFERROR(__xludf.DUMMYFUNCTION("IF(A7646="""","""",INDEX(SPLIT(A7646,"" ""),COUNTA(SPLIT(A7646,"" ""))))"),"Siligo")</f>
        <v>Siligo</v>
      </c>
      <c r="C7646" s="6"/>
      <c r="D7646" s="6" t="s">
        <v>7691</v>
      </c>
      <c r="E7646" s="7" t="s">
        <v>7692</v>
      </c>
    </row>
    <row r="7647">
      <c r="A7647" s="4" t="s">
        <v>7759</v>
      </c>
      <c r="B7647" s="5" t="str">
        <f>IFERROR(__xludf.DUMMYFUNCTION("IF(A7647="""","""",INDEX(SPLIT(A7647,"" ""),COUNTA(SPLIT(A7647,"" ""))))"),"Sorso")</f>
        <v>Sorso</v>
      </c>
      <c r="C7647" s="6"/>
      <c r="D7647" s="6" t="s">
        <v>7691</v>
      </c>
      <c r="E7647" s="7" t="s">
        <v>7692</v>
      </c>
    </row>
    <row r="7648">
      <c r="A7648" s="4" t="s">
        <v>7760</v>
      </c>
      <c r="B7648" s="5" t="str">
        <f>IFERROR(__xludf.DUMMYFUNCTION("IF(A7648="""","""",INDEX(SPLIT(A7648,"" ""),COUNTA(SPLIT(A7648,"" ""))))"),"Pausania")</f>
        <v>Pausania</v>
      </c>
      <c r="C7648" s="6"/>
      <c r="D7648" s="6" t="s">
        <v>7691</v>
      </c>
      <c r="E7648" s="7" t="s">
        <v>7692</v>
      </c>
    </row>
    <row r="7649">
      <c r="A7649" s="4" t="s">
        <v>7761</v>
      </c>
      <c r="B7649" s="5" t="str">
        <f>IFERROR(__xludf.DUMMYFUNCTION("IF(A7649="""","""",INDEX(SPLIT(A7649,"" ""),COUNTA(SPLIT(A7649,"" ""))))"),"Thiesi")</f>
        <v>Thiesi</v>
      </c>
      <c r="C7649" s="6"/>
      <c r="D7649" s="6" t="s">
        <v>7691</v>
      </c>
      <c r="E7649" s="7" t="s">
        <v>7692</v>
      </c>
    </row>
    <row r="7650">
      <c r="A7650" s="4" t="s">
        <v>7762</v>
      </c>
      <c r="B7650" s="5" t="str">
        <f>IFERROR(__xludf.DUMMYFUNCTION("IF(A7650="""","""",INDEX(SPLIT(A7650,"" ""),COUNTA(SPLIT(A7650,"" ""))))"),"Tissi")</f>
        <v>Tissi</v>
      </c>
      <c r="C7650" s="6"/>
      <c r="D7650" s="6" t="s">
        <v>7691</v>
      </c>
      <c r="E7650" s="7" t="s">
        <v>7692</v>
      </c>
    </row>
    <row r="7651">
      <c r="A7651" s="4" t="s">
        <v>7763</v>
      </c>
      <c r="B7651" s="5" t="str">
        <f>IFERROR(__xludf.DUMMYFUNCTION("IF(A7651="""","""",INDEX(SPLIT(A7651,"" ""),COUNTA(SPLIT(A7651,"" ""))))"),"Torralba")</f>
        <v>Torralba</v>
      </c>
      <c r="C7651" s="6"/>
      <c r="D7651" s="6" t="s">
        <v>7691</v>
      </c>
      <c r="E7651" s="7" t="s">
        <v>7692</v>
      </c>
    </row>
    <row r="7652">
      <c r="A7652" s="4" t="s">
        <v>7764</v>
      </c>
      <c r="B7652" s="5" t="str">
        <f>IFERROR(__xludf.DUMMYFUNCTION("IF(A7652="""","""",INDEX(SPLIT(A7652,"" ""),COUNTA(SPLIT(A7652,"" ""))))"),"Vignola")</f>
        <v>Vignola</v>
      </c>
      <c r="C7652" s="6"/>
      <c r="D7652" s="6" t="s">
        <v>7691</v>
      </c>
      <c r="E7652" s="7" t="s">
        <v>7692</v>
      </c>
    </row>
    <row r="7653">
      <c r="A7653" s="4" t="s">
        <v>7765</v>
      </c>
      <c r="B7653" s="5" t="str">
        <f>IFERROR(__xludf.DUMMYFUNCTION("IF(A7653="""","""",INDEX(SPLIT(A7653,"" ""),COUNTA(SPLIT(A7653,"" ""))))"),"Tula")</f>
        <v>Tula</v>
      </c>
      <c r="C7653" s="6"/>
      <c r="D7653" s="6" t="s">
        <v>7691</v>
      </c>
      <c r="E7653" s="7" t="s">
        <v>7692</v>
      </c>
    </row>
    <row r="7654">
      <c r="A7654" s="4" t="s">
        <v>7766</v>
      </c>
      <c r="B7654" s="5" t="str">
        <f>IFERROR(__xludf.DUMMYFUNCTION("IF(A7654="""","""",INDEX(SPLIT(A7654,"" ""),COUNTA(SPLIT(A7654,"" ""))))"),"Uri")</f>
        <v>Uri</v>
      </c>
      <c r="C7654" s="6"/>
      <c r="D7654" s="6" t="s">
        <v>7691</v>
      </c>
      <c r="E7654" s="7" t="s">
        <v>7692</v>
      </c>
    </row>
    <row r="7655">
      <c r="A7655" s="4" t="s">
        <v>7767</v>
      </c>
      <c r="B7655" s="5" t="str">
        <f>IFERROR(__xludf.DUMMYFUNCTION("IF(A7655="""","""",INDEX(SPLIT(A7655,"" ""),COUNTA(SPLIT(A7655,"" ""))))"),"Usini")</f>
        <v>Usini</v>
      </c>
      <c r="C7655" s="6"/>
      <c r="D7655" s="6" t="s">
        <v>7691</v>
      </c>
      <c r="E7655" s="7" t="s">
        <v>7692</v>
      </c>
    </row>
    <row r="7656">
      <c r="A7656" s="4" t="s">
        <v>7768</v>
      </c>
      <c r="B7656" s="5" t="str">
        <f>IFERROR(__xludf.DUMMYFUNCTION("IF(A7656="""","""",INDEX(SPLIT(A7656,"" ""),COUNTA(SPLIT(A7656,"" ""))))"),"Monteleone")</f>
        <v>Monteleone</v>
      </c>
      <c r="C7656" s="6"/>
      <c r="D7656" s="6" t="s">
        <v>7691</v>
      </c>
      <c r="E7656" s="7" t="s">
        <v>7692</v>
      </c>
    </row>
    <row r="7657">
      <c r="A7657" s="4" t="s">
        <v>7769</v>
      </c>
      <c r="B7657" s="5" t="str">
        <f>IFERROR(__xludf.DUMMYFUNCTION("IF(A7657="""","""",INDEX(SPLIT(A7657,"" ""),COUNTA(SPLIT(A7657,"" ""))))"),"Valledoria")</f>
        <v>Valledoria</v>
      </c>
      <c r="C7657" s="6"/>
      <c r="D7657" s="6" t="s">
        <v>7691</v>
      </c>
      <c r="E7657" s="7" t="s">
        <v>7692</v>
      </c>
    </row>
    <row r="7658">
      <c r="A7658" s="4" t="s">
        <v>7770</v>
      </c>
      <c r="B7658" s="5" t="str">
        <f>IFERROR(__xludf.DUMMYFUNCTION("IF(A7658="""","""",INDEX(SPLIT(A7658,"" ""),COUNTA(SPLIT(A7658,"" ""))))"),"Telti")</f>
        <v>Telti</v>
      </c>
      <c r="C7658" s="6"/>
      <c r="D7658" s="6" t="s">
        <v>7691</v>
      </c>
      <c r="E7658" s="7" t="s">
        <v>7692</v>
      </c>
    </row>
    <row r="7659">
      <c r="A7659" s="4" t="s">
        <v>7771</v>
      </c>
      <c r="B7659" s="5" t="str">
        <f>IFERROR(__xludf.DUMMYFUNCTION("IF(A7659="""","""",INDEX(SPLIT(A7659,"" ""),COUNTA(SPLIT(A7659,"" ""))))"),"Badesi")</f>
        <v>Badesi</v>
      </c>
      <c r="C7659" s="6"/>
      <c r="D7659" s="6" t="s">
        <v>7691</v>
      </c>
      <c r="E7659" s="7" t="s">
        <v>7692</v>
      </c>
    </row>
    <row r="7660">
      <c r="A7660" s="4" t="s">
        <v>7772</v>
      </c>
      <c r="B7660" s="5" t="str">
        <f>IFERROR(__xludf.DUMMYFUNCTION("IF(A7660="""","""",INDEX(SPLIT(A7660,"" ""),COUNTA(SPLIT(A7660,"" ""))))"),"Viddalba")</f>
        <v>Viddalba</v>
      </c>
      <c r="C7660" s="6"/>
      <c r="D7660" s="6" t="s">
        <v>7691</v>
      </c>
      <c r="E7660" s="7" t="s">
        <v>7692</v>
      </c>
    </row>
    <row r="7661">
      <c r="A7661" s="4" t="s">
        <v>7773</v>
      </c>
      <c r="B7661" s="5" t="str">
        <f>IFERROR(__xludf.DUMMYFUNCTION("IF(A7661="""","""",INDEX(SPLIT(A7661,"" ""),COUNTA(SPLIT(A7661,"" ""))))"),"Aranci")</f>
        <v>Aranci</v>
      </c>
      <c r="C7661" s="6"/>
      <c r="D7661" s="6" t="s">
        <v>7691</v>
      </c>
      <c r="E7661" s="7" t="s">
        <v>7692</v>
      </c>
    </row>
    <row r="7662">
      <c r="A7662" s="4" t="s">
        <v>7774</v>
      </c>
      <c r="B7662" s="5" t="str">
        <f>IFERROR(__xludf.DUMMYFUNCTION("IF(A7662="""","""",INDEX(SPLIT(A7662,"" ""),COUNTA(SPLIT(A7662,"" ""))))"),"Paolo")</f>
        <v>Paolo</v>
      </c>
      <c r="C7662" s="6"/>
      <c r="D7662" s="6" t="s">
        <v>7691</v>
      </c>
      <c r="E7662" s="7" t="s">
        <v>7692</v>
      </c>
    </row>
    <row r="7663">
      <c r="A7663" s="4" t="s">
        <v>7775</v>
      </c>
      <c r="B7663" s="5" t="str">
        <f>IFERROR(__xludf.DUMMYFUNCTION("IF(A7663="""","""",INDEX(SPLIT(A7663,"" ""),COUNTA(SPLIT(A7663,"" ""))))"),"Gallura")</f>
        <v>Gallura</v>
      </c>
      <c r="C7663" s="6"/>
      <c r="D7663" s="6" t="s">
        <v>7691</v>
      </c>
      <c r="E7663" s="7" t="s">
        <v>7692</v>
      </c>
    </row>
    <row r="7664">
      <c r="A7664" s="4" t="s">
        <v>7776</v>
      </c>
      <c r="B7664" s="5" t="str">
        <f>IFERROR(__xludf.DUMMYFUNCTION("IF(A7664="""","""",INDEX(SPLIT(A7664,"" ""),COUNTA(SPLIT(A7664,"" ""))))"),"Tergu")</f>
        <v>Tergu</v>
      </c>
      <c r="C7664" s="6"/>
      <c r="D7664" s="6" t="s">
        <v>7691</v>
      </c>
      <c r="E7664" s="7" t="s">
        <v>7692</v>
      </c>
    </row>
    <row r="7665">
      <c r="A7665" s="4" t="s">
        <v>7777</v>
      </c>
      <c r="B7665" s="5" t="str">
        <f>IFERROR(__xludf.DUMMYFUNCTION("IF(A7665="""","""",INDEX(SPLIT(A7665,"" ""),COUNTA(SPLIT(A7665,"" ""))))"),"Coghinas")</f>
        <v>Coghinas</v>
      </c>
      <c r="C7665" s="6"/>
      <c r="D7665" s="6" t="s">
        <v>7691</v>
      </c>
      <c r="E7665" s="7" t="s">
        <v>7692</v>
      </c>
    </row>
    <row r="7666">
      <c r="A7666" s="4" t="s">
        <v>7778</v>
      </c>
      <c r="B7666" s="5" t="str">
        <f>IFERROR(__xludf.DUMMYFUNCTION("IF(A7666="""","""",INDEX(SPLIT(A7666,"" ""),COUNTA(SPLIT(A7666,"" ""))))"),"Erula")</f>
        <v>Erula</v>
      </c>
      <c r="C7666" s="6"/>
      <c r="D7666" s="6" t="s">
        <v>7691</v>
      </c>
      <c r="E7666" s="7" t="s">
        <v>7692</v>
      </c>
    </row>
    <row r="7667">
      <c r="A7667" s="4" t="s">
        <v>7779</v>
      </c>
      <c r="B7667" s="5" t="str">
        <f>IFERROR(__xludf.DUMMYFUNCTION("IF(A7667="""","""",INDEX(SPLIT(A7667,"" ""),COUNTA(SPLIT(A7667,"" ""))))"),"Stintino")</f>
        <v>Stintino</v>
      </c>
      <c r="C7667" s="6"/>
      <c r="D7667" s="6" t="s">
        <v>7691</v>
      </c>
      <c r="E7667" s="7" t="s">
        <v>7692</v>
      </c>
    </row>
    <row r="7668">
      <c r="A7668" s="4" t="s">
        <v>7780</v>
      </c>
      <c r="B7668" s="5" t="str">
        <f>IFERROR(__xludf.DUMMYFUNCTION("IF(A7668="""","""",INDEX(SPLIT(A7668,"" ""),COUNTA(SPLIT(A7668,"" ""))))"),"Padru")</f>
        <v>Padru</v>
      </c>
      <c r="C7668" s="6"/>
      <c r="D7668" s="6" t="s">
        <v>7691</v>
      </c>
      <c r="E7668" s="7" t="s">
        <v>7692</v>
      </c>
    </row>
    <row r="7669">
      <c r="A7669" s="4" t="s">
        <v>7781</v>
      </c>
      <c r="B7669" s="5" t="str">
        <f>IFERROR(__xludf.DUMMYFUNCTION("IF(A7669="""","""",INDEX(SPLIT(A7669,"" ""),COUNTA(SPLIT(A7669,"" ""))))"),"Budoni")</f>
        <v>Budoni</v>
      </c>
      <c r="C7669" s="15"/>
      <c r="D7669" s="6" t="s">
        <v>7691</v>
      </c>
      <c r="E7669" s="7" t="s">
        <v>7692</v>
      </c>
    </row>
    <row r="7670">
      <c r="A7670" s="4" t="s">
        <v>7490</v>
      </c>
      <c r="B7670" s="5" t="str">
        <f>IFERROR(__xludf.DUMMYFUNCTION("IF(A7670="""","""",INDEX(SPLIT(A7670,"" ""),COUNTA(SPLIT(A7670,"" ""))))"),"Teodoro")</f>
        <v>Teodoro</v>
      </c>
      <c r="C7670" s="15"/>
      <c r="D7670" s="6" t="s">
        <v>7691</v>
      </c>
      <c r="E7670" s="7" t="s">
        <v>7692</v>
      </c>
    </row>
    <row r="7671">
      <c r="A7671" s="4" t="s">
        <v>7782</v>
      </c>
      <c r="B7671" s="5" t="str">
        <f>IFERROR(__xludf.DUMMYFUNCTION("IF(A7671="""","""",INDEX(SPLIT(A7671,"" ""),COUNTA(SPLIT(A7671,"" ""))))"),"Aritzo")</f>
        <v>Aritzo</v>
      </c>
      <c r="C7671" s="6"/>
      <c r="D7671" s="6" t="s">
        <v>7783</v>
      </c>
      <c r="E7671" s="7" t="s">
        <v>7784</v>
      </c>
    </row>
    <row r="7672">
      <c r="A7672" s="4" t="s">
        <v>7785</v>
      </c>
      <c r="B7672" s="5" t="str">
        <f>IFERROR(__xludf.DUMMYFUNCTION("IF(A7672="""","""",INDEX(SPLIT(A7672,"" ""),COUNTA(SPLIT(A7672,"" ""))))"),"Arzana")</f>
        <v>Arzana</v>
      </c>
      <c r="C7672" s="6"/>
      <c r="D7672" s="6" t="s">
        <v>7783</v>
      </c>
      <c r="E7672" s="7" t="s">
        <v>7784</v>
      </c>
    </row>
    <row r="7673">
      <c r="A7673" s="4" t="s">
        <v>7786</v>
      </c>
      <c r="B7673" s="5" t="str">
        <f>IFERROR(__xludf.DUMMYFUNCTION("IF(A7673="""","""",INDEX(SPLIT(A7673,"" ""),COUNTA(SPLIT(A7673,"" ""))))"),"Atzara")</f>
        <v>Atzara</v>
      </c>
      <c r="C7673" s="6"/>
      <c r="D7673" s="6" t="s">
        <v>7783</v>
      </c>
      <c r="E7673" s="7" t="s">
        <v>7784</v>
      </c>
    </row>
    <row r="7674">
      <c r="A7674" s="4" t="s">
        <v>7787</v>
      </c>
      <c r="B7674" s="5" t="str">
        <f>IFERROR(__xludf.DUMMYFUNCTION("IF(A7674="""","""",INDEX(SPLIT(A7674,"" ""),COUNTA(SPLIT(A7674,"" ""))))"),"Austis")</f>
        <v>Austis</v>
      </c>
      <c r="C7674" s="6"/>
      <c r="D7674" s="6" t="s">
        <v>7783</v>
      </c>
      <c r="E7674" s="7" t="s">
        <v>7784</v>
      </c>
    </row>
    <row r="7675">
      <c r="A7675" s="4" t="s">
        <v>7788</v>
      </c>
      <c r="B7675" s="5" t="str">
        <f>IFERROR(__xludf.DUMMYFUNCTION("IF(A7675="""","""",INDEX(SPLIT(A7675,"" ""),COUNTA(SPLIT(A7675,"" ""))))"),"Sardo")</f>
        <v>Sardo</v>
      </c>
      <c r="C7675" s="6"/>
      <c r="D7675" s="6" t="s">
        <v>7783</v>
      </c>
      <c r="E7675" s="7" t="s">
        <v>7784</v>
      </c>
    </row>
    <row r="7676">
      <c r="A7676" s="4" t="s">
        <v>7789</v>
      </c>
      <c r="B7676" s="5" t="str">
        <f>IFERROR(__xludf.DUMMYFUNCTION("IF(A7676="""","""",INDEX(SPLIT(A7676,"" ""),COUNTA(SPLIT(A7676,"" ""))))"),"Baunei")</f>
        <v>Baunei</v>
      </c>
      <c r="C7676" s="6"/>
      <c r="D7676" s="6" t="s">
        <v>7783</v>
      </c>
      <c r="E7676" s="7" t="s">
        <v>7784</v>
      </c>
    </row>
    <row r="7677">
      <c r="A7677" s="4" t="s">
        <v>7790</v>
      </c>
      <c r="B7677" s="5" t="str">
        <f>IFERROR(__xludf.DUMMYFUNCTION("IF(A7677="""","""",INDEX(SPLIT(A7677,"" ""),COUNTA(SPLIT(A7677,"" ""))))"),"Belvì")</f>
        <v>Belvì</v>
      </c>
      <c r="C7677" s="6"/>
      <c r="D7677" s="6" t="s">
        <v>7783</v>
      </c>
      <c r="E7677" s="7" t="s">
        <v>7784</v>
      </c>
    </row>
    <row r="7678">
      <c r="A7678" s="4" t="s">
        <v>7791</v>
      </c>
      <c r="B7678" s="5" t="str">
        <f>IFERROR(__xludf.DUMMYFUNCTION("IF(A7678="""","""",INDEX(SPLIT(A7678,"" ""),COUNTA(SPLIT(A7678,"" ""))))"),"Birori")</f>
        <v>Birori</v>
      </c>
      <c r="C7678" s="6"/>
      <c r="D7678" s="6" t="s">
        <v>7783</v>
      </c>
      <c r="E7678" s="7" t="s">
        <v>7784</v>
      </c>
    </row>
    <row r="7679">
      <c r="A7679" s="4" t="s">
        <v>7792</v>
      </c>
      <c r="B7679" s="5" t="str">
        <f>IFERROR(__xludf.DUMMYFUNCTION("IF(A7679="""","""",INDEX(SPLIT(A7679,"" ""),COUNTA(SPLIT(A7679,"" ""))))"),"Bitti")</f>
        <v>Bitti</v>
      </c>
      <c r="C7679" s="6"/>
      <c r="D7679" s="6" t="s">
        <v>7783</v>
      </c>
      <c r="E7679" s="7" t="s">
        <v>7784</v>
      </c>
    </row>
    <row r="7680">
      <c r="A7680" s="4" t="s">
        <v>7793</v>
      </c>
      <c r="B7680" s="5" t="str">
        <f>IFERROR(__xludf.DUMMYFUNCTION("IF(A7680="""","""",INDEX(SPLIT(A7680,"" ""),COUNTA(SPLIT(A7680,"" ""))))"),"Bolotana")</f>
        <v>Bolotana</v>
      </c>
      <c r="C7680" s="6"/>
      <c r="D7680" s="6" t="s">
        <v>7783</v>
      </c>
      <c r="E7680" s="7" t="s">
        <v>7784</v>
      </c>
    </row>
    <row r="7681">
      <c r="A7681" s="4" t="s">
        <v>7794</v>
      </c>
      <c r="B7681" s="5" t="str">
        <f>IFERROR(__xludf.DUMMYFUNCTION("IF(A7681="""","""",INDEX(SPLIT(A7681,"" ""),COUNTA(SPLIT(A7681,"" ""))))"),"Borore")</f>
        <v>Borore</v>
      </c>
      <c r="C7681" s="6"/>
      <c r="D7681" s="6" t="s">
        <v>7783</v>
      </c>
      <c r="E7681" s="7" t="s">
        <v>7784</v>
      </c>
    </row>
    <row r="7682">
      <c r="A7682" s="4" t="s">
        <v>7795</v>
      </c>
      <c r="B7682" s="5" t="str">
        <f>IFERROR(__xludf.DUMMYFUNCTION("IF(A7682="""","""",INDEX(SPLIT(A7682,"" ""),COUNTA(SPLIT(A7682,"" ""))))"),"Bortigali")</f>
        <v>Bortigali</v>
      </c>
      <c r="C7682" s="6"/>
      <c r="D7682" s="6" t="s">
        <v>7783</v>
      </c>
      <c r="E7682" s="7" t="s">
        <v>7784</v>
      </c>
    </row>
    <row r="7683">
      <c r="A7683" s="4" t="s">
        <v>7796</v>
      </c>
      <c r="B7683" s="5" t="str">
        <f>IFERROR(__xludf.DUMMYFUNCTION("IF(A7683="""","""",INDEX(SPLIT(A7683,"" ""),COUNTA(SPLIT(A7683,"" ""))))"),"Desulo")</f>
        <v>Desulo</v>
      </c>
      <c r="C7683" s="6"/>
      <c r="D7683" s="6" t="s">
        <v>7783</v>
      </c>
      <c r="E7683" s="7" t="s">
        <v>7784</v>
      </c>
    </row>
    <row r="7684">
      <c r="A7684" s="4" t="s">
        <v>7797</v>
      </c>
      <c r="B7684" s="5" t="str">
        <f>IFERROR(__xludf.DUMMYFUNCTION("IF(A7684="""","""",INDEX(SPLIT(A7684,"" ""),COUNTA(SPLIT(A7684,"" ""))))"),"Dorgali")</f>
        <v>Dorgali</v>
      </c>
      <c r="C7684" s="6"/>
      <c r="D7684" s="6" t="s">
        <v>7783</v>
      </c>
      <c r="E7684" s="7" t="s">
        <v>7784</v>
      </c>
    </row>
    <row r="7685">
      <c r="A7685" s="4" t="s">
        <v>7798</v>
      </c>
      <c r="B7685" s="5" t="str">
        <f>IFERROR(__xludf.DUMMYFUNCTION("IF(A7685="""","""",INDEX(SPLIT(A7685,"" ""),COUNTA(SPLIT(A7685,"" ""))))"),"Dualchi")</f>
        <v>Dualchi</v>
      </c>
      <c r="C7685" s="6"/>
      <c r="D7685" s="6" t="s">
        <v>7783</v>
      </c>
      <c r="E7685" s="7" t="s">
        <v>7784</v>
      </c>
    </row>
    <row r="7686">
      <c r="A7686" s="4" t="s">
        <v>7799</v>
      </c>
      <c r="B7686" s="5" t="str">
        <f>IFERROR(__xludf.DUMMYFUNCTION("IF(A7686="""","""",INDEX(SPLIT(A7686,"" ""),COUNTA(SPLIT(A7686,"" ""))))"),"Elini")</f>
        <v>Elini</v>
      </c>
      <c r="C7686" s="6"/>
      <c r="D7686" s="6" t="s">
        <v>7783</v>
      </c>
      <c r="E7686" s="7" t="s">
        <v>7784</v>
      </c>
    </row>
    <row r="7687">
      <c r="A7687" s="4" t="s">
        <v>7800</v>
      </c>
      <c r="B7687" s="5" t="str">
        <f>IFERROR(__xludf.DUMMYFUNCTION("IF(A7687="""","""",INDEX(SPLIT(A7687,"" ""),COUNTA(SPLIT(A7687,"" ""))))"),"Fonni")</f>
        <v>Fonni</v>
      </c>
      <c r="C7687" s="6"/>
      <c r="D7687" s="6" t="s">
        <v>7783</v>
      </c>
      <c r="E7687" s="7" t="s">
        <v>7784</v>
      </c>
    </row>
    <row r="7688">
      <c r="A7688" s="4" t="s">
        <v>7801</v>
      </c>
      <c r="B7688" s="5" t="str">
        <f>IFERROR(__xludf.DUMMYFUNCTION("IF(A7688="""","""",INDEX(SPLIT(A7688,"" ""),COUNTA(SPLIT(A7688,"" ""))))"),"Gadoni")</f>
        <v>Gadoni</v>
      </c>
      <c r="C7688" s="6"/>
      <c r="D7688" s="6" t="s">
        <v>7783</v>
      </c>
      <c r="E7688" s="7" t="s">
        <v>7784</v>
      </c>
    </row>
    <row r="7689">
      <c r="A7689" s="4" t="s">
        <v>7802</v>
      </c>
      <c r="B7689" s="5" t="str">
        <f>IFERROR(__xludf.DUMMYFUNCTION("IF(A7689="""","""",INDEX(SPLIT(A7689,"" ""),COUNTA(SPLIT(A7689,"" ""))))"),"Gairo")</f>
        <v>Gairo</v>
      </c>
      <c r="C7689" s="6"/>
      <c r="D7689" s="6" t="s">
        <v>7783</v>
      </c>
      <c r="E7689" s="7" t="s">
        <v>7784</v>
      </c>
    </row>
    <row r="7690">
      <c r="A7690" s="4" t="s">
        <v>7803</v>
      </c>
      <c r="B7690" s="5" t="str">
        <f>IFERROR(__xludf.DUMMYFUNCTION("IF(A7690="""","""",INDEX(SPLIT(A7690,"" ""),COUNTA(SPLIT(A7690,"" ""))))"),"Galtellì")</f>
        <v>Galtellì</v>
      </c>
      <c r="C7690" s="6"/>
      <c r="D7690" s="6" t="s">
        <v>7783</v>
      </c>
      <c r="E7690" s="7" t="s">
        <v>7784</v>
      </c>
    </row>
    <row r="7691">
      <c r="A7691" s="4" t="s">
        <v>7804</v>
      </c>
      <c r="B7691" s="5" t="str">
        <f>IFERROR(__xludf.DUMMYFUNCTION("IF(A7691="""","""",INDEX(SPLIT(A7691,"" ""),COUNTA(SPLIT(A7691,"" ""))))"),"Gavoi")</f>
        <v>Gavoi</v>
      </c>
      <c r="C7691" s="6"/>
      <c r="D7691" s="6" t="s">
        <v>7783</v>
      </c>
      <c r="E7691" s="7" t="s">
        <v>7784</v>
      </c>
    </row>
    <row r="7692">
      <c r="A7692" s="4" t="s">
        <v>7805</v>
      </c>
      <c r="B7692" s="5" t="str">
        <f>IFERROR(__xludf.DUMMYFUNCTION("IF(A7692="""","""",INDEX(SPLIT(A7692,"" ""),COUNTA(SPLIT(A7692,"" ""))))"),"Girasole")</f>
        <v>Girasole</v>
      </c>
      <c r="C7692" s="6"/>
      <c r="D7692" s="6" t="s">
        <v>7783</v>
      </c>
      <c r="E7692" s="7" t="s">
        <v>7784</v>
      </c>
    </row>
    <row r="7693">
      <c r="A7693" s="4" t="s">
        <v>7806</v>
      </c>
      <c r="B7693" s="5" t="str">
        <f>IFERROR(__xludf.DUMMYFUNCTION("IF(A7693="""","""",INDEX(SPLIT(A7693,"" ""),COUNTA(SPLIT(A7693,"" ""))))"),"Ilbono")</f>
        <v>Ilbono</v>
      </c>
      <c r="C7693" s="6"/>
      <c r="D7693" s="6" t="s">
        <v>7783</v>
      </c>
      <c r="E7693" s="7" t="s">
        <v>7784</v>
      </c>
    </row>
    <row r="7694">
      <c r="A7694" s="4" t="s">
        <v>7807</v>
      </c>
      <c r="B7694" s="5" t="str">
        <f>IFERROR(__xludf.DUMMYFUNCTION("IF(A7694="""","""",INDEX(SPLIT(A7694,"" ""),COUNTA(SPLIT(A7694,"" ""))))"),"Irgoli")</f>
        <v>Irgoli</v>
      </c>
      <c r="C7694" s="6"/>
      <c r="D7694" s="6" t="s">
        <v>7783</v>
      </c>
      <c r="E7694" s="7" t="s">
        <v>7784</v>
      </c>
    </row>
    <row r="7695">
      <c r="A7695" s="4" t="s">
        <v>7808</v>
      </c>
      <c r="B7695" s="5" t="str">
        <f>IFERROR(__xludf.DUMMYFUNCTION("IF(A7695="""","""",INDEX(SPLIT(A7695,"" ""),COUNTA(SPLIT(A7695,"" ""))))"),"Jerzu")</f>
        <v>Jerzu</v>
      </c>
      <c r="C7695" s="6"/>
      <c r="D7695" s="6" t="s">
        <v>7783</v>
      </c>
      <c r="E7695" s="7" t="s">
        <v>7784</v>
      </c>
    </row>
    <row r="7696">
      <c r="A7696" s="4" t="s">
        <v>7809</v>
      </c>
      <c r="B7696" s="5" t="str">
        <f>IFERROR(__xludf.DUMMYFUNCTION("IF(A7696="""","""",INDEX(SPLIT(A7696,"" ""),COUNTA(SPLIT(A7696,"" ""))))"),"Lanusei")</f>
        <v>Lanusei</v>
      </c>
      <c r="C7696" s="6"/>
      <c r="D7696" s="6" t="s">
        <v>7783</v>
      </c>
      <c r="E7696" s="7" t="s">
        <v>7784</v>
      </c>
    </row>
    <row r="7697">
      <c r="A7697" s="4" t="s">
        <v>7810</v>
      </c>
      <c r="B7697" s="5" t="str">
        <f>IFERROR(__xludf.DUMMYFUNCTION("IF(A7697="""","""",INDEX(SPLIT(A7697,"" ""),COUNTA(SPLIT(A7697,"" ""))))"),"Lei")</f>
        <v>Lei</v>
      </c>
      <c r="C7697" s="6"/>
      <c r="D7697" s="6" t="s">
        <v>7783</v>
      </c>
      <c r="E7697" s="7" t="s">
        <v>7784</v>
      </c>
    </row>
    <row r="7698">
      <c r="A7698" s="4" t="s">
        <v>7811</v>
      </c>
      <c r="B7698" s="5" t="str">
        <f>IFERROR(__xludf.DUMMYFUNCTION("IF(A7698="""","""",INDEX(SPLIT(A7698,"" ""),COUNTA(SPLIT(A7698,"" ""))))"),"Loceri")</f>
        <v>Loceri</v>
      </c>
      <c r="C7698" s="6"/>
      <c r="D7698" s="6" t="s">
        <v>7783</v>
      </c>
      <c r="E7698" s="7" t="s">
        <v>7784</v>
      </c>
    </row>
    <row r="7699">
      <c r="A7699" s="4" t="s">
        <v>7812</v>
      </c>
      <c r="B7699" s="5" t="str">
        <f>IFERROR(__xludf.DUMMYFUNCTION("IF(A7699="""","""",INDEX(SPLIT(A7699,"" ""),COUNTA(SPLIT(A7699,"" ""))))"),"Loculi")</f>
        <v>Loculi</v>
      </c>
      <c r="C7699" s="6"/>
      <c r="D7699" s="6" t="s">
        <v>7783</v>
      </c>
      <c r="E7699" s="7" t="s">
        <v>7784</v>
      </c>
    </row>
    <row r="7700">
      <c r="A7700" s="4" t="s">
        <v>7813</v>
      </c>
      <c r="B7700" s="5" t="str">
        <f>IFERROR(__xludf.DUMMYFUNCTION("IF(A7700="""","""",INDEX(SPLIT(A7700,"" ""),COUNTA(SPLIT(A7700,"" ""))))"),"Lodè")</f>
        <v>Lodè</v>
      </c>
      <c r="C7700" s="6"/>
      <c r="D7700" s="6" t="s">
        <v>7783</v>
      </c>
      <c r="E7700" s="7" t="s">
        <v>7784</v>
      </c>
    </row>
    <row r="7701">
      <c r="A7701" s="4" t="s">
        <v>7814</v>
      </c>
      <c r="B7701" s="5" t="str">
        <f>IFERROR(__xludf.DUMMYFUNCTION("IF(A7701="""","""",INDEX(SPLIT(A7701,"" ""),COUNTA(SPLIT(A7701,"" ""))))"),"Lotzorai")</f>
        <v>Lotzorai</v>
      </c>
      <c r="C7701" s="6"/>
      <c r="D7701" s="6" t="s">
        <v>7783</v>
      </c>
      <c r="E7701" s="7" t="s">
        <v>7784</v>
      </c>
    </row>
    <row r="7702">
      <c r="A7702" s="4" t="s">
        <v>7815</v>
      </c>
      <c r="B7702" s="5" t="str">
        <f>IFERROR(__xludf.DUMMYFUNCTION("IF(A7702="""","""",INDEX(SPLIT(A7702,"" ""),COUNTA(SPLIT(A7702,"" ""))))"),"Lula")</f>
        <v>Lula</v>
      </c>
      <c r="C7702" s="6"/>
      <c r="D7702" s="6" t="s">
        <v>7783</v>
      </c>
      <c r="E7702" s="7" t="s">
        <v>7784</v>
      </c>
    </row>
    <row r="7703">
      <c r="A7703" s="4" t="s">
        <v>7816</v>
      </c>
      <c r="B7703" s="5" t="str">
        <f>IFERROR(__xludf.DUMMYFUNCTION("IF(A7703="""","""",INDEX(SPLIT(A7703,"" ""),COUNTA(SPLIT(A7703,"" ""))))"),"Macomer")</f>
        <v>Macomer</v>
      </c>
      <c r="C7703" s="6"/>
      <c r="D7703" s="6" t="s">
        <v>7783</v>
      </c>
      <c r="E7703" s="7" t="s">
        <v>7784</v>
      </c>
    </row>
    <row r="7704">
      <c r="A7704" s="4" t="s">
        <v>7817</v>
      </c>
      <c r="B7704" s="5" t="str">
        <f>IFERROR(__xludf.DUMMYFUNCTION("IF(A7704="""","""",INDEX(SPLIT(A7704,"" ""),COUNTA(SPLIT(A7704,"" ""))))"),"Mamoiada")</f>
        <v>Mamoiada</v>
      </c>
      <c r="C7704" s="6"/>
      <c r="D7704" s="6" t="s">
        <v>7783</v>
      </c>
      <c r="E7704" s="7" t="s">
        <v>7784</v>
      </c>
    </row>
    <row r="7705">
      <c r="A7705" s="4" t="s">
        <v>7818</v>
      </c>
      <c r="B7705" s="5" t="str">
        <f>IFERROR(__xludf.DUMMYFUNCTION("IF(A7705="""","""",INDEX(SPLIT(A7705,"" ""),COUNTA(SPLIT(A7705,"" ""))))"),"Sardo")</f>
        <v>Sardo</v>
      </c>
      <c r="C7705" s="6"/>
      <c r="D7705" s="6" t="s">
        <v>7783</v>
      </c>
      <c r="E7705" s="7" t="s">
        <v>7784</v>
      </c>
    </row>
    <row r="7706">
      <c r="A7706" s="4" t="s">
        <v>7819</v>
      </c>
      <c r="B7706" s="5" t="str">
        <f>IFERROR(__xludf.DUMMYFUNCTION("IF(A7706="""","""",INDEX(SPLIT(A7706,"" ""),COUNTA(SPLIT(A7706,"" ""))))"),"Noragugume")</f>
        <v>Noragugume</v>
      </c>
      <c r="C7706" s="6"/>
      <c r="D7706" s="6" t="s">
        <v>7783</v>
      </c>
      <c r="E7706" s="7" t="s">
        <v>7784</v>
      </c>
    </row>
    <row r="7707">
      <c r="A7707" s="4" t="s">
        <v>7783</v>
      </c>
      <c r="B7707" s="5" t="str">
        <f>IFERROR(__xludf.DUMMYFUNCTION("IF(A7707="""","""",INDEX(SPLIT(A7707,"" ""),COUNTA(SPLIT(A7707,"" ""))))"),"Nuoro")</f>
        <v>Nuoro</v>
      </c>
      <c r="C7707" s="6"/>
      <c r="D7707" s="6" t="s">
        <v>7783</v>
      </c>
      <c r="E7707" s="7" t="s">
        <v>7784</v>
      </c>
    </row>
    <row r="7708">
      <c r="A7708" s="4" t="s">
        <v>7820</v>
      </c>
      <c r="B7708" s="5" t="str">
        <f>IFERROR(__xludf.DUMMYFUNCTION("IF(A7708="""","""",INDEX(SPLIT(A7708,"" ""),COUNTA(SPLIT(A7708,"" ""))))"),"Oliena")</f>
        <v>Oliena</v>
      </c>
      <c r="C7708" s="6"/>
      <c r="D7708" s="6" t="s">
        <v>7783</v>
      </c>
      <c r="E7708" s="7" t="s">
        <v>7784</v>
      </c>
    </row>
    <row r="7709">
      <c r="A7709" s="4" t="s">
        <v>7821</v>
      </c>
      <c r="B7709" s="5" t="str">
        <f>IFERROR(__xludf.DUMMYFUNCTION("IF(A7709="""","""",INDEX(SPLIT(A7709,"" ""),COUNTA(SPLIT(A7709,"" ""))))"),"Ollolai")</f>
        <v>Ollolai</v>
      </c>
      <c r="C7709" s="6"/>
      <c r="D7709" s="6" t="s">
        <v>7783</v>
      </c>
      <c r="E7709" s="7" t="s">
        <v>7784</v>
      </c>
    </row>
    <row r="7710">
      <c r="A7710" s="4" t="s">
        <v>7822</v>
      </c>
      <c r="B7710" s="5" t="str">
        <f>IFERROR(__xludf.DUMMYFUNCTION("IF(A7710="""","""",INDEX(SPLIT(A7710,"" ""),COUNTA(SPLIT(A7710,"" ""))))"),"Olzai")</f>
        <v>Olzai</v>
      </c>
      <c r="C7710" s="6"/>
      <c r="D7710" s="6" t="s">
        <v>7783</v>
      </c>
      <c r="E7710" s="7" t="s">
        <v>7784</v>
      </c>
    </row>
    <row r="7711">
      <c r="A7711" s="4" t="s">
        <v>7823</v>
      </c>
      <c r="B7711" s="5" t="str">
        <f>IFERROR(__xludf.DUMMYFUNCTION("IF(A7711="""","""",INDEX(SPLIT(A7711,"" ""),COUNTA(SPLIT(A7711,"" ""))))"),"Onanì")</f>
        <v>Onanì</v>
      </c>
      <c r="C7711" s="6"/>
      <c r="D7711" s="6" t="s">
        <v>7783</v>
      </c>
      <c r="E7711" s="7" t="s">
        <v>7784</v>
      </c>
    </row>
    <row r="7712">
      <c r="A7712" s="4" t="s">
        <v>7824</v>
      </c>
      <c r="B7712" s="5" t="str">
        <f>IFERROR(__xludf.DUMMYFUNCTION("IF(A7712="""","""",INDEX(SPLIT(A7712,"" ""),COUNTA(SPLIT(A7712,"" ""))))"),"Onifai")</f>
        <v>Onifai</v>
      </c>
      <c r="C7712" s="6"/>
      <c r="D7712" s="6" t="s">
        <v>7783</v>
      </c>
      <c r="E7712" s="7" t="s">
        <v>7784</v>
      </c>
    </row>
    <row r="7713">
      <c r="A7713" s="4" t="s">
        <v>7825</v>
      </c>
      <c r="B7713" s="5" t="str">
        <f>IFERROR(__xludf.DUMMYFUNCTION("IF(A7713="""","""",INDEX(SPLIT(A7713,"" ""),COUNTA(SPLIT(A7713,"" ""))))"),"Oniferi")</f>
        <v>Oniferi</v>
      </c>
      <c r="C7713" s="6"/>
      <c r="D7713" s="6" t="s">
        <v>7783</v>
      </c>
      <c r="E7713" s="7" t="s">
        <v>7784</v>
      </c>
    </row>
    <row r="7714">
      <c r="A7714" s="4" t="s">
        <v>7826</v>
      </c>
      <c r="B7714" s="5" t="str">
        <f>IFERROR(__xludf.DUMMYFUNCTION("IF(A7714="""","""",INDEX(SPLIT(A7714,"" ""),COUNTA(SPLIT(A7714,"" ""))))"),"Orani")</f>
        <v>Orani</v>
      </c>
      <c r="C7714" s="6"/>
      <c r="D7714" s="6" t="s">
        <v>7783</v>
      </c>
      <c r="E7714" s="7" t="s">
        <v>7784</v>
      </c>
    </row>
    <row r="7715">
      <c r="A7715" s="4" t="s">
        <v>7827</v>
      </c>
      <c r="B7715" s="5" t="str">
        <f>IFERROR(__xludf.DUMMYFUNCTION("IF(A7715="""","""",INDEX(SPLIT(A7715,"" ""),COUNTA(SPLIT(A7715,"" ""))))"),"Orgosolo")</f>
        <v>Orgosolo</v>
      </c>
      <c r="C7715" s="6"/>
      <c r="D7715" s="6" t="s">
        <v>7783</v>
      </c>
      <c r="E7715" s="7" t="s">
        <v>7784</v>
      </c>
    </row>
    <row r="7716">
      <c r="A7716" s="4" t="s">
        <v>7828</v>
      </c>
      <c r="B7716" s="5" t="str">
        <f>IFERROR(__xludf.DUMMYFUNCTION("IF(A7716="""","""",INDEX(SPLIT(A7716,"" ""),COUNTA(SPLIT(A7716,"" ""))))"),"Orosei")</f>
        <v>Orosei</v>
      </c>
      <c r="C7716" s="6"/>
      <c r="D7716" s="6" t="s">
        <v>7783</v>
      </c>
      <c r="E7716" s="7" t="s">
        <v>7784</v>
      </c>
    </row>
    <row r="7717">
      <c r="A7717" s="4" t="s">
        <v>7829</v>
      </c>
      <c r="B7717" s="5" t="str">
        <f>IFERROR(__xludf.DUMMYFUNCTION("IF(A7717="""","""",INDEX(SPLIT(A7717,"" ""),COUNTA(SPLIT(A7717,"" ""))))"),"Orotelli")</f>
        <v>Orotelli</v>
      </c>
      <c r="C7717" s="6"/>
      <c r="D7717" s="6" t="s">
        <v>7783</v>
      </c>
      <c r="E7717" s="7" t="s">
        <v>7784</v>
      </c>
    </row>
    <row r="7718">
      <c r="A7718" s="4" t="s">
        <v>7830</v>
      </c>
      <c r="B7718" s="5" t="str">
        <f>IFERROR(__xludf.DUMMYFUNCTION("IF(A7718="""","""",INDEX(SPLIT(A7718,"" ""),COUNTA(SPLIT(A7718,"" ""))))"),"Ortueri")</f>
        <v>Ortueri</v>
      </c>
      <c r="C7718" s="6"/>
      <c r="D7718" s="6" t="s">
        <v>7783</v>
      </c>
      <c r="E7718" s="7" t="s">
        <v>7784</v>
      </c>
    </row>
    <row r="7719">
      <c r="A7719" s="4" t="s">
        <v>7831</v>
      </c>
      <c r="B7719" s="5" t="str">
        <f>IFERROR(__xludf.DUMMYFUNCTION("IF(A7719="""","""",INDEX(SPLIT(A7719,"" ""),COUNTA(SPLIT(A7719,"" ""))))"),"Orune")</f>
        <v>Orune</v>
      </c>
      <c r="C7719" s="6"/>
      <c r="D7719" s="6" t="s">
        <v>7783</v>
      </c>
      <c r="E7719" s="7" t="s">
        <v>7784</v>
      </c>
    </row>
    <row r="7720">
      <c r="A7720" s="4" t="s">
        <v>7832</v>
      </c>
      <c r="B7720" s="5" t="str">
        <f>IFERROR(__xludf.DUMMYFUNCTION("IF(A7720="""","""",INDEX(SPLIT(A7720,"" ""),COUNTA(SPLIT(A7720,"" ""))))"),"Osidda")</f>
        <v>Osidda</v>
      </c>
      <c r="C7720" s="6"/>
      <c r="D7720" s="6" t="s">
        <v>7783</v>
      </c>
      <c r="E7720" s="7" t="s">
        <v>7784</v>
      </c>
    </row>
    <row r="7721">
      <c r="A7721" s="4" t="s">
        <v>7833</v>
      </c>
      <c r="B7721" s="5" t="str">
        <f>IFERROR(__xludf.DUMMYFUNCTION("IF(A7721="""","""",INDEX(SPLIT(A7721,"" ""),COUNTA(SPLIT(A7721,"" ""))))"),"Osini")</f>
        <v>Osini</v>
      </c>
      <c r="C7721" s="6"/>
      <c r="D7721" s="6" t="s">
        <v>7783</v>
      </c>
      <c r="E7721" s="7" t="s">
        <v>7784</v>
      </c>
    </row>
    <row r="7722">
      <c r="A7722" s="4" t="s">
        <v>7834</v>
      </c>
      <c r="B7722" s="5" t="str">
        <f>IFERROR(__xludf.DUMMYFUNCTION("IF(A7722="""","""",INDEX(SPLIT(A7722,"" ""),COUNTA(SPLIT(A7722,"" ""))))"),"Ottana")</f>
        <v>Ottana</v>
      </c>
      <c r="C7722" s="6"/>
      <c r="D7722" s="6" t="s">
        <v>7783</v>
      </c>
      <c r="E7722" s="7" t="s">
        <v>7784</v>
      </c>
    </row>
    <row r="7723">
      <c r="A7723" s="4" t="s">
        <v>7835</v>
      </c>
      <c r="B7723" s="5" t="str">
        <f>IFERROR(__xludf.DUMMYFUNCTION("IF(A7723="""","""",INDEX(SPLIT(A7723,"" ""),COUNTA(SPLIT(A7723,"" ""))))"),"Ovodda")</f>
        <v>Ovodda</v>
      </c>
      <c r="C7723" s="6"/>
      <c r="D7723" s="6" t="s">
        <v>7783</v>
      </c>
      <c r="E7723" s="7" t="s">
        <v>7784</v>
      </c>
    </row>
    <row r="7724">
      <c r="A7724" s="4" t="s">
        <v>7836</v>
      </c>
      <c r="B7724" s="5" t="str">
        <f>IFERROR(__xludf.DUMMYFUNCTION("IF(A7724="""","""",INDEX(SPLIT(A7724,"" ""),COUNTA(SPLIT(A7724,"" ""))))"),"Perdasdefogu")</f>
        <v>Perdasdefogu</v>
      </c>
      <c r="C7724" s="6"/>
      <c r="D7724" s="6" t="s">
        <v>7783</v>
      </c>
      <c r="E7724" s="7" t="s">
        <v>7784</v>
      </c>
    </row>
    <row r="7725">
      <c r="A7725" s="4" t="s">
        <v>7837</v>
      </c>
      <c r="B7725" s="5" t="str">
        <f>IFERROR(__xludf.DUMMYFUNCTION("IF(A7725="""","""",INDEX(SPLIT(A7725,"" ""),COUNTA(SPLIT(A7725,"" ""))))"),"Posada")</f>
        <v>Posada</v>
      </c>
      <c r="C7725" s="6"/>
      <c r="D7725" s="6" t="s">
        <v>7783</v>
      </c>
      <c r="E7725" s="7" t="s">
        <v>7784</v>
      </c>
    </row>
    <row r="7726">
      <c r="A7726" s="4" t="s">
        <v>7838</v>
      </c>
      <c r="B7726" s="5" t="str">
        <f>IFERROR(__xludf.DUMMYFUNCTION("IF(A7726="""","""",INDEX(SPLIT(A7726,"" ""),COUNTA(SPLIT(A7726,"" ""))))"),"Sarule")</f>
        <v>Sarule</v>
      </c>
      <c r="C7726" s="6"/>
      <c r="D7726" s="6" t="s">
        <v>7783</v>
      </c>
      <c r="E7726" s="7" t="s">
        <v>7784</v>
      </c>
    </row>
    <row r="7727">
      <c r="A7727" s="4" t="s">
        <v>7839</v>
      </c>
      <c r="B7727" s="5" t="str">
        <f>IFERROR(__xludf.DUMMYFUNCTION("IF(A7727="""","""",INDEX(SPLIT(A7727,"" ""),COUNTA(SPLIT(A7727,"" ""))))"),"Silanus")</f>
        <v>Silanus</v>
      </c>
      <c r="C7727" s="6"/>
      <c r="D7727" s="6" t="s">
        <v>7783</v>
      </c>
      <c r="E7727" s="7" t="s">
        <v>7784</v>
      </c>
    </row>
    <row r="7728">
      <c r="A7728" s="4" t="s">
        <v>7840</v>
      </c>
      <c r="B7728" s="5" t="str">
        <f>IFERROR(__xludf.DUMMYFUNCTION("IF(A7728="""","""",INDEX(SPLIT(A7728,"" ""),COUNTA(SPLIT(A7728,"" ""))))"),"Sindia")</f>
        <v>Sindia</v>
      </c>
      <c r="C7728" s="6"/>
      <c r="D7728" s="6" t="s">
        <v>7783</v>
      </c>
      <c r="E7728" s="7" t="s">
        <v>7784</v>
      </c>
    </row>
    <row r="7729">
      <c r="A7729" s="4" t="s">
        <v>7841</v>
      </c>
      <c r="B7729" s="5" t="str">
        <f>IFERROR(__xludf.DUMMYFUNCTION("IF(A7729="""","""",INDEX(SPLIT(A7729,"" ""),COUNTA(SPLIT(A7729,"" ""))))"),"Siniscola")</f>
        <v>Siniscola</v>
      </c>
      <c r="C7729" s="6"/>
      <c r="D7729" s="6" t="s">
        <v>7783</v>
      </c>
      <c r="E7729" s="7" t="s">
        <v>7784</v>
      </c>
    </row>
    <row r="7730">
      <c r="A7730" s="4" t="s">
        <v>7842</v>
      </c>
      <c r="B7730" s="5" t="str">
        <f>IFERROR(__xludf.DUMMYFUNCTION("IF(A7730="""","""",INDEX(SPLIT(A7730,"" ""),COUNTA(SPLIT(A7730,"" ""))))"),"Sorgono")</f>
        <v>Sorgono</v>
      </c>
      <c r="C7730" s="6"/>
      <c r="D7730" s="6" t="s">
        <v>7783</v>
      </c>
      <c r="E7730" s="7" t="s">
        <v>7784</v>
      </c>
    </row>
    <row r="7731">
      <c r="A7731" s="4" t="s">
        <v>7843</v>
      </c>
      <c r="B7731" s="5" t="str">
        <f>IFERROR(__xludf.DUMMYFUNCTION("IF(A7731="""","""",INDEX(SPLIT(A7731,"" ""),COUNTA(SPLIT(A7731,"" ""))))"),"Talana")</f>
        <v>Talana</v>
      </c>
      <c r="C7731" s="6"/>
      <c r="D7731" s="6" t="s">
        <v>7783</v>
      </c>
      <c r="E7731" s="7" t="s">
        <v>7784</v>
      </c>
    </row>
    <row r="7732">
      <c r="A7732" s="4" t="s">
        <v>7844</v>
      </c>
      <c r="B7732" s="5" t="str">
        <f>IFERROR(__xludf.DUMMYFUNCTION("IF(A7732="""","""",INDEX(SPLIT(A7732,"" ""),COUNTA(SPLIT(A7732,"" ""))))"),"Tertenia")</f>
        <v>Tertenia</v>
      </c>
      <c r="C7732" s="6"/>
      <c r="D7732" s="6" t="s">
        <v>7783</v>
      </c>
      <c r="E7732" s="7" t="s">
        <v>7784</v>
      </c>
    </row>
    <row r="7733">
      <c r="A7733" s="4" t="s">
        <v>7845</v>
      </c>
      <c r="B7733" s="5" t="str">
        <f>IFERROR(__xludf.DUMMYFUNCTION("IF(A7733="""","""",INDEX(SPLIT(A7733,"" ""),COUNTA(SPLIT(A7733,"" ""))))"),"Teti")</f>
        <v>Teti</v>
      </c>
      <c r="C7733" s="6"/>
      <c r="D7733" s="6" t="s">
        <v>7783</v>
      </c>
      <c r="E7733" s="7" t="s">
        <v>7784</v>
      </c>
    </row>
    <row r="7734">
      <c r="A7734" s="4" t="s">
        <v>7846</v>
      </c>
      <c r="B7734" s="5" t="str">
        <f>IFERROR(__xludf.DUMMYFUNCTION("IF(A7734="""","""",INDEX(SPLIT(A7734,"" ""),COUNTA(SPLIT(A7734,"" ""))))"),"Tiana")</f>
        <v>Tiana</v>
      </c>
      <c r="C7734" s="6"/>
      <c r="D7734" s="6" t="s">
        <v>7783</v>
      </c>
      <c r="E7734" s="7" t="s">
        <v>7784</v>
      </c>
    </row>
    <row r="7735">
      <c r="A7735" s="4" t="s">
        <v>7847</v>
      </c>
      <c r="B7735" s="5" t="str">
        <f>IFERROR(__xludf.DUMMYFUNCTION("IF(A7735="""","""",INDEX(SPLIT(A7735,"" ""),COUNTA(SPLIT(A7735,"" ""))))"),"Tonara")</f>
        <v>Tonara</v>
      </c>
      <c r="C7735" s="6"/>
      <c r="D7735" s="6" t="s">
        <v>7783</v>
      </c>
      <c r="E7735" s="7" t="s">
        <v>7784</v>
      </c>
    </row>
    <row r="7736">
      <c r="A7736" s="4" t="s">
        <v>7848</v>
      </c>
      <c r="B7736" s="5" t="str">
        <f>IFERROR(__xludf.DUMMYFUNCTION("IF(A7736="""","""",INDEX(SPLIT(A7736,"" ""),COUNTA(SPLIT(A7736,"" ""))))"),"Torpè")</f>
        <v>Torpè</v>
      </c>
      <c r="C7736" s="6"/>
      <c r="D7736" s="6" t="s">
        <v>7783</v>
      </c>
      <c r="E7736" s="7" t="s">
        <v>7784</v>
      </c>
    </row>
    <row r="7737">
      <c r="A7737" s="4" t="s">
        <v>7849</v>
      </c>
      <c r="B7737" s="5" t="str">
        <f>IFERROR(__xludf.DUMMYFUNCTION("IF(A7737="""","""",INDEX(SPLIT(A7737,"" ""),COUNTA(SPLIT(A7737,"" ""))))"),"Tortolì")</f>
        <v>Tortolì</v>
      </c>
      <c r="C7737" s="6"/>
      <c r="D7737" s="6" t="s">
        <v>7783</v>
      </c>
      <c r="E7737" s="7" t="s">
        <v>7784</v>
      </c>
    </row>
    <row r="7738">
      <c r="A7738" s="4" t="s">
        <v>7850</v>
      </c>
      <c r="B7738" s="5" t="str">
        <f>IFERROR(__xludf.DUMMYFUNCTION("IF(A7738="""","""",INDEX(SPLIT(A7738,"" ""),COUNTA(SPLIT(A7738,"" ""))))"),"Triei")</f>
        <v>Triei</v>
      </c>
      <c r="C7738" s="6"/>
      <c r="D7738" s="6" t="s">
        <v>7783</v>
      </c>
      <c r="E7738" s="7" t="s">
        <v>7784</v>
      </c>
    </row>
    <row r="7739">
      <c r="A7739" s="4" t="s">
        <v>7851</v>
      </c>
      <c r="B7739" s="5" t="str">
        <f>IFERROR(__xludf.DUMMYFUNCTION("IF(A7739="""","""",INDEX(SPLIT(A7739,"" ""),COUNTA(SPLIT(A7739,"" ""))))"),"Ulassai")</f>
        <v>Ulassai</v>
      </c>
      <c r="C7739" s="6"/>
      <c r="D7739" s="6" t="s">
        <v>7783</v>
      </c>
      <c r="E7739" s="7" t="s">
        <v>7784</v>
      </c>
    </row>
    <row r="7740">
      <c r="A7740" s="4" t="s">
        <v>7852</v>
      </c>
      <c r="B7740" s="5" t="str">
        <f>IFERROR(__xludf.DUMMYFUNCTION("IF(A7740="""","""",INDEX(SPLIT(A7740,"" ""),COUNTA(SPLIT(A7740,"" ""))))"),"Urzulei")</f>
        <v>Urzulei</v>
      </c>
      <c r="C7740" s="6"/>
      <c r="D7740" s="6" t="s">
        <v>7783</v>
      </c>
      <c r="E7740" s="7" t="s">
        <v>7784</v>
      </c>
    </row>
    <row r="7741">
      <c r="A7741" s="4" t="s">
        <v>7853</v>
      </c>
      <c r="B7741" s="5" t="str">
        <f>IFERROR(__xludf.DUMMYFUNCTION("IF(A7741="""","""",INDEX(SPLIT(A7741,"" ""),COUNTA(SPLIT(A7741,"" ""))))"),"Ussassai")</f>
        <v>Ussassai</v>
      </c>
      <c r="C7741" s="6"/>
      <c r="D7741" s="6" t="s">
        <v>7783</v>
      </c>
      <c r="E7741" s="7" t="s">
        <v>7784</v>
      </c>
    </row>
    <row r="7742">
      <c r="A7742" s="4" t="s">
        <v>7854</v>
      </c>
      <c r="B7742" s="5" t="str">
        <f>IFERROR(__xludf.DUMMYFUNCTION("IF(A7742="""","""",INDEX(SPLIT(A7742,"" ""),COUNTA(SPLIT(A7742,"" ""))))"),"Strisaili")</f>
        <v>Strisaili</v>
      </c>
      <c r="C7742" s="6"/>
      <c r="D7742" s="6" t="s">
        <v>7783</v>
      </c>
      <c r="E7742" s="7" t="s">
        <v>7784</v>
      </c>
    </row>
    <row r="7743">
      <c r="A7743" s="4" t="s">
        <v>7855</v>
      </c>
      <c r="B7743" s="5" t="str">
        <f>IFERROR(__xludf.DUMMYFUNCTION("IF(A7743="""","""",INDEX(SPLIT(A7743,"" ""),COUNTA(SPLIT(A7743,"" ""))))"),"Cardedu")</f>
        <v>Cardedu</v>
      </c>
      <c r="C7743" s="6"/>
      <c r="D7743" s="6" t="s">
        <v>7783</v>
      </c>
      <c r="E7743" s="7" t="s">
        <v>7784</v>
      </c>
    </row>
    <row r="7744">
      <c r="A7744" s="4" t="s">
        <v>7856</v>
      </c>
      <c r="B7744" s="5" t="str">
        <f>IFERROR(__xludf.DUMMYFUNCTION("IF(A7744="""","""",INDEX(SPLIT(A7744,"" ""),COUNTA(SPLIT(A7744,"" ""))))"),"Lodine")</f>
        <v>Lodine</v>
      </c>
      <c r="C7744" s="6"/>
      <c r="D7744" s="6" t="s">
        <v>7783</v>
      </c>
      <c r="E7744" s="7" t="s">
        <v>7784</v>
      </c>
    </row>
    <row r="7745">
      <c r="A7745" s="4" t="s">
        <v>7857</v>
      </c>
      <c r="B7745" s="5" t="str">
        <f>IFERROR(__xludf.DUMMYFUNCTION("IF(A7745="""","""",INDEX(SPLIT(A7745,"" ""),COUNTA(SPLIT(A7745,"" ""))))"),"Assemini")</f>
        <v>Assemini</v>
      </c>
      <c r="C7745" s="6" t="s">
        <v>7858</v>
      </c>
      <c r="D7745" s="6"/>
      <c r="E7745" s="7" t="s">
        <v>7859</v>
      </c>
    </row>
    <row r="7746">
      <c r="A7746" s="4" t="s">
        <v>7858</v>
      </c>
      <c r="B7746" s="5" t="str">
        <f>IFERROR(__xludf.DUMMYFUNCTION("IF(A7746="""","""",INDEX(SPLIT(A7746,"" ""),COUNTA(SPLIT(A7746,"" ""))))"),"Cagliari")</f>
        <v>Cagliari</v>
      </c>
      <c r="C7746" s="6" t="s">
        <v>7858</v>
      </c>
      <c r="D7746" s="6"/>
      <c r="E7746" s="7" t="s">
        <v>7859</v>
      </c>
    </row>
    <row r="7747">
      <c r="A7747" s="4" t="s">
        <v>7860</v>
      </c>
      <c r="B7747" s="5" t="str">
        <f>IFERROR(__xludf.DUMMYFUNCTION("IF(A7747="""","""",INDEX(SPLIT(A7747,"" ""),COUNTA(SPLIT(A7747,"" ""))))"),"Capoterra")</f>
        <v>Capoterra</v>
      </c>
      <c r="C7747" s="6" t="s">
        <v>7858</v>
      </c>
      <c r="D7747" s="6"/>
      <c r="E7747" s="7" t="s">
        <v>7859</v>
      </c>
    </row>
    <row r="7748">
      <c r="A7748" s="4" t="s">
        <v>7861</v>
      </c>
      <c r="B7748" s="5" t="str">
        <f>IFERROR(__xludf.DUMMYFUNCTION("IF(A7748="""","""",INDEX(SPLIT(A7748,"" ""),COUNTA(SPLIT(A7748,"" ""))))"),"Decimomannu")</f>
        <v>Decimomannu</v>
      </c>
      <c r="C7748" s="6" t="s">
        <v>7858</v>
      </c>
      <c r="D7748" s="6"/>
      <c r="E7748" s="7" t="s">
        <v>7859</v>
      </c>
    </row>
    <row r="7749">
      <c r="A7749" s="4" t="s">
        <v>7862</v>
      </c>
      <c r="B7749" s="5" t="str">
        <f>IFERROR(__xludf.DUMMYFUNCTION("IF(A7749="""","""",INDEX(SPLIT(A7749,"" ""),COUNTA(SPLIT(A7749,"" ""))))"),"Maracalagonis")</f>
        <v>Maracalagonis</v>
      </c>
      <c r="C7749" s="6" t="s">
        <v>7858</v>
      </c>
      <c r="D7749" s="6"/>
      <c r="E7749" s="7" t="s">
        <v>7859</v>
      </c>
    </row>
    <row r="7750">
      <c r="A7750" s="4" t="s">
        <v>7863</v>
      </c>
      <c r="B7750" s="5" t="str">
        <f>IFERROR(__xludf.DUMMYFUNCTION("IF(A7750="""","""",INDEX(SPLIT(A7750,"" ""),COUNTA(SPLIT(A7750,"" ""))))"),"Pula")</f>
        <v>Pula</v>
      </c>
      <c r="C7750" s="6" t="s">
        <v>7858</v>
      </c>
      <c r="D7750" s="6"/>
      <c r="E7750" s="7" t="s">
        <v>7859</v>
      </c>
    </row>
    <row r="7751">
      <c r="A7751" s="4" t="s">
        <v>7864</v>
      </c>
      <c r="B7751" s="5" t="str">
        <f>IFERROR(__xludf.DUMMYFUNCTION("IF(A7751="""","""",INDEX(SPLIT(A7751,"" ""),COUNTA(SPLIT(A7751,"" ""))))"),"Sant'Elena")</f>
        <v>Sant'Elena</v>
      </c>
      <c r="C7751" s="6" t="s">
        <v>7858</v>
      </c>
      <c r="D7751" s="6"/>
      <c r="E7751" s="7" t="s">
        <v>7859</v>
      </c>
    </row>
    <row r="7752">
      <c r="A7752" s="4" t="s">
        <v>7865</v>
      </c>
      <c r="B7752" s="5" t="str">
        <f>IFERROR(__xludf.DUMMYFUNCTION("IF(A7752="""","""",INDEX(SPLIT(A7752,"" ""),COUNTA(SPLIT(A7752,"" ""))))"),"Sarroch")</f>
        <v>Sarroch</v>
      </c>
      <c r="C7752" s="6" t="s">
        <v>7858</v>
      </c>
      <c r="D7752" s="6"/>
      <c r="E7752" s="7" t="s">
        <v>7859</v>
      </c>
    </row>
    <row r="7753">
      <c r="A7753" s="4" t="s">
        <v>7866</v>
      </c>
      <c r="B7753" s="5" t="str">
        <f>IFERROR(__xludf.DUMMYFUNCTION("IF(A7753="""","""",INDEX(SPLIT(A7753,"" ""),COUNTA(SPLIT(A7753,"" ""))))"),"Selargius")</f>
        <v>Selargius</v>
      </c>
      <c r="C7753" s="6" t="s">
        <v>7858</v>
      </c>
      <c r="D7753" s="6"/>
      <c r="E7753" s="7" t="s">
        <v>7859</v>
      </c>
    </row>
    <row r="7754">
      <c r="A7754" s="4" t="s">
        <v>7867</v>
      </c>
      <c r="B7754" s="5" t="str">
        <f>IFERROR(__xludf.DUMMYFUNCTION("IF(A7754="""","""",INDEX(SPLIT(A7754,"" ""),COUNTA(SPLIT(A7754,"" ""))))"),"Sestu")</f>
        <v>Sestu</v>
      </c>
      <c r="C7754" s="6" t="s">
        <v>7858</v>
      </c>
      <c r="D7754" s="6"/>
      <c r="E7754" s="7" t="s">
        <v>7859</v>
      </c>
    </row>
    <row r="7755">
      <c r="A7755" s="4" t="s">
        <v>7868</v>
      </c>
      <c r="B7755" s="5" t="str">
        <f>IFERROR(__xludf.DUMMYFUNCTION("IF(A7755="""","""",INDEX(SPLIT(A7755,"" ""),COUNTA(SPLIT(A7755,"" ""))))"),"Pietro")</f>
        <v>Pietro</v>
      </c>
      <c r="C7755" s="6" t="s">
        <v>7858</v>
      </c>
      <c r="D7755" s="6"/>
      <c r="E7755" s="7" t="s">
        <v>7859</v>
      </c>
    </row>
    <row r="7756">
      <c r="A7756" s="4" t="s">
        <v>7869</v>
      </c>
      <c r="B7756" s="5" t="str">
        <f>IFERROR(__xludf.DUMMYFUNCTION("IF(A7756="""","""",INDEX(SPLIT(A7756,"" ""),COUNTA(SPLIT(A7756,"" ""))))"),"Sinnai")</f>
        <v>Sinnai</v>
      </c>
      <c r="C7756" s="6" t="s">
        <v>7858</v>
      </c>
      <c r="D7756" s="6"/>
      <c r="E7756" s="7" t="s">
        <v>7859</v>
      </c>
    </row>
    <row r="7757">
      <c r="A7757" s="4" t="s">
        <v>7870</v>
      </c>
      <c r="B7757" s="5" t="str">
        <f>IFERROR(__xludf.DUMMYFUNCTION("IF(A7757="""","""",INDEX(SPLIT(A7757,"" ""),COUNTA(SPLIT(A7757,"" ""))))"),"Uta")</f>
        <v>Uta</v>
      </c>
      <c r="C7757" s="6" t="s">
        <v>7858</v>
      </c>
      <c r="D7757" s="6"/>
      <c r="E7757" s="7" t="s">
        <v>7859</v>
      </c>
    </row>
    <row r="7758">
      <c r="A7758" s="4" t="s">
        <v>7871</v>
      </c>
      <c r="B7758" s="5" t="str">
        <f>IFERROR(__xludf.DUMMYFUNCTION("IF(A7758="""","""",INDEX(SPLIT(A7758,"" ""),COUNTA(SPLIT(A7758,"" ""))))"),"Pietro")</f>
        <v>Pietro</v>
      </c>
      <c r="C7758" s="6" t="s">
        <v>7858</v>
      </c>
      <c r="D7758" s="6"/>
      <c r="E7758" s="7" t="s">
        <v>7859</v>
      </c>
    </row>
    <row r="7759">
      <c r="A7759" s="4" t="s">
        <v>7872</v>
      </c>
      <c r="B7759" s="5" t="str">
        <f>IFERROR(__xludf.DUMMYFUNCTION("IF(A7759="""","""",INDEX(SPLIT(A7759,"" ""),COUNTA(SPLIT(A7759,"" ""))))"),"Quartucciu")</f>
        <v>Quartucciu</v>
      </c>
      <c r="C7759" s="6" t="s">
        <v>7858</v>
      </c>
      <c r="D7759" s="6"/>
      <c r="E7759" s="7" t="s">
        <v>7859</v>
      </c>
    </row>
    <row r="7760">
      <c r="A7760" s="4" t="s">
        <v>7873</v>
      </c>
      <c r="B7760" s="5" t="str">
        <f>IFERROR(__xludf.DUMMYFUNCTION("IF(A7760="""","""",INDEX(SPLIT(A7760,"" ""),COUNTA(SPLIT(A7760,"" ""))))"),"Elmas")</f>
        <v>Elmas</v>
      </c>
      <c r="C7760" s="6" t="s">
        <v>7858</v>
      </c>
      <c r="D7760" s="6"/>
      <c r="E7760" s="7" t="s">
        <v>7859</v>
      </c>
    </row>
    <row r="7761">
      <c r="A7761" s="4" t="s">
        <v>7874</v>
      </c>
      <c r="B7761" s="5" t="str">
        <f>IFERROR(__xludf.DUMMYFUNCTION("IF(A7761="""","""",INDEX(SPLIT(A7761,"" ""),COUNTA(SPLIT(A7761,"" ""))))"),"Monserrato")</f>
        <v>Monserrato</v>
      </c>
      <c r="C7761" s="6" t="s">
        <v>7858</v>
      </c>
      <c r="D7761" s="6"/>
      <c r="E7761" s="7" t="s">
        <v>7859</v>
      </c>
    </row>
    <row r="7762">
      <c r="A7762" s="4" t="s">
        <v>7875</v>
      </c>
      <c r="B7762" s="5" t="str">
        <f>IFERROR(__xludf.DUMMYFUNCTION("IF(A7762="""","""",INDEX(SPLIT(A7762,"" ""),COUNTA(SPLIT(A7762,"" ""))))"),"Abbasanta")</f>
        <v>Abbasanta</v>
      </c>
      <c r="C7762" s="6"/>
      <c r="D7762" s="6" t="s">
        <v>7876</v>
      </c>
      <c r="E7762" s="7" t="s">
        <v>7877</v>
      </c>
    </row>
    <row r="7763">
      <c r="A7763" s="4" t="s">
        <v>7878</v>
      </c>
      <c r="B7763" s="5" t="str">
        <f>IFERROR(__xludf.DUMMYFUNCTION("IF(A7763="""","""",INDEX(SPLIT(A7763,"" ""),COUNTA(SPLIT(A7763,"" ""))))"),"Aidomaggiore")</f>
        <v>Aidomaggiore</v>
      </c>
      <c r="C7763" s="6"/>
      <c r="D7763" s="6" t="s">
        <v>7876</v>
      </c>
      <c r="E7763" s="7" t="s">
        <v>7877</v>
      </c>
    </row>
    <row r="7764">
      <c r="A7764" s="4" t="s">
        <v>7879</v>
      </c>
      <c r="B7764" s="5" t="str">
        <f>IFERROR(__xludf.DUMMYFUNCTION("IF(A7764="""","""",INDEX(SPLIT(A7764,"" ""),COUNTA(SPLIT(A7764,"" ""))))"),"Albagiara")</f>
        <v>Albagiara</v>
      </c>
      <c r="C7764" s="6"/>
      <c r="D7764" s="6" t="s">
        <v>7876</v>
      </c>
      <c r="E7764" s="7" t="s">
        <v>7877</v>
      </c>
    </row>
    <row r="7765">
      <c r="A7765" s="4" t="s">
        <v>7880</v>
      </c>
      <c r="B7765" s="5" t="str">
        <f>IFERROR(__xludf.DUMMYFUNCTION("IF(A7765="""","""",INDEX(SPLIT(A7765,"" ""),COUNTA(SPLIT(A7765,"" ""))))"),"Ales")</f>
        <v>Ales</v>
      </c>
      <c r="C7765" s="6"/>
      <c r="D7765" s="6" t="s">
        <v>7876</v>
      </c>
      <c r="E7765" s="7" t="s">
        <v>7877</v>
      </c>
    </row>
    <row r="7766">
      <c r="A7766" s="4" t="s">
        <v>7881</v>
      </c>
      <c r="B7766" s="5" t="str">
        <f>IFERROR(__xludf.DUMMYFUNCTION("IF(A7766="""","""",INDEX(SPLIT(A7766,"" ""),COUNTA(SPLIT(A7766,"" ""))))"),"Allai")</f>
        <v>Allai</v>
      </c>
      <c r="C7766" s="6"/>
      <c r="D7766" s="6" t="s">
        <v>7876</v>
      </c>
      <c r="E7766" s="7" t="s">
        <v>7877</v>
      </c>
    </row>
    <row r="7767">
      <c r="A7767" s="4" t="s">
        <v>7882</v>
      </c>
      <c r="B7767" s="5" t="str">
        <f>IFERROR(__xludf.DUMMYFUNCTION("IF(A7767="""","""",INDEX(SPLIT(A7767,"" ""),COUNTA(SPLIT(A7767,"" ""))))"),"Arborea")</f>
        <v>Arborea</v>
      </c>
      <c r="C7767" s="6"/>
      <c r="D7767" s="6" t="s">
        <v>7876</v>
      </c>
      <c r="E7767" s="7" t="s">
        <v>7877</v>
      </c>
    </row>
    <row r="7768">
      <c r="A7768" s="4" t="s">
        <v>7883</v>
      </c>
      <c r="B7768" s="5" t="str">
        <f>IFERROR(__xludf.DUMMYFUNCTION("IF(A7768="""","""",INDEX(SPLIT(A7768,"" ""),COUNTA(SPLIT(A7768,"" ""))))"),"Ardauli")</f>
        <v>Ardauli</v>
      </c>
      <c r="C7768" s="6"/>
      <c r="D7768" s="6" t="s">
        <v>7876</v>
      </c>
      <c r="E7768" s="7" t="s">
        <v>7877</v>
      </c>
    </row>
    <row r="7769">
      <c r="A7769" s="4" t="s">
        <v>7884</v>
      </c>
      <c r="B7769" s="5" t="str">
        <f>IFERROR(__xludf.DUMMYFUNCTION("IF(A7769="""","""",INDEX(SPLIT(A7769,"" ""),COUNTA(SPLIT(A7769,"" ""))))"),"Assolo")</f>
        <v>Assolo</v>
      </c>
      <c r="C7769" s="6"/>
      <c r="D7769" s="6" t="s">
        <v>7876</v>
      </c>
      <c r="E7769" s="7" t="s">
        <v>7877</v>
      </c>
    </row>
    <row r="7770">
      <c r="A7770" s="4" t="s">
        <v>7885</v>
      </c>
      <c r="B7770" s="5" t="str">
        <f>IFERROR(__xludf.DUMMYFUNCTION("IF(A7770="""","""",INDEX(SPLIT(A7770,"" ""),COUNTA(SPLIT(A7770,"" ""))))"),"Asuni")</f>
        <v>Asuni</v>
      </c>
      <c r="C7770" s="6"/>
      <c r="D7770" s="6" t="s">
        <v>7876</v>
      </c>
      <c r="E7770" s="7" t="s">
        <v>7877</v>
      </c>
    </row>
    <row r="7771">
      <c r="A7771" s="4" t="s">
        <v>7886</v>
      </c>
      <c r="B7771" s="5" t="str">
        <f>IFERROR(__xludf.DUMMYFUNCTION("IF(A7771="""","""",INDEX(SPLIT(A7771,"" ""),COUNTA(SPLIT(A7771,"" ""))))"),"Baradili")</f>
        <v>Baradili</v>
      </c>
      <c r="C7771" s="6"/>
      <c r="D7771" s="6" t="s">
        <v>7876</v>
      </c>
      <c r="E7771" s="7" t="s">
        <v>7877</v>
      </c>
    </row>
    <row r="7772">
      <c r="A7772" s="4" t="s">
        <v>7887</v>
      </c>
      <c r="B7772" s="5" t="str">
        <f>IFERROR(__xludf.DUMMYFUNCTION("IF(A7772="""","""",INDEX(SPLIT(A7772,"" ""),COUNTA(SPLIT(A7772,"" ""))))"),"Pietro")</f>
        <v>Pietro</v>
      </c>
      <c r="C7772" s="6"/>
      <c r="D7772" s="6" t="s">
        <v>7876</v>
      </c>
      <c r="E7772" s="7" t="s">
        <v>7877</v>
      </c>
    </row>
    <row r="7773">
      <c r="A7773" s="4" t="s">
        <v>7888</v>
      </c>
      <c r="B7773" s="5" t="str">
        <f>IFERROR(__xludf.DUMMYFUNCTION("IF(A7773="""","""",INDEX(SPLIT(A7773,"" ""),COUNTA(SPLIT(A7773,"" ""))))"),"Baressa")</f>
        <v>Baressa</v>
      </c>
      <c r="C7773" s="6"/>
      <c r="D7773" s="6" t="s">
        <v>7876</v>
      </c>
      <c r="E7773" s="7" t="s">
        <v>7877</v>
      </c>
    </row>
    <row r="7774">
      <c r="A7774" s="4" t="s">
        <v>7889</v>
      </c>
      <c r="B7774" s="5" t="str">
        <f>IFERROR(__xludf.DUMMYFUNCTION("IF(A7774="""","""",INDEX(SPLIT(A7774,"" ""),COUNTA(SPLIT(A7774,"" ""))))"),"Bauladu")</f>
        <v>Bauladu</v>
      </c>
      <c r="C7774" s="6"/>
      <c r="D7774" s="6" t="s">
        <v>7876</v>
      </c>
      <c r="E7774" s="7" t="s">
        <v>7877</v>
      </c>
    </row>
    <row r="7775">
      <c r="A7775" s="4" t="s">
        <v>7890</v>
      </c>
      <c r="B7775" s="5" t="str">
        <f>IFERROR(__xludf.DUMMYFUNCTION("IF(A7775="""","""",INDEX(SPLIT(A7775,"" ""),COUNTA(SPLIT(A7775,"" ""))))"),"Bidonì")</f>
        <v>Bidonì</v>
      </c>
      <c r="C7775" s="6"/>
      <c r="D7775" s="6" t="s">
        <v>7876</v>
      </c>
      <c r="E7775" s="7" t="s">
        <v>7877</v>
      </c>
    </row>
    <row r="7776">
      <c r="A7776" s="4" t="s">
        <v>7891</v>
      </c>
      <c r="B7776" s="5" t="str">
        <f>IFERROR(__xludf.DUMMYFUNCTION("IF(A7776="""","""",INDEX(SPLIT(A7776,"" ""),COUNTA(SPLIT(A7776,"" ""))))"),"Bonarcado")</f>
        <v>Bonarcado</v>
      </c>
      <c r="C7776" s="6"/>
      <c r="D7776" s="6" t="s">
        <v>7876</v>
      </c>
      <c r="E7776" s="7" t="s">
        <v>7877</v>
      </c>
    </row>
    <row r="7777">
      <c r="A7777" s="4" t="s">
        <v>7892</v>
      </c>
      <c r="B7777" s="5" t="str">
        <f>IFERROR(__xludf.DUMMYFUNCTION("IF(A7777="""","""",INDEX(SPLIT(A7777,"" ""),COUNTA(SPLIT(A7777,"" ""))))"),"Boroneddu")</f>
        <v>Boroneddu</v>
      </c>
      <c r="C7777" s="6"/>
      <c r="D7777" s="6" t="s">
        <v>7876</v>
      </c>
      <c r="E7777" s="7" t="s">
        <v>7877</v>
      </c>
    </row>
    <row r="7778">
      <c r="A7778" s="4" t="s">
        <v>7893</v>
      </c>
      <c r="B7778" s="5" t="str">
        <f>IFERROR(__xludf.DUMMYFUNCTION("IF(A7778="""","""",INDEX(SPLIT(A7778,"" ""),COUNTA(SPLIT(A7778,"" ""))))"),"Busachi")</f>
        <v>Busachi</v>
      </c>
      <c r="C7778" s="6"/>
      <c r="D7778" s="6" t="s">
        <v>7876</v>
      </c>
      <c r="E7778" s="7" t="s">
        <v>7877</v>
      </c>
    </row>
    <row r="7779">
      <c r="A7779" s="4" t="s">
        <v>7894</v>
      </c>
      <c r="B7779" s="5" t="str">
        <f>IFERROR(__xludf.DUMMYFUNCTION("IF(A7779="""","""",INDEX(SPLIT(A7779,"" ""),COUNTA(SPLIT(A7779,"" ""))))"),"Cabras")</f>
        <v>Cabras</v>
      </c>
      <c r="C7779" s="6"/>
      <c r="D7779" s="6" t="s">
        <v>7876</v>
      </c>
      <c r="E7779" s="7" t="s">
        <v>7877</v>
      </c>
    </row>
    <row r="7780">
      <c r="A7780" s="4" t="s">
        <v>7895</v>
      </c>
      <c r="B7780" s="5" t="str">
        <f>IFERROR(__xludf.DUMMYFUNCTION("IF(A7780="""","""",INDEX(SPLIT(A7780,"" ""),COUNTA(SPLIT(A7780,"" ""))))"),"Cuglieri")</f>
        <v>Cuglieri</v>
      </c>
      <c r="C7780" s="6"/>
      <c r="D7780" s="6" t="s">
        <v>7876</v>
      </c>
      <c r="E7780" s="7" t="s">
        <v>7877</v>
      </c>
    </row>
    <row r="7781">
      <c r="A7781" s="4" t="s">
        <v>7896</v>
      </c>
      <c r="B7781" s="5" t="str">
        <f>IFERROR(__xludf.DUMMYFUNCTION("IF(A7781="""","""",INDEX(SPLIT(A7781,"" ""),COUNTA(SPLIT(A7781,"" ""))))"),"Fordongianus")</f>
        <v>Fordongianus</v>
      </c>
      <c r="C7781" s="6"/>
      <c r="D7781" s="6" t="s">
        <v>7876</v>
      </c>
      <c r="E7781" s="7" t="s">
        <v>7877</v>
      </c>
    </row>
    <row r="7782">
      <c r="A7782" s="4" t="s">
        <v>7897</v>
      </c>
      <c r="B7782" s="5" t="str">
        <f>IFERROR(__xludf.DUMMYFUNCTION("IF(A7782="""","""",INDEX(SPLIT(A7782,"" ""),COUNTA(SPLIT(A7782,"" ""))))"),"Ghilarza")</f>
        <v>Ghilarza</v>
      </c>
      <c r="C7782" s="6"/>
      <c r="D7782" s="6" t="s">
        <v>7876</v>
      </c>
      <c r="E7782" s="7" t="s">
        <v>7877</v>
      </c>
    </row>
    <row r="7783">
      <c r="A7783" s="4" t="s">
        <v>7898</v>
      </c>
      <c r="B7783" s="5" t="str">
        <f>IFERROR(__xludf.DUMMYFUNCTION("IF(A7783="""","""",INDEX(SPLIT(A7783,"" ""),COUNTA(SPLIT(A7783,"" ""))))"),"Gonnoscodina")</f>
        <v>Gonnoscodina</v>
      </c>
      <c r="C7783" s="6"/>
      <c r="D7783" s="6" t="s">
        <v>7876</v>
      </c>
      <c r="E7783" s="7" t="s">
        <v>7877</v>
      </c>
    </row>
    <row r="7784">
      <c r="A7784" s="4" t="s">
        <v>7899</v>
      </c>
      <c r="B7784" s="5" t="str">
        <f>IFERROR(__xludf.DUMMYFUNCTION("IF(A7784="""","""",INDEX(SPLIT(A7784,"" ""),COUNTA(SPLIT(A7784,"" ""))))"),"Gonnosnò")</f>
        <v>Gonnosnò</v>
      </c>
      <c r="C7784" s="6"/>
      <c r="D7784" s="6" t="s">
        <v>7876</v>
      </c>
      <c r="E7784" s="7" t="s">
        <v>7877</v>
      </c>
    </row>
    <row r="7785">
      <c r="A7785" s="4" t="s">
        <v>7900</v>
      </c>
      <c r="B7785" s="5" t="str">
        <f>IFERROR(__xludf.DUMMYFUNCTION("IF(A7785="""","""",INDEX(SPLIT(A7785,"" ""),COUNTA(SPLIT(A7785,"" ""))))"),"Gonnostramatza")</f>
        <v>Gonnostramatza</v>
      </c>
      <c r="C7785" s="6"/>
      <c r="D7785" s="6" t="s">
        <v>7876</v>
      </c>
      <c r="E7785" s="7" t="s">
        <v>7877</v>
      </c>
    </row>
    <row r="7786">
      <c r="A7786" s="4" t="s">
        <v>7901</v>
      </c>
      <c r="B7786" s="5" t="str">
        <f>IFERROR(__xludf.DUMMYFUNCTION("IF(A7786="""","""",INDEX(SPLIT(A7786,"" ""),COUNTA(SPLIT(A7786,"" ""))))"),"Marrubiu")</f>
        <v>Marrubiu</v>
      </c>
      <c r="C7786" s="6"/>
      <c r="D7786" s="6" t="s">
        <v>7876</v>
      </c>
      <c r="E7786" s="7" t="s">
        <v>7877</v>
      </c>
    </row>
    <row r="7787">
      <c r="A7787" s="4" t="s">
        <v>7902</v>
      </c>
      <c r="B7787" s="5" t="str">
        <f>IFERROR(__xludf.DUMMYFUNCTION("IF(A7787="""","""",INDEX(SPLIT(A7787,"" ""),COUNTA(SPLIT(A7787,"" ""))))"),"Masullas")</f>
        <v>Masullas</v>
      </c>
      <c r="C7787" s="6"/>
      <c r="D7787" s="6" t="s">
        <v>7876</v>
      </c>
      <c r="E7787" s="7" t="s">
        <v>7877</v>
      </c>
    </row>
    <row r="7788">
      <c r="A7788" s="4" t="s">
        <v>7903</v>
      </c>
      <c r="B7788" s="5" t="str">
        <f>IFERROR(__xludf.DUMMYFUNCTION("IF(A7788="""","""",INDEX(SPLIT(A7788,"" ""),COUNTA(SPLIT(A7788,"" ""))))"),"Milis")</f>
        <v>Milis</v>
      </c>
      <c r="C7788" s="6"/>
      <c r="D7788" s="6" t="s">
        <v>7876</v>
      </c>
      <c r="E7788" s="7" t="s">
        <v>7877</v>
      </c>
    </row>
    <row r="7789">
      <c r="A7789" s="4" t="s">
        <v>7904</v>
      </c>
      <c r="B7789" s="5" t="str">
        <f>IFERROR(__xludf.DUMMYFUNCTION("IF(A7789="""","""",INDEX(SPLIT(A7789,"" ""),COUNTA(SPLIT(A7789,"" ""))))"),"Mogorella")</f>
        <v>Mogorella</v>
      </c>
      <c r="C7789" s="6"/>
      <c r="D7789" s="6" t="s">
        <v>7876</v>
      </c>
      <c r="E7789" s="7" t="s">
        <v>7877</v>
      </c>
    </row>
    <row r="7790">
      <c r="A7790" s="4" t="s">
        <v>7905</v>
      </c>
      <c r="B7790" s="5" t="str">
        <f>IFERROR(__xludf.DUMMYFUNCTION("IF(A7790="""","""",INDEX(SPLIT(A7790,"" ""),COUNTA(SPLIT(A7790,"" ""))))"),"Mogoro")</f>
        <v>Mogoro</v>
      </c>
      <c r="C7790" s="6"/>
      <c r="D7790" s="6" t="s">
        <v>7876</v>
      </c>
      <c r="E7790" s="7" t="s">
        <v>7877</v>
      </c>
    </row>
    <row r="7791">
      <c r="A7791" s="4" t="s">
        <v>7906</v>
      </c>
      <c r="B7791" s="5" t="str">
        <f>IFERROR(__xludf.DUMMYFUNCTION("IF(A7791="""","""",INDEX(SPLIT(A7791,"" ""),COUNTA(SPLIT(A7791,"" ""))))"),"Morgongiori")</f>
        <v>Morgongiori</v>
      </c>
      <c r="C7791" s="15"/>
      <c r="D7791" s="15" t="s">
        <v>7876</v>
      </c>
      <c r="E7791" s="7" t="s">
        <v>7877</v>
      </c>
    </row>
    <row r="7792">
      <c r="A7792" s="4" t="s">
        <v>7907</v>
      </c>
      <c r="B7792" s="5" t="str">
        <f>IFERROR(__xludf.DUMMYFUNCTION("IF(A7792="""","""",INDEX(SPLIT(A7792,"" ""),COUNTA(SPLIT(A7792,"" ""))))"),"Narbolia")</f>
        <v>Narbolia</v>
      </c>
      <c r="C7792" s="6"/>
      <c r="D7792" s="6" t="s">
        <v>7876</v>
      </c>
      <c r="E7792" s="7" t="s">
        <v>7877</v>
      </c>
    </row>
    <row r="7793">
      <c r="A7793" s="4" t="s">
        <v>7908</v>
      </c>
      <c r="B7793" s="5" t="str">
        <f>IFERROR(__xludf.DUMMYFUNCTION("IF(A7793="""","""",INDEX(SPLIT(A7793,"" ""),COUNTA(SPLIT(A7793,"" ""))))"),"Neoneli")</f>
        <v>Neoneli</v>
      </c>
      <c r="C7793" s="6"/>
      <c r="D7793" s="6" t="s">
        <v>7876</v>
      </c>
      <c r="E7793" s="7" t="s">
        <v>7877</v>
      </c>
    </row>
    <row r="7794">
      <c r="A7794" s="4" t="s">
        <v>7909</v>
      </c>
      <c r="B7794" s="5" t="str">
        <f>IFERROR(__xludf.DUMMYFUNCTION("IF(A7794="""","""",INDEX(SPLIT(A7794,"" ""),COUNTA(SPLIT(A7794,"" ""))))"),"Norbello")</f>
        <v>Norbello</v>
      </c>
      <c r="C7794" s="6"/>
      <c r="D7794" s="6" t="s">
        <v>7876</v>
      </c>
      <c r="E7794" s="7" t="s">
        <v>7877</v>
      </c>
    </row>
    <row r="7795">
      <c r="A7795" s="4" t="s">
        <v>7910</v>
      </c>
      <c r="B7795" s="5" t="str">
        <f>IFERROR(__xludf.DUMMYFUNCTION("IF(A7795="""","""",INDEX(SPLIT(A7795,"" ""),COUNTA(SPLIT(A7795,"" ""))))"),"Vittoria")</f>
        <v>Vittoria</v>
      </c>
      <c r="C7795" s="6"/>
      <c r="D7795" s="6" t="s">
        <v>7876</v>
      </c>
      <c r="E7795" s="7" t="s">
        <v>7877</v>
      </c>
    </row>
    <row r="7796">
      <c r="A7796" s="4" t="s">
        <v>7911</v>
      </c>
      <c r="B7796" s="5" t="str">
        <f>IFERROR(__xludf.DUMMYFUNCTION("IF(A7796="""","""",INDEX(SPLIT(A7796,"" ""),COUNTA(SPLIT(A7796,"" ""))))"),"Nurachi")</f>
        <v>Nurachi</v>
      </c>
      <c r="C7796" s="6"/>
      <c r="D7796" s="6" t="s">
        <v>7876</v>
      </c>
      <c r="E7796" s="7" t="s">
        <v>7877</v>
      </c>
    </row>
    <row r="7797">
      <c r="A7797" s="4" t="s">
        <v>7912</v>
      </c>
      <c r="B7797" s="5" t="str">
        <f>IFERROR(__xludf.DUMMYFUNCTION("IF(A7797="""","""",INDEX(SPLIT(A7797,"" ""),COUNTA(SPLIT(A7797,"" ""))))"),"Nureci")</f>
        <v>Nureci</v>
      </c>
      <c r="C7797" s="6"/>
      <c r="D7797" s="6" t="s">
        <v>7876</v>
      </c>
      <c r="E7797" s="7" t="s">
        <v>7877</v>
      </c>
    </row>
    <row r="7798">
      <c r="A7798" s="4" t="s">
        <v>7913</v>
      </c>
      <c r="B7798" s="5" t="str">
        <f>IFERROR(__xludf.DUMMYFUNCTION("IF(A7798="""","""",INDEX(SPLIT(A7798,"" ""),COUNTA(SPLIT(A7798,"" ""))))"),"Ollastra")</f>
        <v>Ollastra</v>
      </c>
      <c r="C7798" s="6"/>
      <c r="D7798" s="6" t="s">
        <v>7876</v>
      </c>
      <c r="E7798" s="7" t="s">
        <v>7877</v>
      </c>
    </row>
    <row r="7799">
      <c r="A7799" s="4" t="s">
        <v>7876</v>
      </c>
      <c r="B7799" s="5" t="str">
        <f>IFERROR(__xludf.DUMMYFUNCTION("IF(A7799="""","""",INDEX(SPLIT(A7799,"" ""),COUNTA(SPLIT(A7799,"" ""))))"),"Oristano")</f>
        <v>Oristano</v>
      </c>
      <c r="C7799" s="6"/>
      <c r="D7799" s="6" t="s">
        <v>7876</v>
      </c>
      <c r="E7799" s="7" t="s">
        <v>7877</v>
      </c>
    </row>
    <row r="7800">
      <c r="A7800" s="4" t="s">
        <v>7914</v>
      </c>
      <c r="B7800" s="5" t="str">
        <f>IFERROR(__xludf.DUMMYFUNCTION("IF(A7800="""","""",INDEX(SPLIT(A7800,"" ""),COUNTA(SPLIT(A7800,"" ""))))"),"Arborea")</f>
        <v>Arborea</v>
      </c>
      <c r="C7800" s="6"/>
      <c r="D7800" s="6" t="s">
        <v>7876</v>
      </c>
      <c r="E7800" s="7" t="s">
        <v>7877</v>
      </c>
    </row>
    <row r="7801">
      <c r="A7801" s="4" t="s">
        <v>7915</v>
      </c>
      <c r="B7801" s="5" t="str">
        <f>IFERROR(__xludf.DUMMYFUNCTION("IF(A7801="""","""",INDEX(SPLIT(A7801,"" ""),COUNTA(SPLIT(A7801,"" ""))))"),"Pau")</f>
        <v>Pau</v>
      </c>
      <c r="C7801" s="6"/>
      <c r="D7801" s="6" t="s">
        <v>7876</v>
      </c>
      <c r="E7801" s="7" t="s">
        <v>7877</v>
      </c>
    </row>
    <row r="7802">
      <c r="A7802" s="4" t="s">
        <v>7916</v>
      </c>
      <c r="B7802" s="5" t="str">
        <f>IFERROR(__xludf.DUMMYFUNCTION("IF(A7802="""","""",INDEX(SPLIT(A7802,"" ""),COUNTA(SPLIT(A7802,"" ""))))"),"Paulilatino")</f>
        <v>Paulilatino</v>
      </c>
      <c r="C7802" s="6"/>
      <c r="D7802" s="6" t="s">
        <v>7876</v>
      </c>
      <c r="E7802" s="7" t="s">
        <v>7877</v>
      </c>
    </row>
    <row r="7803">
      <c r="A7803" s="4" t="s">
        <v>7917</v>
      </c>
      <c r="B7803" s="5" t="str">
        <f>IFERROR(__xludf.DUMMYFUNCTION("IF(A7803="""","""",INDEX(SPLIT(A7803,"" ""),COUNTA(SPLIT(A7803,"" ""))))"),"Pompu")</f>
        <v>Pompu</v>
      </c>
      <c r="C7803" s="6"/>
      <c r="D7803" s="6" t="s">
        <v>7876</v>
      </c>
      <c r="E7803" s="7" t="s">
        <v>7877</v>
      </c>
    </row>
    <row r="7804">
      <c r="A7804" s="4" t="s">
        <v>7918</v>
      </c>
      <c r="B7804" s="5" t="str">
        <f>IFERROR(__xludf.DUMMYFUNCTION("IF(A7804="""","""",INDEX(SPLIT(A7804,"" ""),COUNTA(SPLIT(A7804,"" ""))))"),"Sardo")</f>
        <v>Sardo</v>
      </c>
      <c r="C7804" s="6"/>
      <c r="D7804" s="6" t="s">
        <v>7876</v>
      </c>
      <c r="E7804" s="7" t="s">
        <v>7877</v>
      </c>
    </row>
    <row r="7805">
      <c r="A7805" s="4" t="s">
        <v>7919</v>
      </c>
      <c r="B7805" s="5" t="str">
        <f>IFERROR(__xludf.DUMMYFUNCTION("IF(A7805="""","""",INDEX(SPLIT(A7805,"" ""),COUNTA(SPLIT(A7805,"" ""))))"),"Ruinas")</f>
        <v>Ruinas</v>
      </c>
      <c r="C7805" s="6"/>
      <c r="D7805" s="6" t="s">
        <v>7876</v>
      </c>
      <c r="E7805" s="7" t="s">
        <v>7877</v>
      </c>
    </row>
    <row r="7806">
      <c r="A7806" s="4" t="s">
        <v>7920</v>
      </c>
      <c r="B7806" s="5" t="str">
        <f>IFERROR(__xludf.DUMMYFUNCTION("IF(A7806="""","""",INDEX(SPLIT(A7806,"" ""),COUNTA(SPLIT(A7806,"" ""))))"),"Samugheo")</f>
        <v>Samugheo</v>
      </c>
      <c r="C7806" s="6"/>
      <c r="D7806" s="6" t="s">
        <v>7876</v>
      </c>
      <c r="E7806" s="7" t="s">
        <v>7877</v>
      </c>
    </row>
    <row r="7807">
      <c r="A7807" s="4" t="s">
        <v>7921</v>
      </c>
      <c r="B7807" s="5" t="str">
        <f>IFERROR(__xludf.DUMMYFUNCTION("IF(A7807="""","""",INDEX(SPLIT(A7807,"" ""),COUNTA(SPLIT(A7807,"" ""))))"),"d'Arcidano")</f>
        <v>d'Arcidano</v>
      </c>
      <c r="C7807" s="6"/>
      <c r="D7807" s="6" t="s">
        <v>7876</v>
      </c>
      <c r="E7807" s="7" t="s">
        <v>7877</v>
      </c>
    </row>
    <row r="7808">
      <c r="A7808" s="4" t="s">
        <v>7922</v>
      </c>
      <c r="B7808" s="5" t="str">
        <f>IFERROR(__xludf.DUMMYFUNCTION("IF(A7808="""","""",INDEX(SPLIT(A7808,"" ""),COUNTA(SPLIT(A7808,"" ""))))"),"Giusta")</f>
        <v>Giusta</v>
      </c>
      <c r="C7808" s="6"/>
      <c r="D7808" s="6" t="s">
        <v>7876</v>
      </c>
      <c r="E7808" s="7" t="s">
        <v>7877</v>
      </c>
    </row>
    <row r="7809">
      <c r="A7809" s="4" t="s">
        <v>7923</v>
      </c>
      <c r="B7809" s="5" t="str">
        <f>IFERROR(__xludf.DUMMYFUNCTION("IF(A7809="""","""",INDEX(SPLIT(A7809,"" ""),COUNTA(SPLIT(A7809,"" ""))))"),"Sant'Antonio")</f>
        <v>Sant'Antonio</v>
      </c>
      <c r="C7809" s="6"/>
      <c r="D7809" s="6" t="s">
        <v>7876</v>
      </c>
      <c r="E7809" s="7" t="s">
        <v>7877</v>
      </c>
    </row>
    <row r="7810">
      <c r="A7810" s="4" t="s">
        <v>7924</v>
      </c>
      <c r="B7810" s="5" t="str">
        <f>IFERROR(__xludf.DUMMYFUNCTION("IF(A7810="""","""",INDEX(SPLIT(A7810,"" ""),COUNTA(SPLIT(A7810,"" ""))))"),"Lussurgiu")</f>
        <v>Lussurgiu</v>
      </c>
      <c r="C7810" s="6"/>
      <c r="D7810" s="6" t="s">
        <v>7876</v>
      </c>
      <c r="E7810" s="7" t="s">
        <v>7877</v>
      </c>
    </row>
    <row r="7811">
      <c r="A7811" s="4" t="s">
        <v>7925</v>
      </c>
      <c r="B7811" s="5" t="str">
        <f>IFERROR(__xludf.DUMMYFUNCTION("IF(A7811="""","""",INDEX(SPLIT(A7811,"" ""),COUNTA(SPLIT(A7811,"" ""))))"),"Milis")</f>
        <v>Milis</v>
      </c>
      <c r="C7811" s="6"/>
      <c r="D7811" s="6" t="s">
        <v>7876</v>
      </c>
      <c r="E7811" s="7" t="s">
        <v>7877</v>
      </c>
    </row>
    <row r="7812">
      <c r="A7812" s="4" t="s">
        <v>7926</v>
      </c>
      <c r="B7812" s="5" t="str">
        <f>IFERROR(__xludf.DUMMYFUNCTION("IF(A7812="""","""",INDEX(SPLIT(A7812,"" ""),COUNTA(SPLIT(A7812,"" ""))))"),"Montiferro")</f>
        <v>Montiferro</v>
      </c>
      <c r="C7812" s="6"/>
      <c r="D7812" s="6" t="s">
        <v>7876</v>
      </c>
      <c r="E7812" s="7" t="s">
        <v>7877</v>
      </c>
    </row>
    <row r="7813">
      <c r="A7813" s="4" t="s">
        <v>7927</v>
      </c>
      <c r="B7813" s="5" t="str">
        <f>IFERROR(__xludf.DUMMYFUNCTION("IF(A7813="""","""",INDEX(SPLIT(A7813,"" ""),COUNTA(SPLIT(A7813,"" ""))))"),"Sedilo")</f>
        <v>Sedilo</v>
      </c>
      <c r="C7813" s="6"/>
      <c r="D7813" s="6" t="s">
        <v>7876</v>
      </c>
      <c r="E7813" s="7" t="s">
        <v>7877</v>
      </c>
    </row>
    <row r="7814">
      <c r="A7814" s="4" t="s">
        <v>7928</v>
      </c>
      <c r="B7814" s="5" t="str">
        <f>IFERROR(__xludf.DUMMYFUNCTION("IF(A7814="""","""",INDEX(SPLIT(A7814,"" ""),COUNTA(SPLIT(A7814,"" ""))))"),"Seneghe")</f>
        <v>Seneghe</v>
      </c>
      <c r="C7814" s="6"/>
      <c r="D7814" s="6" t="s">
        <v>7876</v>
      </c>
      <c r="E7814" s="7" t="s">
        <v>7877</v>
      </c>
    </row>
    <row r="7815">
      <c r="A7815" s="4" t="s">
        <v>7929</v>
      </c>
      <c r="B7815" s="5" t="str">
        <f>IFERROR(__xludf.DUMMYFUNCTION("IF(A7815="""","""",INDEX(SPLIT(A7815,"" ""),COUNTA(SPLIT(A7815,"" ""))))"),"Senis")</f>
        <v>Senis</v>
      </c>
      <c r="C7815" s="6"/>
      <c r="D7815" s="6" t="s">
        <v>7876</v>
      </c>
      <c r="E7815" s="7" t="s">
        <v>7877</v>
      </c>
    </row>
    <row r="7816">
      <c r="A7816" s="4" t="s">
        <v>7930</v>
      </c>
      <c r="B7816" s="5" t="str">
        <f>IFERROR(__xludf.DUMMYFUNCTION("IF(A7816="""","""",INDEX(SPLIT(A7816,"" ""),COUNTA(SPLIT(A7816,"" ""))))"),"Sennariolo")</f>
        <v>Sennariolo</v>
      </c>
      <c r="C7816" s="6"/>
      <c r="D7816" s="6" t="s">
        <v>7876</v>
      </c>
      <c r="E7816" s="7" t="s">
        <v>7877</v>
      </c>
    </row>
    <row r="7817">
      <c r="A7817" s="4" t="s">
        <v>7931</v>
      </c>
      <c r="B7817" s="5" t="str">
        <f>IFERROR(__xludf.DUMMYFUNCTION("IF(A7817="""","""",INDEX(SPLIT(A7817,"" ""),COUNTA(SPLIT(A7817,"" ""))))"),"Siamaggiore")</f>
        <v>Siamaggiore</v>
      </c>
      <c r="C7817" s="6"/>
      <c r="D7817" s="6" t="s">
        <v>7876</v>
      </c>
      <c r="E7817" s="7" t="s">
        <v>7877</v>
      </c>
    </row>
    <row r="7818">
      <c r="A7818" s="4" t="s">
        <v>7932</v>
      </c>
      <c r="B7818" s="5" t="str">
        <f>IFERROR(__xludf.DUMMYFUNCTION("IF(A7818="""","""",INDEX(SPLIT(A7818,"" ""),COUNTA(SPLIT(A7818,"" ""))))"),"Siamanna")</f>
        <v>Siamanna</v>
      </c>
      <c r="C7818" s="6"/>
      <c r="D7818" s="6" t="s">
        <v>7876</v>
      </c>
      <c r="E7818" s="7" t="s">
        <v>7877</v>
      </c>
    </row>
    <row r="7819">
      <c r="A7819" s="4" t="s">
        <v>7933</v>
      </c>
      <c r="B7819" s="5" t="str">
        <f>IFERROR(__xludf.DUMMYFUNCTION("IF(A7819="""","""",INDEX(SPLIT(A7819,"" ""),COUNTA(SPLIT(A7819,"" ""))))"),"Simala")</f>
        <v>Simala</v>
      </c>
      <c r="C7819" s="6"/>
      <c r="D7819" s="6" t="s">
        <v>7876</v>
      </c>
      <c r="E7819" s="7" t="s">
        <v>7877</v>
      </c>
    </row>
    <row r="7820">
      <c r="A7820" s="4" t="s">
        <v>7934</v>
      </c>
      <c r="B7820" s="5" t="str">
        <f>IFERROR(__xludf.DUMMYFUNCTION("IF(A7820="""","""",INDEX(SPLIT(A7820,"" ""),COUNTA(SPLIT(A7820,"" ""))))"),"Simaxis")</f>
        <v>Simaxis</v>
      </c>
      <c r="C7820" s="6"/>
      <c r="D7820" s="6" t="s">
        <v>7876</v>
      </c>
      <c r="E7820" s="7" t="s">
        <v>7877</v>
      </c>
    </row>
    <row r="7821">
      <c r="A7821" s="4" t="s">
        <v>7935</v>
      </c>
      <c r="B7821" s="5" t="str">
        <f>IFERROR(__xludf.DUMMYFUNCTION("IF(A7821="""","""",INDEX(SPLIT(A7821,"" ""),COUNTA(SPLIT(A7821,"" ""))))"),"Sini")</f>
        <v>Sini</v>
      </c>
      <c r="C7821" s="6"/>
      <c r="D7821" s="6" t="s">
        <v>7876</v>
      </c>
      <c r="E7821" s="7" t="s">
        <v>7877</v>
      </c>
    </row>
    <row r="7822">
      <c r="A7822" s="4" t="s">
        <v>7936</v>
      </c>
      <c r="B7822" s="5" t="str">
        <f>IFERROR(__xludf.DUMMYFUNCTION("IF(A7822="""","""",INDEX(SPLIT(A7822,"" ""),COUNTA(SPLIT(A7822,"" ""))))"),"Siris")</f>
        <v>Siris</v>
      </c>
      <c r="C7822" s="6"/>
      <c r="D7822" s="6" t="s">
        <v>7876</v>
      </c>
      <c r="E7822" s="7" t="s">
        <v>7877</v>
      </c>
    </row>
    <row r="7823">
      <c r="A7823" s="4" t="s">
        <v>7937</v>
      </c>
      <c r="B7823" s="5" t="str">
        <f>IFERROR(__xludf.DUMMYFUNCTION("IF(A7823="""","""",INDEX(SPLIT(A7823,"" ""),COUNTA(SPLIT(A7823,"" ""))))"),"Solarussa")</f>
        <v>Solarussa</v>
      </c>
      <c r="C7823" s="6"/>
      <c r="D7823" s="6" t="s">
        <v>7876</v>
      </c>
      <c r="E7823" s="7" t="s">
        <v>7877</v>
      </c>
    </row>
    <row r="7824">
      <c r="A7824" s="4" t="s">
        <v>7938</v>
      </c>
      <c r="B7824" s="5" t="str">
        <f>IFERROR(__xludf.DUMMYFUNCTION("IF(A7824="""","""",INDEX(SPLIT(A7824,"" ""),COUNTA(SPLIT(A7824,"" ""))))"),"Sorradile")</f>
        <v>Sorradile</v>
      </c>
      <c r="C7824" s="6"/>
      <c r="D7824" s="6" t="s">
        <v>7876</v>
      </c>
      <c r="E7824" s="7" t="s">
        <v>7877</v>
      </c>
    </row>
    <row r="7825">
      <c r="A7825" s="4" t="s">
        <v>7939</v>
      </c>
      <c r="B7825" s="5" t="str">
        <f>IFERROR(__xludf.DUMMYFUNCTION("IF(A7825="""","""",INDEX(SPLIT(A7825,"" ""),COUNTA(SPLIT(A7825,"" ""))))"),"Tadasuni")</f>
        <v>Tadasuni</v>
      </c>
      <c r="C7825" s="6"/>
      <c r="D7825" s="6" t="s">
        <v>7876</v>
      </c>
      <c r="E7825" s="7" t="s">
        <v>7877</v>
      </c>
    </row>
    <row r="7826">
      <c r="A7826" s="4" t="s">
        <v>7940</v>
      </c>
      <c r="B7826" s="5" t="str">
        <f>IFERROR(__xludf.DUMMYFUNCTION("IF(A7826="""","""",INDEX(SPLIT(A7826,"" ""),COUNTA(SPLIT(A7826,"" ""))))"),"Terralba")</f>
        <v>Terralba</v>
      </c>
      <c r="C7826" s="6"/>
      <c r="D7826" s="6" t="s">
        <v>7876</v>
      </c>
      <c r="E7826" s="7" t="s">
        <v>7877</v>
      </c>
    </row>
    <row r="7827">
      <c r="A7827" s="4" t="s">
        <v>7941</v>
      </c>
      <c r="B7827" s="5" t="str">
        <f>IFERROR(__xludf.DUMMYFUNCTION("IF(A7827="""","""",INDEX(SPLIT(A7827,"" ""),COUNTA(SPLIT(A7827,"" ""))))"),"Tramatza")</f>
        <v>Tramatza</v>
      </c>
      <c r="C7827" s="6"/>
      <c r="D7827" s="6" t="s">
        <v>7876</v>
      </c>
      <c r="E7827" s="7" t="s">
        <v>7877</v>
      </c>
    </row>
    <row r="7828">
      <c r="A7828" s="4" t="s">
        <v>7942</v>
      </c>
      <c r="B7828" s="5" t="str">
        <f>IFERROR(__xludf.DUMMYFUNCTION("IF(A7828="""","""",INDEX(SPLIT(A7828,"" ""),COUNTA(SPLIT(A7828,"" ""))))"),"Tresnuraghes")</f>
        <v>Tresnuraghes</v>
      </c>
      <c r="C7828" s="6"/>
      <c r="D7828" s="6" t="s">
        <v>7876</v>
      </c>
      <c r="E7828" s="7" t="s">
        <v>7877</v>
      </c>
    </row>
    <row r="7829">
      <c r="A7829" s="4" t="s">
        <v>7943</v>
      </c>
      <c r="B7829" s="5" t="str">
        <f>IFERROR(__xludf.DUMMYFUNCTION("IF(A7829="""","""",INDEX(SPLIT(A7829,"" ""),COUNTA(SPLIT(A7829,"" ""))))"),"Tirso")</f>
        <v>Tirso</v>
      </c>
      <c r="C7829" s="6"/>
      <c r="D7829" s="6" t="s">
        <v>7876</v>
      </c>
      <c r="E7829" s="7" t="s">
        <v>7877</v>
      </c>
    </row>
    <row r="7830">
      <c r="A7830" s="4" t="s">
        <v>7944</v>
      </c>
      <c r="B7830" s="5" t="str">
        <f>IFERROR(__xludf.DUMMYFUNCTION("IF(A7830="""","""",INDEX(SPLIT(A7830,"" ""),COUNTA(SPLIT(A7830,"" ""))))"),"Uras")</f>
        <v>Uras</v>
      </c>
      <c r="C7830" s="6"/>
      <c r="D7830" s="6" t="s">
        <v>7876</v>
      </c>
      <c r="E7830" s="7" t="s">
        <v>7877</v>
      </c>
    </row>
    <row r="7831">
      <c r="A7831" s="4" t="s">
        <v>7945</v>
      </c>
      <c r="B7831" s="5" t="str">
        <f>IFERROR(__xludf.DUMMYFUNCTION("IF(A7831="""","""",INDEX(SPLIT(A7831,"" ""),COUNTA(SPLIT(A7831,"" ""))))"),"Usellus")</f>
        <v>Usellus</v>
      </c>
      <c r="C7831" s="6"/>
      <c r="D7831" s="6" t="s">
        <v>7876</v>
      </c>
      <c r="E7831" s="7" t="s">
        <v>7877</v>
      </c>
    </row>
    <row r="7832">
      <c r="A7832" s="4" t="s">
        <v>7946</v>
      </c>
      <c r="B7832" s="5" t="str">
        <f>IFERROR(__xludf.DUMMYFUNCTION("IF(A7832="""","""",INDEX(SPLIT(A7832,"" ""),COUNTA(SPLIT(A7832,"" ""))))"),"Truschedu")</f>
        <v>Truschedu</v>
      </c>
      <c r="C7832" s="6"/>
      <c r="D7832" s="6" t="s">
        <v>7876</v>
      </c>
      <c r="E7832" s="7" t="s">
        <v>7877</v>
      </c>
    </row>
    <row r="7833">
      <c r="A7833" s="4" t="s">
        <v>7947</v>
      </c>
      <c r="B7833" s="5" t="str">
        <f>IFERROR(__xludf.DUMMYFUNCTION("IF(A7833="""","""",INDEX(SPLIT(A7833,"" ""),COUNTA(SPLIT(A7833,"" ""))))"),"Villaurbana")</f>
        <v>Villaurbana</v>
      </c>
      <c r="C7833" s="6"/>
      <c r="D7833" s="6" t="s">
        <v>7876</v>
      </c>
      <c r="E7833" s="7" t="s">
        <v>7877</v>
      </c>
    </row>
    <row r="7834">
      <c r="A7834" s="4" t="s">
        <v>7948</v>
      </c>
      <c r="B7834" s="5" t="str">
        <f>IFERROR(__xludf.DUMMYFUNCTION("IF(A7834="""","""",INDEX(SPLIT(A7834,"" ""),COUNTA(SPLIT(A7834,"" ""))))"),"Verde")</f>
        <v>Verde</v>
      </c>
      <c r="C7834" s="6"/>
      <c r="D7834" s="6" t="s">
        <v>7876</v>
      </c>
      <c r="E7834" s="7" t="s">
        <v>7877</v>
      </c>
    </row>
    <row r="7835">
      <c r="A7835" s="4" t="s">
        <v>7949</v>
      </c>
      <c r="B7835" s="5" t="str">
        <f>IFERROR(__xludf.DUMMYFUNCTION("IF(A7835="""","""",INDEX(SPLIT(A7835,"" ""),COUNTA(SPLIT(A7835,"" ""))))"),"Zeddiani")</f>
        <v>Zeddiani</v>
      </c>
      <c r="C7835" s="6"/>
      <c r="D7835" s="6" t="s">
        <v>7876</v>
      </c>
      <c r="E7835" s="7" t="s">
        <v>7877</v>
      </c>
    </row>
    <row r="7836">
      <c r="A7836" s="4" t="s">
        <v>7950</v>
      </c>
      <c r="B7836" s="5" t="str">
        <f>IFERROR(__xludf.DUMMYFUNCTION("IF(A7836="""","""",INDEX(SPLIT(A7836,"" ""),COUNTA(SPLIT(A7836,"" ""))))"),"Zerfaliu")</f>
        <v>Zerfaliu</v>
      </c>
      <c r="C7836" s="6"/>
      <c r="D7836" s="6" t="s">
        <v>7876</v>
      </c>
      <c r="E7836" s="7" t="s">
        <v>7877</v>
      </c>
    </row>
    <row r="7837">
      <c r="A7837" s="4" t="s">
        <v>7951</v>
      </c>
      <c r="B7837" s="5" t="str">
        <f>IFERROR(__xludf.DUMMYFUNCTION("IF(A7837="""","""",INDEX(SPLIT(A7837,"" ""),COUNTA(SPLIT(A7837,"" ""))))"),"Siapiccia")</f>
        <v>Siapiccia</v>
      </c>
      <c r="C7837" s="6"/>
      <c r="D7837" s="6" t="s">
        <v>7876</v>
      </c>
      <c r="E7837" s="7" t="s">
        <v>7877</v>
      </c>
    </row>
    <row r="7838">
      <c r="A7838" s="4" t="s">
        <v>7952</v>
      </c>
      <c r="B7838" s="5" t="str">
        <f>IFERROR(__xludf.DUMMYFUNCTION("IF(A7838="""","""",INDEX(SPLIT(A7838,"" ""),COUNTA(SPLIT(A7838,"" ""))))"),"Curcuris")</f>
        <v>Curcuris</v>
      </c>
      <c r="C7838" s="6"/>
      <c r="D7838" s="6" t="s">
        <v>7876</v>
      </c>
      <c r="E7838" s="7" t="s">
        <v>7877</v>
      </c>
    </row>
    <row r="7839">
      <c r="A7839" s="4" t="s">
        <v>7953</v>
      </c>
      <c r="B7839" s="5" t="str">
        <f>IFERROR(__xludf.DUMMYFUNCTION("IF(A7839="""","""",INDEX(SPLIT(A7839,"" ""),COUNTA(SPLIT(A7839,"" ""))))"),"Soddì")</f>
        <v>Soddì</v>
      </c>
      <c r="C7839" s="6"/>
      <c r="D7839" s="6" t="s">
        <v>7876</v>
      </c>
      <c r="E7839" s="7" t="s">
        <v>7877</v>
      </c>
    </row>
    <row r="7840">
      <c r="A7840" s="4" t="s">
        <v>7954</v>
      </c>
      <c r="B7840" s="5" t="str">
        <f>IFERROR(__xludf.DUMMYFUNCTION("IF(A7840="""","""",INDEX(SPLIT(A7840,"" ""),COUNTA(SPLIT(A7840,"" ""))))"),"Bosa")</f>
        <v>Bosa</v>
      </c>
      <c r="C7840" s="6"/>
      <c r="D7840" s="6" t="s">
        <v>7876</v>
      </c>
      <c r="E7840" s="7" t="s">
        <v>7877</v>
      </c>
    </row>
    <row r="7841">
      <c r="A7841" s="4" t="s">
        <v>7955</v>
      </c>
      <c r="B7841" s="5" t="str">
        <f>IFERROR(__xludf.DUMMYFUNCTION("IF(A7841="""","""",INDEX(SPLIT(A7841,"" ""),COUNTA(SPLIT(A7841,"" ""))))"),"Flussio")</f>
        <v>Flussio</v>
      </c>
      <c r="C7841" s="6"/>
      <c r="D7841" s="6" t="s">
        <v>7876</v>
      </c>
      <c r="E7841" s="7" t="s">
        <v>7877</v>
      </c>
    </row>
    <row r="7842">
      <c r="A7842" s="4" t="s">
        <v>7956</v>
      </c>
      <c r="B7842" s="5" t="str">
        <f>IFERROR(__xludf.DUMMYFUNCTION("IF(A7842="""","""",INDEX(SPLIT(A7842,"" ""),COUNTA(SPLIT(A7842,"" ""))))"),"Laconi")</f>
        <v>Laconi</v>
      </c>
      <c r="C7842" s="6"/>
      <c r="D7842" s="6" t="s">
        <v>7876</v>
      </c>
      <c r="E7842" s="7" t="s">
        <v>7877</v>
      </c>
    </row>
    <row r="7843">
      <c r="A7843" s="4" t="s">
        <v>7957</v>
      </c>
      <c r="B7843" s="5" t="str">
        <f>IFERROR(__xludf.DUMMYFUNCTION("IF(A7843="""","""",INDEX(SPLIT(A7843,"" ""),COUNTA(SPLIT(A7843,"" ""))))"),"Magomadas")</f>
        <v>Magomadas</v>
      </c>
      <c r="C7843" s="6"/>
      <c r="D7843" s="6" t="s">
        <v>7876</v>
      </c>
      <c r="E7843" s="7" t="s">
        <v>7877</v>
      </c>
    </row>
    <row r="7844">
      <c r="A7844" s="4" t="s">
        <v>7958</v>
      </c>
      <c r="B7844" s="5" t="str">
        <f>IFERROR(__xludf.DUMMYFUNCTION("IF(A7844="""","""",INDEX(SPLIT(A7844,"" ""),COUNTA(SPLIT(A7844,"" ""))))"),"Modolo")</f>
        <v>Modolo</v>
      </c>
      <c r="C7844" s="6"/>
      <c r="D7844" s="6" t="s">
        <v>7876</v>
      </c>
      <c r="E7844" s="7" t="s">
        <v>7877</v>
      </c>
    </row>
    <row r="7845">
      <c r="A7845" s="4" t="s">
        <v>7959</v>
      </c>
      <c r="B7845" s="5" t="str">
        <f>IFERROR(__xludf.DUMMYFUNCTION("IF(A7845="""","""",INDEX(SPLIT(A7845,"" ""),COUNTA(SPLIT(A7845,"" ""))))"),"Montresta")</f>
        <v>Montresta</v>
      </c>
      <c r="C7845" s="6"/>
      <c r="D7845" s="6" t="s">
        <v>7876</v>
      </c>
      <c r="E7845" s="7" t="s">
        <v>7877</v>
      </c>
    </row>
    <row r="7846">
      <c r="A7846" s="4" t="s">
        <v>7960</v>
      </c>
      <c r="B7846" s="5" t="str">
        <f>IFERROR(__xludf.DUMMYFUNCTION("IF(A7846="""","""",INDEX(SPLIT(A7846,"" ""),COUNTA(SPLIT(A7846,"" ""))))"),"Sagama")</f>
        <v>Sagama</v>
      </c>
      <c r="C7846" s="6"/>
      <c r="D7846" s="6" t="s">
        <v>7876</v>
      </c>
      <c r="E7846" s="7" t="s">
        <v>7877</v>
      </c>
    </row>
    <row r="7847">
      <c r="A7847" s="4" t="s">
        <v>7961</v>
      </c>
      <c r="B7847" s="5" t="str">
        <f>IFERROR(__xludf.DUMMYFUNCTION("IF(A7847="""","""",INDEX(SPLIT(A7847,"" ""),COUNTA(SPLIT(A7847,"" ""))))"),"Suni")</f>
        <v>Suni</v>
      </c>
      <c r="C7847" s="6"/>
      <c r="D7847" s="6" t="s">
        <v>7876</v>
      </c>
      <c r="E7847" s="7" t="s">
        <v>7877</v>
      </c>
    </row>
    <row r="7848">
      <c r="A7848" s="4" t="s">
        <v>7962</v>
      </c>
      <c r="B7848" s="5" t="str">
        <f>IFERROR(__xludf.DUMMYFUNCTION("IF(A7848="""","""",INDEX(SPLIT(A7848,"" ""),COUNTA(SPLIT(A7848,"" ""))))"),"Tinnura")</f>
        <v>Tinnura</v>
      </c>
      <c r="C7848" s="6"/>
      <c r="D7848" s="6" t="s">
        <v>7876</v>
      </c>
      <c r="E7848" s="7" t="s">
        <v>7877</v>
      </c>
    </row>
    <row r="7849">
      <c r="A7849" s="4" t="s">
        <v>7963</v>
      </c>
      <c r="B7849" s="5" t="str">
        <f>IFERROR(__xludf.DUMMYFUNCTION("IF(A7849="""","""",INDEX(SPLIT(A7849,"" ""),COUNTA(SPLIT(A7849,"" ""))))"),"Arbus")</f>
        <v>Arbus</v>
      </c>
      <c r="C7849" s="6"/>
      <c r="D7849" s="6" t="s">
        <v>7964</v>
      </c>
      <c r="E7849" s="7" t="s">
        <v>7965</v>
      </c>
    </row>
    <row r="7850">
      <c r="A7850" s="4" t="s">
        <v>7966</v>
      </c>
      <c r="B7850" s="5" t="str">
        <f>IFERROR(__xludf.DUMMYFUNCTION("IF(A7850="""","""",INDEX(SPLIT(A7850,"" ""),COUNTA(SPLIT(A7850,"" ""))))"),"Armungia")</f>
        <v>Armungia</v>
      </c>
      <c r="C7850" s="6"/>
      <c r="D7850" s="6" t="s">
        <v>7964</v>
      </c>
      <c r="E7850" s="7" t="s">
        <v>7965</v>
      </c>
    </row>
    <row r="7851">
      <c r="A7851" s="4" t="s">
        <v>7967</v>
      </c>
      <c r="B7851" s="5" t="str">
        <f>IFERROR(__xludf.DUMMYFUNCTION("IF(A7851="""","""",INDEX(SPLIT(A7851,"" ""),COUNTA(SPLIT(A7851,"" ""))))"),"Ballao")</f>
        <v>Ballao</v>
      </c>
      <c r="C7851" s="6"/>
      <c r="D7851" s="6" t="s">
        <v>7964</v>
      </c>
      <c r="E7851" s="7" t="s">
        <v>7965</v>
      </c>
    </row>
    <row r="7852">
      <c r="A7852" s="4" t="s">
        <v>7968</v>
      </c>
      <c r="B7852" s="5" t="str">
        <f>IFERROR(__xludf.DUMMYFUNCTION("IF(A7852="""","""",INDEX(SPLIT(A7852,"" ""),COUNTA(SPLIT(A7852,"" ""))))"),"Barrali")</f>
        <v>Barrali</v>
      </c>
      <c r="C7852" s="6"/>
      <c r="D7852" s="6" t="s">
        <v>7964</v>
      </c>
      <c r="E7852" s="7" t="s">
        <v>7965</v>
      </c>
    </row>
    <row r="7853">
      <c r="A7853" s="4" t="s">
        <v>7969</v>
      </c>
      <c r="B7853" s="5" t="str">
        <f>IFERROR(__xludf.DUMMYFUNCTION("IF(A7853="""","""",INDEX(SPLIT(A7853,"" ""),COUNTA(SPLIT(A7853,"" ""))))"),"Barumini")</f>
        <v>Barumini</v>
      </c>
      <c r="C7853" s="6"/>
      <c r="D7853" s="6" t="s">
        <v>7964</v>
      </c>
      <c r="E7853" s="7" t="s">
        <v>7965</v>
      </c>
    </row>
    <row r="7854">
      <c r="A7854" s="4" t="s">
        <v>7970</v>
      </c>
      <c r="B7854" s="5" t="str">
        <f>IFERROR(__xludf.DUMMYFUNCTION("IF(A7854="""","""",INDEX(SPLIT(A7854,"" ""),COUNTA(SPLIT(A7854,"" ""))))"),"Buggerru")</f>
        <v>Buggerru</v>
      </c>
      <c r="C7854" s="6"/>
      <c r="D7854" s="6" t="s">
        <v>7964</v>
      </c>
      <c r="E7854" s="7" t="s">
        <v>7965</v>
      </c>
    </row>
    <row r="7855">
      <c r="A7855" s="4" t="s">
        <v>7971</v>
      </c>
      <c r="B7855" s="5" t="str">
        <f>IFERROR(__xludf.DUMMYFUNCTION("IF(A7855="""","""",INDEX(SPLIT(A7855,"" ""),COUNTA(SPLIT(A7855,"" ""))))"),"Burcei")</f>
        <v>Burcei</v>
      </c>
      <c r="C7855" s="6"/>
      <c r="D7855" s="6" t="s">
        <v>7964</v>
      </c>
      <c r="E7855" s="7" t="s">
        <v>7965</v>
      </c>
    </row>
    <row r="7856">
      <c r="A7856" s="4" t="s">
        <v>7972</v>
      </c>
      <c r="B7856" s="5" t="str">
        <f>IFERROR(__xludf.DUMMYFUNCTION("IF(A7856="""","""",INDEX(SPLIT(A7856,"" ""),COUNTA(SPLIT(A7856,"" ""))))"),"Calasetta")</f>
        <v>Calasetta</v>
      </c>
      <c r="C7856" s="6"/>
      <c r="D7856" s="6" t="s">
        <v>7964</v>
      </c>
      <c r="E7856" s="7" t="s">
        <v>7965</v>
      </c>
    </row>
    <row r="7857">
      <c r="A7857" s="4" t="s">
        <v>7973</v>
      </c>
      <c r="B7857" s="5" t="str">
        <f>IFERROR(__xludf.DUMMYFUNCTION("IF(A7857="""","""",INDEX(SPLIT(A7857,"" ""),COUNTA(SPLIT(A7857,"" ""))))"),"Carbonia")</f>
        <v>Carbonia</v>
      </c>
      <c r="C7857" s="6"/>
      <c r="D7857" s="6" t="s">
        <v>7964</v>
      </c>
      <c r="E7857" s="7" t="s">
        <v>7965</v>
      </c>
    </row>
    <row r="7858">
      <c r="A7858" s="4" t="s">
        <v>7974</v>
      </c>
      <c r="B7858" s="5" t="str">
        <f>IFERROR(__xludf.DUMMYFUNCTION("IF(A7858="""","""",INDEX(SPLIT(A7858,"" ""),COUNTA(SPLIT(A7858,"" ""))))"),"Carloforte")</f>
        <v>Carloforte</v>
      </c>
      <c r="C7858" s="6"/>
      <c r="D7858" s="6" t="s">
        <v>7964</v>
      </c>
      <c r="E7858" s="7" t="s">
        <v>7965</v>
      </c>
    </row>
    <row r="7859">
      <c r="A7859" s="4" t="s">
        <v>7975</v>
      </c>
      <c r="B7859" s="5" t="str">
        <f>IFERROR(__xludf.DUMMYFUNCTION("IF(A7859="""","""",INDEX(SPLIT(A7859,"" ""),COUNTA(SPLIT(A7859,"" ""))))"),"Castiadas")</f>
        <v>Castiadas</v>
      </c>
      <c r="C7859" s="6"/>
      <c r="D7859" s="6" t="s">
        <v>7964</v>
      </c>
      <c r="E7859" s="7" t="s">
        <v>7965</v>
      </c>
    </row>
    <row r="7860">
      <c r="A7860" s="4" t="s">
        <v>7976</v>
      </c>
      <c r="B7860" s="5" t="str">
        <f>IFERROR(__xludf.DUMMYFUNCTION("IF(A7860="""","""",INDEX(SPLIT(A7860,"" ""),COUNTA(SPLIT(A7860,"" ""))))"),"Collinas")</f>
        <v>Collinas</v>
      </c>
      <c r="C7860" s="6"/>
      <c r="D7860" s="6" t="s">
        <v>7964</v>
      </c>
      <c r="E7860" s="7" t="s">
        <v>7965</v>
      </c>
    </row>
    <row r="7861">
      <c r="A7861" s="4" t="s">
        <v>7977</v>
      </c>
      <c r="B7861" s="5" t="str">
        <f>IFERROR(__xludf.DUMMYFUNCTION("IF(A7861="""","""",INDEX(SPLIT(A7861,"" ""),COUNTA(SPLIT(A7861,"" ""))))"),"Decimoputzu")</f>
        <v>Decimoputzu</v>
      </c>
      <c r="C7861" s="6"/>
      <c r="D7861" s="6" t="s">
        <v>7964</v>
      </c>
      <c r="E7861" s="7" t="s">
        <v>7965</v>
      </c>
    </row>
    <row r="7862">
      <c r="A7862" s="4" t="s">
        <v>7978</v>
      </c>
      <c r="B7862" s="5" t="str">
        <f>IFERROR(__xludf.DUMMYFUNCTION("IF(A7862="""","""",INDEX(SPLIT(A7862,"" ""),COUNTA(SPLIT(A7862,"" ""))))"),"Dolianova")</f>
        <v>Dolianova</v>
      </c>
      <c r="C7862" s="6"/>
      <c r="D7862" s="6" t="s">
        <v>7964</v>
      </c>
      <c r="E7862" s="7" t="s">
        <v>7965</v>
      </c>
    </row>
    <row r="7863">
      <c r="A7863" s="4" t="s">
        <v>7979</v>
      </c>
      <c r="B7863" s="5" t="str">
        <f>IFERROR(__xludf.DUMMYFUNCTION("IF(A7863="""","""",INDEX(SPLIT(A7863,"" ""),COUNTA(SPLIT(A7863,"" ""))))"),"Maria")</f>
        <v>Maria</v>
      </c>
      <c r="C7863" s="6"/>
      <c r="D7863" s="6" t="s">
        <v>7964</v>
      </c>
      <c r="E7863" s="7" t="s">
        <v>7965</v>
      </c>
    </row>
    <row r="7864">
      <c r="A7864" s="4" t="s">
        <v>7980</v>
      </c>
      <c r="B7864" s="5" t="str">
        <f>IFERROR(__xludf.DUMMYFUNCTION("IF(A7864="""","""",INDEX(SPLIT(A7864,"" ""),COUNTA(SPLIT(A7864,"" ""))))"),"Domusnovas")</f>
        <v>Domusnovas</v>
      </c>
      <c r="C7864" s="6"/>
      <c r="D7864" s="6" t="s">
        <v>7964</v>
      </c>
      <c r="E7864" s="7" t="s">
        <v>7965</v>
      </c>
    </row>
    <row r="7865">
      <c r="A7865" s="4" t="s">
        <v>7981</v>
      </c>
      <c r="B7865" s="5" t="str">
        <f>IFERROR(__xludf.DUMMYFUNCTION("IF(A7865="""","""",INDEX(SPLIT(A7865,"" ""),COUNTA(SPLIT(A7865,"" ""))))"),"Donori")</f>
        <v>Donori</v>
      </c>
      <c r="C7865" s="6"/>
      <c r="D7865" s="6" t="s">
        <v>7964</v>
      </c>
      <c r="E7865" s="7" t="s">
        <v>7965</v>
      </c>
    </row>
    <row r="7866">
      <c r="A7866" s="4" t="s">
        <v>7982</v>
      </c>
      <c r="B7866" s="5" t="str">
        <f>IFERROR(__xludf.DUMMYFUNCTION("IF(A7866="""","""",INDEX(SPLIT(A7866,"" ""),COUNTA(SPLIT(A7866,"" ""))))"),"Escalaplano")</f>
        <v>Escalaplano</v>
      </c>
      <c r="C7866" s="6"/>
      <c r="D7866" s="6" t="s">
        <v>7964</v>
      </c>
      <c r="E7866" s="7" t="s">
        <v>7965</v>
      </c>
    </row>
    <row r="7867">
      <c r="A7867" s="4" t="s">
        <v>7983</v>
      </c>
      <c r="B7867" s="5" t="str">
        <f>IFERROR(__xludf.DUMMYFUNCTION("IF(A7867="""","""",INDEX(SPLIT(A7867,"" ""),COUNTA(SPLIT(A7867,"" ""))))"),"Escolca")</f>
        <v>Escolca</v>
      </c>
      <c r="C7867" s="6"/>
      <c r="D7867" s="6" t="s">
        <v>7964</v>
      </c>
      <c r="E7867" s="7" t="s">
        <v>7965</v>
      </c>
    </row>
    <row r="7868">
      <c r="A7868" s="4" t="s">
        <v>7984</v>
      </c>
      <c r="B7868" s="5" t="str">
        <f>IFERROR(__xludf.DUMMYFUNCTION("IF(A7868="""","""",INDEX(SPLIT(A7868,"" ""),COUNTA(SPLIT(A7868,"" ""))))"),"Esterzili")</f>
        <v>Esterzili</v>
      </c>
      <c r="C7868" s="6"/>
      <c r="D7868" s="6" t="s">
        <v>7964</v>
      </c>
      <c r="E7868" s="7" t="s">
        <v>7965</v>
      </c>
    </row>
    <row r="7869">
      <c r="A7869" s="4" t="s">
        <v>7985</v>
      </c>
      <c r="B7869" s="5" t="str">
        <f>IFERROR(__xludf.DUMMYFUNCTION("IF(A7869="""","""",INDEX(SPLIT(A7869,"" ""),COUNTA(SPLIT(A7869,"" ""))))"),"Fluminimaggiore")</f>
        <v>Fluminimaggiore</v>
      </c>
      <c r="C7869" s="6"/>
      <c r="D7869" s="6" t="s">
        <v>7964</v>
      </c>
      <c r="E7869" s="7" t="s">
        <v>7965</v>
      </c>
    </row>
    <row r="7870">
      <c r="A7870" s="4" t="s">
        <v>7986</v>
      </c>
      <c r="B7870" s="5" t="str">
        <f>IFERROR(__xludf.DUMMYFUNCTION("IF(A7870="""","""",INDEX(SPLIT(A7870,"" ""),COUNTA(SPLIT(A7870,"" ""))))"),"Furtei")</f>
        <v>Furtei</v>
      </c>
      <c r="C7870" s="6"/>
      <c r="D7870" s="6" t="s">
        <v>7964</v>
      </c>
      <c r="E7870" s="7" t="s">
        <v>7965</v>
      </c>
    </row>
    <row r="7871">
      <c r="A7871" s="4" t="s">
        <v>7987</v>
      </c>
      <c r="B7871" s="5" t="str">
        <f>IFERROR(__xludf.DUMMYFUNCTION("IF(A7871="""","""",INDEX(SPLIT(A7871,"" ""),COUNTA(SPLIT(A7871,"" ""))))"),"Genoni")</f>
        <v>Genoni</v>
      </c>
      <c r="C7871" s="6"/>
      <c r="D7871" s="6" t="s">
        <v>7964</v>
      </c>
      <c r="E7871" s="7" t="s">
        <v>7965</v>
      </c>
    </row>
    <row r="7872">
      <c r="A7872" s="4" t="s">
        <v>7988</v>
      </c>
      <c r="B7872" s="5" t="str">
        <f>IFERROR(__xludf.DUMMYFUNCTION("IF(A7872="""","""",INDEX(SPLIT(A7872,"" ""),COUNTA(SPLIT(A7872,"" ""))))"),"Genuri")</f>
        <v>Genuri</v>
      </c>
      <c r="C7872" s="6"/>
      <c r="D7872" s="6" t="s">
        <v>7964</v>
      </c>
      <c r="E7872" s="7" t="s">
        <v>7965</v>
      </c>
    </row>
    <row r="7873">
      <c r="A7873" s="4" t="s">
        <v>7989</v>
      </c>
      <c r="B7873" s="5" t="str">
        <f>IFERROR(__xludf.DUMMYFUNCTION("IF(A7873="""","""",INDEX(SPLIT(A7873,"" ""),COUNTA(SPLIT(A7873,"" ""))))"),"Gergei")</f>
        <v>Gergei</v>
      </c>
      <c r="C7873" s="6"/>
      <c r="D7873" s="6" t="s">
        <v>7964</v>
      </c>
      <c r="E7873" s="7" t="s">
        <v>7965</v>
      </c>
    </row>
    <row r="7874">
      <c r="A7874" s="4" t="s">
        <v>7990</v>
      </c>
      <c r="B7874" s="5" t="str">
        <f>IFERROR(__xludf.DUMMYFUNCTION("IF(A7874="""","""",INDEX(SPLIT(A7874,"" ""),COUNTA(SPLIT(A7874,"" ""))))"),"Gesico")</f>
        <v>Gesico</v>
      </c>
      <c r="C7874" s="6"/>
      <c r="D7874" s="6" t="s">
        <v>7964</v>
      </c>
      <c r="E7874" s="7" t="s">
        <v>7965</v>
      </c>
    </row>
    <row r="7875">
      <c r="A7875" s="4" t="s">
        <v>7991</v>
      </c>
      <c r="B7875" s="5" t="str">
        <f>IFERROR(__xludf.DUMMYFUNCTION("IF(A7875="""","""",INDEX(SPLIT(A7875,"" ""),COUNTA(SPLIT(A7875,"" ""))))"),"Gesturi")</f>
        <v>Gesturi</v>
      </c>
      <c r="C7875" s="6"/>
      <c r="D7875" s="6" t="s">
        <v>7964</v>
      </c>
      <c r="E7875" s="7" t="s">
        <v>7965</v>
      </c>
    </row>
    <row r="7876">
      <c r="A7876" s="4" t="s">
        <v>7992</v>
      </c>
      <c r="B7876" s="5" t="str">
        <f>IFERROR(__xludf.DUMMYFUNCTION("IF(A7876="""","""",INDEX(SPLIT(A7876,"" ""),COUNTA(SPLIT(A7876,"" ""))))"),"Giba")</f>
        <v>Giba</v>
      </c>
      <c r="C7876" s="6"/>
      <c r="D7876" s="6" t="s">
        <v>7964</v>
      </c>
      <c r="E7876" s="7" t="s">
        <v>7965</v>
      </c>
    </row>
    <row r="7877">
      <c r="A7877" s="4" t="s">
        <v>7993</v>
      </c>
      <c r="B7877" s="5" t="str">
        <f>IFERROR(__xludf.DUMMYFUNCTION("IF(A7877="""","""",INDEX(SPLIT(A7877,"" ""),COUNTA(SPLIT(A7877,"" ""))))"),"Goni")</f>
        <v>Goni</v>
      </c>
      <c r="C7877" s="6"/>
      <c r="D7877" s="6" t="s">
        <v>7964</v>
      </c>
      <c r="E7877" s="7" t="s">
        <v>7965</v>
      </c>
    </row>
    <row r="7878">
      <c r="A7878" s="4" t="s">
        <v>7994</v>
      </c>
      <c r="B7878" s="5" t="str">
        <f>IFERROR(__xludf.DUMMYFUNCTION("IF(A7878="""","""",INDEX(SPLIT(A7878,"" ""),COUNTA(SPLIT(A7878,"" ""))))"),"Gonnesa")</f>
        <v>Gonnesa</v>
      </c>
      <c r="C7878" s="6"/>
      <c r="D7878" s="6" t="s">
        <v>7964</v>
      </c>
      <c r="E7878" s="7" t="s">
        <v>7965</v>
      </c>
    </row>
    <row r="7879">
      <c r="A7879" s="4" t="s">
        <v>7995</v>
      </c>
      <c r="B7879" s="5" t="str">
        <f>IFERROR(__xludf.DUMMYFUNCTION("IF(A7879="""","""",INDEX(SPLIT(A7879,"" ""),COUNTA(SPLIT(A7879,"" ""))))"),"Gonnosfanadiga")</f>
        <v>Gonnosfanadiga</v>
      </c>
      <c r="C7879" s="6"/>
      <c r="D7879" s="6" t="s">
        <v>7964</v>
      </c>
      <c r="E7879" s="7" t="s">
        <v>7965</v>
      </c>
    </row>
    <row r="7880">
      <c r="A7880" s="4" t="s">
        <v>7996</v>
      </c>
      <c r="B7880" s="5" t="str">
        <f>IFERROR(__xludf.DUMMYFUNCTION("IF(A7880="""","""",INDEX(SPLIT(A7880,"" ""),COUNTA(SPLIT(A7880,"" ""))))"),"Guamaggiore")</f>
        <v>Guamaggiore</v>
      </c>
      <c r="C7880" s="6"/>
      <c r="D7880" s="6" t="s">
        <v>7964</v>
      </c>
      <c r="E7880" s="7" t="s">
        <v>7965</v>
      </c>
    </row>
    <row r="7881">
      <c r="A7881" s="4" t="s">
        <v>7997</v>
      </c>
      <c r="B7881" s="5" t="str">
        <f>IFERROR(__xludf.DUMMYFUNCTION("IF(A7881="""","""",INDEX(SPLIT(A7881,"" ""),COUNTA(SPLIT(A7881,"" ""))))"),"Guasila")</f>
        <v>Guasila</v>
      </c>
      <c r="C7881" s="6"/>
      <c r="D7881" s="6" t="s">
        <v>7964</v>
      </c>
      <c r="E7881" s="7" t="s">
        <v>7965</v>
      </c>
    </row>
    <row r="7882">
      <c r="A7882" s="4" t="s">
        <v>7998</v>
      </c>
      <c r="B7882" s="5" t="str">
        <f>IFERROR(__xludf.DUMMYFUNCTION("IF(A7882="""","""",INDEX(SPLIT(A7882,"" ""),COUNTA(SPLIT(A7882,"" ""))))"),"Guspini")</f>
        <v>Guspini</v>
      </c>
      <c r="C7882" s="6"/>
      <c r="D7882" s="6" t="s">
        <v>7964</v>
      </c>
      <c r="E7882" s="7" t="s">
        <v>7965</v>
      </c>
    </row>
    <row r="7883">
      <c r="A7883" s="4" t="s">
        <v>7999</v>
      </c>
      <c r="B7883" s="5" t="str">
        <f>IFERROR(__xludf.DUMMYFUNCTION("IF(A7883="""","""",INDEX(SPLIT(A7883,"" ""),COUNTA(SPLIT(A7883,"" ""))))"),"Iglesias")</f>
        <v>Iglesias</v>
      </c>
      <c r="C7883" s="6"/>
      <c r="D7883" s="6" t="s">
        <v>7964</v>
      </c>
      <c r="E7883" s="7" t="s">
        <v>7965</v>
      </c>
    </row>
    <row r="7884">
      <c r="A7884" s="4" t="s">
        <v>8000</v>
      </c>
      <c r="B7884" s="5" t="str">
        <f>IFERROR(__xludf.DUMMYFUNCTION("IF(A7884="""","""",INDEX(SPLIT(A7884,"" ""),COUNTA(SPLIT(A7884,"" ""))))"),"Isili")</f>
        <v>Isili</v>
      </c>
      <c r="C7884" s="6"/>
      <c r="D7884" s="6" t="s">
        <v>7964</v>
      </c>
      <c r="E7884" s="7" t="s">
        <v>7965</v>
      </c>
    </row>
    <row r="7885">
      <c r="A7885" s="4" t="s">
        <v>8001</v>
      </c>
      <c r="B7885" s="5" t="str">
        <f>IFERROR(__xludf.DUMMYFUNCTION("IF(A7885="""","""",INDEX(SPLIT(A7885,"" ""),COUNTA(SPLIT(A7885,"" ""))))"),"Plassas")</f>
        <v>Plassas</v>
      </c>
      <c r="C7885" s="6"/>
      <c r="D7885" s="6" t="s">
        <v>7964</v>
      </c>
      <c r="E7885" s="7" t="s">
        <v>7965</v>
      </c>
    </row>
    <row r="7886">
      <c r="A7886" s="4" t="s">
        <v>8002</v>
      </c>
      <c r="B7886" s="5" t="str">
        <f>IFERROR(__xludf.DUMMYFUNCTION("IF(A7886="""","""",INDEX(SPLIT(A7886,"" ""),COUNTA(SPLIT(A7886,"" ""))))"),"Lunamatrona")</f>
        <v>Lunamatrona</v>
      </c>
      <c r="C7886" s="6"/>
      <c r="D7886" s="6" t="s">
        <v>7964</v>
      </c>
      <c r="E7886" s="7" t="s">
        <v>7965</v>
      </c>
    </row>
    <row r="7887">
      <c r="A7887" s="4" t="s">
        <v>8003</v>
      </c>
      <c r="B7887" s="5" t="str">
        <f>IFERROR(__xludf.DUMMYFUNCTION("IF(A7887="""","""",INDEX(SPLIT(A7887,"" ""),COUNTA(SPLIT(A7887,"" ""))))"),"Mandas")</f>
        <v>Mandas</v>
      </c>
      <c r="C7887" s="6"/>
      <c r="D7887" s="6" t="s">
        <v>7964</v>
      </c>
      <c r="E7887" s="7" t="s">
        <v>7965</v>
      </c>
    </row>
    <row r="7888">
      <c r="A7888" s="4" t="s">
        <v>8004</v>
      </c>
      <c r="B7888" s="5" t="str">
        <f>IFERROR(__xludf.DUMMYFUNCTION("IF(A7888="""","""",INDEX(SPLIT(A7888,"" ""),COUNTA(SPLIT(A7888,"" ""))))"),"Masainas")</f>
        <v>Masainas</v>
      </c>
      <c r="C7888" s="6"/>
      <c r="D7888" s="6" t="s">
        <v>7964</v>
      </c>
      <c r="E7888" s="7" t="s">
        <v>7965</v>
      </c>
    </row>
    <row r="7889">
      <c r="A7889" s="4" t="s">
        <v>8005</v>
      </c>
      <c r="B7889" s="5" t="str">
        <f>IFERROR(__xludf.DUMMYFUNCTION("IF(A7889="""","""",INDEX(SPLIT(A7889,"" ""),COUNTA(SPLIT(A7889,"" ""))))"),"Monastir")</f>
        <v>Monastir</v>
      </c>
      <c r="C7889" s="6"/>
      <c r="D7889" s="6" t="s">
        <v>7964</v>
      </c>
      <c r="E7889" s="7" t="s">
        <v>7965</v>
      </c>
    </row>
    <row r="7890">
      <c r="A7890" s="4" t="s">
        <v>8006</v>
      </c>
      <c r="B7890" s="5" t="str">
        <f>IFERROR(__xludf.DUMMYFUNCTION("IF(A7890="""","""",INDEX(SPLIT(A7890,"" ""),COUNTA(SPLIT(A7890,"" ""))))"),"Muravera")</f>
        <v>Muravera</v>
      </c>
      <c r="C7890" s="6"/>
      <c r="D7890" s="6" t="s">
        <v>7964</v>
      </c>
      <c r="E7890" s="7" t="s">
        <v>7965</v>
      </c>
    </row>
    <row r="7891">
      <c r="A7891" s="4" t="s">
        <v>8007</v>
      </c>
      <c r="B7891" s="5" t="str">
        <f>IFERROR(__xludf.DUMMYFUNCTION("IF(A7891="""","""",INDEX(SPLIT(A7891,"" ""),COUNTA(SPLIT(A7891,"" ""))))"),"Musei")</f>
        <v>Musei</v>
      </c>
      <c r="C7891" s="6"/>
      <c r="D7891" s="6" t="s">
        <v>7964</v>
      </c>
      <c r="E7891" s="7" t="s">
        <v>7965</v>
      </c>
    </row>
    <row r="7892">
      <c r="A7892" s="4" t="s">
        <v>8008</v>
      </c>
      <c r="B7892" s="5" t="str">
        <f>IFERROR(__xludf.DUMMYFUNCTION("IF(A7892="""","""",INDEX(SPLIT(A7892,"" ""),COUNTA(SPLIT(A7892,"" ""))))"),"Narcao")</f>
        <v>Narcao</v>
      </c>
      <c r="C7892" s="6"/>
      <c r="D7892" s="6" t="s">
        <v>7964</v>
      </c>
      <c r="E7892" s="7" t="s">
        <v>7965</v>
      </c>
    </row>
    <row r="7893">
      <c r="A7893" s="4" t="s">
        <v>8009</v>
      </c>
      <c r="B7893" s="5" t="str">
        <f>IFERROR(__xludf.DUMMYFUNCTION("IF(A7893="""","""",INDEX(SPLIT(A7893,"" ""),COUNTA(SPLIT(A7893,"" ""))))"),"Nuragus")</f>
        <v>Nuragus</v>
      </c>
      <c r="C7893" s="6"/>
      <c r="D7893" s="6" t="s">
        <v>7964</v>
      </c>
      <c r="E7893" s="7" t="s">
        <v>7965</v>
      </c>
    </row>
    <row r="7894">
      <c r="A7894" s="4" t="s">
        <v>8010</v>
      </c>
      <c r="B7894" s="5" t="str">
        <f>IFERROR(__xludf.DUMMYFUNCTION("IF(A7894="""","""",INDEX(SPLIT(A7894,"" ""),COUNTA(SPLIT(A7894,"" ""))))"),"Nurallao")</f>
        <v>Nurallao</v>
      </c>
      <c r="C7894" s="6"/>
      <c r="D7894" s="6" t="s">
        <v>7964</v>
      </c>
      <c r="E7894" s="7" t="s">
        <v>7965</v>
      </c>
    </row>
    <row r="7895">
      <c r="A7895" s="4" t="s">
        <v>8011</v>
      </c>
      <c r="B7895" s="5" t="str">
        <f>IFERROR(__xludf.DUMMYFUNCTION("IF(A7895="""","""",INDEX(SPLIT(A7895,"" ""),COUNTA(SPLIT(A7895,"" ""))))"),"Nuraminis")</f>
        <v>Nuraminis</v>
      </c>
      <c r="C7895" s="6"/>
      <c r="D7895" s="6" t="s">
        <v>7964</v>
      </c>
      <c r="E7895" s="7" t="s">
        <v>7965</v>
      </c>
    </row>
    <row r="7896">
      <c r="A7896" s="4" t="s">
        <v>8012</v>
      </c>
      <c r="B7896" s="5" t="str">
        <f>IFERROR(__xludf.DUMMYFUNCTION("IF(A7896="""","""",INDEX(SPLIT(A7896,"" ""),COUNTA(SPLIT(A7896,"" ""))))"),"Nurri")</f>
        <v>Nurri</v>
      </c>
      <c r="C7896" s="6"/>
      <c r="D7896" s="6" t="s">
        <v>7964</v>
      </c>
      <c r="E7896" s="7" t="s">
        <v>7965</v>
      </c>
    </row>
    <row r="7897">
      <c r="A7897" s="4" t="s">
        <v>8013</v>
      </c>
      <c r="B7897" s="5" t="str">
        <f>IFERROR(__xludf.DUMMYFUNCTION("IF(A7897="""","""",INDEX(SPLIT(A7897,"" ""),COUNTA(SPLIT(A7897,"" ""))))"),"Nuxis")</f>
        <v>Nuxis</v>
      </c>
      <c r="C7897" s="6"/>
      <c r="D7897" s="6" t="s">
        <v>7964</v>
      </c>
      <c r="E7897" s="7" t="s">
        <v>7965</v>
      </c>
    </row>
    <row r="7898">
      <c r="A7898" s="4" t="s">
        <v>8014</v>
      </c>
      <c r="B7898" s="5" t="str">
        <f>IFERROR(__xludf.DUMMYFUNCTION("IF(A7898="""","""",INDEX(SPLIT(A7898,"" ""),COUNTA(SPLIT(A7898,"" ""))))"),"Orroli")</f>
        <v>Orroli</v>
      </c>
      <c r="C7898" s="6"/>
      <c r="D7898" s="6" t="s">
        <v>7964</v>
      </c>
      <c r="E7898" s="7" t="s">
        <v>7965</v>
      </c>
    </row>
    <row r="7899">
      <c r="A7899" s="4" t="s">
        <v>8015</v>
      </c>
      <c r="B7899" s="5" t="str">
        <f>IFERROR(__xludf.DUMMYFUNCTION("IF(A7899="""","""",INDEX(SPLIT(A7899,"" ""),COUNTA(SPLIT(A7899,"" ""))))"),"Ortacesus")</f>
        <v>Ortacesus</v>
      </c>
      <c r="C7899" s="6"/>
      <c r="D7899" s="6" t="s">
        <v>7964</v>
      </c>
      <c r="E7899" s="7" t="s">
        <v>7965</v>
      </c>
    </row>
    <row r="7900">
      <c r="A7900" s="4" t="s">
        <v>8016</v>
      </c>
      <c r="B7900" s="5" t="str">
        <f>IFERROR(__xludf.DUMMYFUNCTION("IF(A7900="""","""",INDEX(SPLIT(A7900,"" ""),COUNTA(SPLIT(A7900,"" ""))))"),"Pabillonis")</f>
        <v>Pabillonis</v>
      </c>
      <c r="C7900" s="6"/>
      <c r="D7900" s="6" t="s">
        <v>7964</v>
      </c>
      <c r="E7900" s="7" t="s">
        <v>7965</v>
      </c>
    </row>
    <row r="7901">
      <c r="A7901" s="4" t="s">
        <v>8017</v>
      </c>
      <c r="B7901" s="5" t="str">
        <f>IFERROR(__xludf.DUMMYFUNCTION("IF(A7901="""","""",INDEX(SPLIT(A7901,"" ""),COUNTA(SPLIT(A7901,"" ""))))"),"Arbarei")</f>
        <v>Arbarei</v>
      </c>
      <c r="C7901" s="6"/>
      <c r="D7901" s="6" t="s">
        <v>7964</v>
      </c>
      <c r="E7901" s="7" t="s">
        <v>7965</v>
      </c>
    </row>
    <row r="7902">
      <c r="A7902" s="4" t="s">
        <v>8018</v>
      </c>
      <c r="B7902" s="5" t="str">
        <f>IFERROR(__xludf.DUMMYFUNCTION("IF(A7902="""","""",INDEX(SPLIT(A7902,"" ""),COUNTA(SPLIT(A7902,"" ""))))"),"Perdaxius")</f>
        <v>Perdaxius</v>
      </c>
      <c r="C7902" s="6"/>
      <c r="D7902" s="6" t="s">
        <v>7964</v>
      </c>
      <c r="E7902" s="7" t="s">
        <v>7965</v>
      </c>
    </row>
    <row r="7903">
      <c r="A7903" s="4" t="s">
        <v>8019</v>
      </c>
      <c r="B7903" s="5" t="str">
        <f>IFERROR(__xludf.DUMMYFUNCTION("IF(A7903="""","""",INDEX(SPLIT(A7903,"" ""),COUNTA(SPLIT(A7903,"" ""))))"),"Pimentel")</f>
        <v>Pimentel</v>
      </c>
      <c r="C7903" s="6"/>
      <c r="D7903" s="6" t="s">
        <v>7964</v>
      </c>
      <c r="E7903" s="7" t="s">
        <v>7965</v>
      </c>
    </row>
    <row r="7904">
      <c r="A7904" s="4" t="s">
        <v>8020</v>
      </c>
      <c r="B7904" s="5" t="str">
        <f>IFERROR(__xludf.DUMMYFUNCTION("IF(A7904="""","""",INDEX(SPLIT(A7904,"" ""),COUNTA(SPLIT(A7904,"" ""))))"),"Piscinas")</f>
        <v>Piscinas</v>
      </c>
      <c r="C7904" s="6"/>
      <c r="D7904" s="6" t="s">
        <v>7964</v>
      </c>
      <c r="E7904" s="7" t="s">
        <v>7965</v>
      </c>
    </row>
    <row r="7905">
      <c r="A7905" s="4" t="s">
        <v>8021</v>
      </c>
      <c r="B7905" s="5" t="str">
        <f>IFERROR(__xludf.DUMMYFUNCTION("IF(A7905="""","""",INDEX(SPLIT(A7905,"" ""),COUNTA(SPLIT(A7905,"" ""))))"),"Portoscuso")</f>
        <v>Portoscuso</v>
      </c>
      <c r="C7905" s="6"/>
      <c r="D7905" s="6" t="s">
        <v>7964</v>
      </c>
      <c r="E7905" s="7" t="s">
        <v>7965</v>
      </c>
    </row>
    <row r="7906">
      <c r="A7906" s="4" t="s">
        <v>8022</v>
      </c>
      <c r="B7906" s="5" t="str">
        <f>IFERROR(__xludf.DUMMYFUNCTION("IF(A7906="""","""",INDEX(SPLIT(A7906,"" ""),COUNTA(SPLIT(A7906,"" ""))))"),"Sadali")</f>
        <v>Sadali</v>
      </c>
      <c r="C7906" s="6"/>
      <c r="D7906" s="6" t="s">
        <v>7964</v>
      </c>
      <c r="E7906" s="7" t="s">
        <v>7965</v>
      </c>
    </row>
    <row r="7907">
      <c r="A7907" s="4" t="s">
        <v>8023</v>
      </c>
      <c r="B7907" s="5" t="str">
        <f>IFERROR(__xludf.DUMMYFUNCTION("IF(A7907="""","""",INDEX(SPLIT(A7907,"" ""),COUNTA(SPLIT(A7907,"" ""))))"),"Samassi")</f>
        <v>Samassi</v>
      </c>
      <c r="C7907" s="6"/>
      <c r="D7907" s="6" t="s">
        <v>7964</v>
      </c>
      <c r="E7907" s="7" t="s">
        <v>7965</v>
      </c>
    </row>
    <row r="7908">
      <c r="A7908" s="4" t="s">
        <v>8024</v>
      </c>
      <c r="B7908" s="5" t="str">
        <f>IFERROR(__xludf.DUMMYFUNCTION("IF(A7908="""","""",INDEX(SPLIT(A7908,"" ""),COUNTA(SPLIT(A7908,"" ""))))"),"Samatzai")</f>
        <v>Samatzai</v>
      </c>
      <c r="C7908" s="6"/>
      <c r="D7908" s="6" t="s">
        <v>7964</v>
      </c>
      <c r="E7908" s="7" t="s">
        <v>7965</v>
      </c>
    </row>
    <row r="7909">
      <c r="A7909" s="4" t="s">
        <v>8025</v>
      </c>
      <c r="B7909" s="5" t="str">
        <f>IFERROR(__xludf.DUMMYFUNCTION("IF(A7909="""","""",INDEX(SPLIT(A7909,"" ""),COUNTA(SPLIT(A7909,"" ""))))"),"Basilio")</f>
        <v>Basilio</v>
      </c>
      <c r="C7909" s="6"/>
      <c r="D7909" s="6" t="s">
        <v>7964</v>
      </c>
      <c r="E7909" s="7" t="s">
        <v>7965</v>
      </c>
    </row>
    <row r="7910">
      <c r="A7910" s="4" t="s">
        <v>8026</v>
      </c>
      <c r="B7910" s="5" t="str">
        <f>IFERROR(__xludf.DUMMYFUNCTION("IF(A7910="""","""",INDEX(SPLIT(A7910,"" ""),COUNTA(SPLIT(A7910,"" ""))))"),"Monreale")</f>
        <v>Monreale</v>
      </c>
      <c r="C7910" s="6"/>
      <c r="D7910" s="6" t="s">
        <v>7964</v>
      </c>
      <c r="E7910" s="7" t="s">
        <v>7965</v>
      </c>
    </row>
    <row r="7911">
      <c r="A7911" s="4" t="s">
        <v>8027</v>
      </c>
      <c r="B7911" s="5" t="str">
        <f>IFERROR(__xludf.DUMMYFUNCTION("IF(A7911="""","""",INDEX(SPLIT(A7911,"" ""),COUNTA(SPLIT(A7911,"" ""))))"),"Suergiu")</f>
        <v>Suergiu</v>
      </c>
      <c r="C7911" s="6"/>
      <c r="D7911" s="6" t="s">
        <v>7964</v>
      </c>
      <c r="E7911" s="7" t="s">
        <v>7965</v>
      </c>
    </row>
    <row r="7912">
      <c r="A7912" s="4" t="s">
        <v>8028</v>
      </c>
      <c r="B7912" s="5" t="str">
        <f>IFERROR(__xludf.DUMMYFUNCTION("IF(A7912="""","""",INDEX(SPLIT(A7912,"" ""),COUNTA(SPLIT(A7912,"" ""))))"),"Gerrei")</f>
        <v>Gerrei</v>
      </c>
      <c r="C7912" s="6"/>
      <c r="D7912" s="6" t="s">
        <v>7964</v>
      </c>
      <c r="E7912" s="7" t="s">
        <v>7965</v>
      </c>
    </row>
    <row r="7913">
      <c r="A7913" s="4" t="s">
        <v>8029</v>
      </c>
      <c r="B7913" s="5" t="str">
        <f>IFERROR(__xludf.DUMMYFUNCTION("IF(A7913="""","""",INDEX(SPLIT(A7913,"" ""),COUNTA(SPLIT(A7913,"" ""))))"),"Sperate")</f>
        <v>Sperate</v>
      </c>
      <c r="C7913" s="6"/>
      <c r="D7913" s="6" t="s">
        <v>7964</v>
      </c>
      <c r="E7913" s="7" t="s">
        <v>7965</v>
      </c>
    </row>
    <row r="7914">
      <c r="A7914" s="4" t="s">
        <v>8030</v>
      </c>
      <c r="B7914" s="5" t="str">
        <f>IFERROR(__xludf.DUMMYFUNCTION("IF(A7914="""","""",INDEX(SPLIT(A7914,"" ""),COUNTA(SPLIT(A7914,"" ""))))"),"Vito")</f>
        <v>Vito</v>
      </c>
      <c r="C7914" s="6"/>
      <c r="D7914" s="6" t="s">
        <v>7964</v>
      </c>
      <c r="E7914" s="7" t="s">
        <v>7965</v>
      </c>
    </row>
    <row r="7915">
      <c r="A7915" s="4" t="s">
        <v>8031</v>
      </c>
      <c r="B7915" s="5" t="str">
        <f>IFERROR(__xludf.DUMMYFUNCTION("IF(A7915="""","""",INDEX(SPLIT(A7915,"" ""),COUNTA(SPLIT(A7915,"" ""))))"),"Sanluri")</f>
        <v>Sanluri</v>
      </c>
      <c r="C7915" s="6"/>
      <c r="D7915" s="6" t="s">
        <v>7964</v>
      </c>
      <c r="E7915" s="7" t="s">
        <v>7965</v>
      </c>
    </row>
    <row r="7916">
      <c r="A7916" s="4" t="s">
        <v>8032</v>
      </c>
      <c r="B7916" s="5" t="str">
        <f>IFERROR(__xludf.DUMMYFUNCTION("IF(A7916="""","""",INDEX(SPLIT(A7916,"" ""),COUNTA(SPLIT(A7916,"" ""))))"),"Santadi")</f>
        <v>Santadi</v>
      </c>
      <c r="C7916" s="6"/>
      <c r="D7916" s="6" t="s">
        <v>7964</v>
      </c>
      <c r="E7916" s="7" t="s">
        <v>7965</v>
      </c>
    </row>
    <row r="7917">
      <c r="A7917" s="4" t="s">
        <v>8033</v>
      </c>
      <c r="B7917" s="5" t="str">
        <f>IFERROR(__xludf.DUMMYFUNCTION("IF(A7917="""","""",INDEX(SPLIT(A7917,"" ""),COUNTA(SPLIT(A7917,"" ""))))"),"Frius")</f>
        <v>Frius</v>
      </c>
      <c r="C7917" s="6"/>
      <c r="D7917" s="6" t="s">
        <v>7964</v>
      </c>
      <c r="E7917" s="7" t="s">
        <v>7965</v>
      </c>
    </row>
    <row r="7918">
      <c r="A7918" s="4" t="s">
        <v>8034</v>
      </c>
      <c r="B7918" s="5" t="str">
        <f>IFERROR(__xludf.DUMMYFUNCTION("IF(A7918="""","""",INDEX(SPLIT(A7918,"" ""),COUNTA(SPLIT(A7918,"" ""))))"),"Arresi")</f>
        <v>Arresi</v>
      </c>
      <c r="C7918" s="6"/>
      <c r="D7918" s="6" t="s">
        <v>7964</v>
      </c>
      <c r="E7918" s="7" t="s">
        <v>7965</v>
      </c>
    </row>
    <row r="7919">
      <c r="A7919" s="4" t="s">
        <v>8035</v>
      </c>
      <c r="B7919" s="5" t="str">
        <f>IFERROR(__xludf.DUMMYFUNCTION("IF(A7919="""","""",INDEX(SPLIT(A7919,"" ""),COUNTA(SPLIT(A7919,"" ""))))"),"Sant'Antioco")</f>
        <v>Sant'Antioco</v>
      </c>
      <c r="C7919" s="6"/>
      <c r="D7919" s="6" t="s">
        <v>7964</v>
      </c>
      <c r="E7919" s="7" t="s">
        <v>7965</v>
      </c>
    </row>
    <row r="7920">
      <c r="A7920" s="4" t="s">
        <v>8036</v>
      </c>
      <c r="B7920" s="5" t="str">
        <f>IFERROR(__xludf.DUMMYFUNCTION("IF(A7920="""","""",INDEX(SPLIT(A7920,"" ""),COUNTA(SPLIT(A7920,"" ""))))"),"Sardara")</f>
        <v>Sardara</v>
      </c>
      <c r="C7920" s="6"/>
      <c r="D7920" s="6" t="s">
        <v>7964</v>
      </c>
      <c r="E7920" s="7" t="s">
        <v>7965</v>
      </c>
    </row>
    <row r="7921">
      <c r="A7921" s="4" t="s">
        <v>8037</v>
      </c>
      <c r="B7921" s="5" t="str">
        <f>IFERROR(__xludf.DUMMYFUNCTION("IF(A7921="""","""",INDEX(SPLIT(A7921,"" ""),COUNTA(SPLIT(A7921,"" ""))))"),"Segariu")</f>
        <v>Segariu</v>
      </c>
      <c r="C7921" s="6"/>
      <c r="D7921" s="6" t="s">
        <v>7964</v>
      </c>
      <c r="E7921" s="7" t="s">
        <v>7965</v>
      </c>
    </row>
    <row r="7922">
      <c r="A7922" s="4" t="s">
        <v>8038</v>
      </c>
      <c r="B7922" s="5" t="str">
        <f>IFERROR(__xludf.DUMMYFUNCTION("IF(A7922="""","""",INDEX(SPLIT(A7922,"" ""),COUNTA(SPLIT(A7922,"" ""))))"),"Selegas")</f>
        <v>Selegas</v>
      </c>
      <c r="C7922" s="6"/>
      <c r="D7922" s="6" t="s">
        <v>7964</v>
      </c>
      <c r="E7922" s="7" t="s">
        <v>7965</v>
      </c>
    </row>
    <row r="7923">
      <c r="A7923" s="4" t="s">
        <v>8039</v>
      </c>
      <c r="B7923" s="5" t="str">
        <f>IFERROR(__xludf.DUMMYFUNCTION("IF(A7923="""","""",INDEX(SPLIT(A7923,"" ""),COUNTA(SPLIT(A7923,"" ""))))"),"Senorbì")</f>
        <v>Senorbì</v>
      </c>
      <c r="C7923" s="6"/>
      <c r="D7923" s="6" t="s">
        <v>7964</v>
      </c>
      <c r="E7923" s="7" t="s">
        <v>7965</v>
      </c>
    </row>
    <row r="7924">
      <c r="A7924" s="4" t="s">
        <v>8040</v>
      </c>
      <c r="B7924" s="5" t="str">
        <f>IFERROR(__xludf.DUMMYFUNCTION("IF(A7924="""","""",INDEX(SPLIT(A7924,"" ""),COUNTA(SPLIT(A7924,"" ""))))"),"Serdiana")</f>
        <v>Serdiana</v>
      </c>
      <c r="C7924" s="6"/>
      <c r="D7924" s="6" t="s">
        <v>7964</v>
      </c>
      <c r="E7924" s="7" t="s">
        <v>7965</v>
      </c>
    </row>
    <row r="7925">
      <c r="A7925" s="4" t="s">
        <v>8041</v>
      </c>
      <c r="B7925" s="5" t="str">
        <f>IFERROR(__xludf.DUMMYFUNCTION("IF(A7925="""","""",INDEX(SPLIT(A7925,"" ""),COUNTA(SPLIT(A7925,"" ""))))"),"Serramanna")</f>
        <v>Serramanna</v>
      </c>
      <c r="C7925" s="6"/>
      <c r="D7925" s="6" t="s">
        <v>7964</v>
      </c>
      <c r="E7925" s="7" t="s">
        <v>7965</v>
      </c>
    </row>
    <row r="7926">
      <c r="A7926" s="4" t="s">
        <v>8042</v>
      </c>
      <c r="B7926" s="5" t="str">
        <f>IFERROR(__xludf.DUMMYFUNCTION("IF(A7926="""","""",INDEX(SPLIT(A7926,"" ""),COUNTA(SPLIT(A7926,"" ""))))"),"Serrenti")</f>
        <v>Serrenti</v>
      </c>
      <c r="C7926" s="6"/>
      <c r="D7926" s="6" t="s">
        <v>7964</v>
      </c>
      <c r="E7926" s="7" t="s">
        <v>7965</v>
      </c>
    </row>
    <row r="7927">
      <c r="A7927" s="4" t="s">
        <v>8043</v>
      </c>
      <c r="B7927" s="5" t="str">
        <f>IFERROR(__xludf.DUMMYFUNCTION("IF(A7927="""","""",INDEX(SPLIT(A7927,"" ""),COUNTA(SPLIT(A7927,"" ""))))"),"Serri")</f>
        <v>Serri</v>
      </c>
      <c r="C7927" s="6"/>
      <c r="D7927" s="6" t="s">
        <v>7964</v>
      </c>
      <c r="E7927" s="7" t="s">
        <v>7965</v>
      </c>
    </row>
    <row r="7928">
      <c r="A7928" s="4" t="s">
        <v>8044</v>
      </c>
      <c r="B7928" s="5" t="str">
        <f>IFERROR(__xludf.DUMMYFUNCTION("IF(A7928="""","""",INDEX(SPLIT(A7928,"" ""),COUNTA(SPLIT(A7928,"" ""))))"),"Setzu")</f>
        <v>Setzu</v>
      </c>
      <c r="C7928" s="6"/>
      <c r="D7928" s="6" t="s">
        <v>7964</v>
      </c>
      <c r="E7928" s="7" t="s">
        <v>7965</v>
      </c>
    </row>
    <row r="7929">
      <c r="A7929" s="4" t="s">
        <v>8045</v>
      </c>
      <c r="B7929" s="5" t="str">
        <f>IFERROR(__xludf.DUMMYFUNCTION("IF(A7929="""","""",INDEX(SPLIT(A7929,"" ""),COUNTA(SPLIT(A7929,"" ""))))"),"Seui")</f>
        <v>Seui</v>
      </c>
      <c r="C7929" s="6"/>
      <c r="D7929" s="6" t="s">
        <v>7964</v>
      </c>
      <c r="E7929" s="7" t="s">
        <v>7965</v>
      </c>
    </row>
    <row r="7930">
      <c r="A7930" s="4" t="s">
        <v>8046</v>
      </c>
      <c r="B7930" s="5" t="str">
        <f>IFERROR(__xludf.DUMMYFUNCTION("IF(A7930="""","""",INDEX(SPLIT(A7930,"" ""),COUNTA(SPLIT(A7930,"" ""))))"),"Seulo")</f>
        <v>Seulo</v>
      </c>
      <c r="C7930" s="6"/>
      <c r="D7930" s="6" t="s">
        <v>7964</v>
      </c>
      <c r="E7930" s="7" t="s">
        <v>7965</v>
      </c>
    </row>
    <row r="7931">
      <c r="A7931" s="4" t="s">
        <v>8047</v>
      </c>
      <c r="B7931" s="5" t="str">
        <f>IFERROR(__xludf.DUMMYFUNCTION("IF(A7931="""","""",INDEX(SPLIT(A7931,"" ""),COUNTA(SPLIT(A7931,"" ""))))"),"Siddi")</f>
        <v>Siddi</v>
      </c>
      <c r="C7931" s="6"/>
      <c r="D7931" s="6" t="s">
        <v>7964</v>
      </c>
      <c r="E7931" s="7" t="s">
        <v>7965</v>
      </c>
    </row>
    <row r="7932">
      <c r="A7932" s="4" t="s">
        <v>8048</v>
      </c>
      <c r="B7932" s="5" t="str">
        <f>IFERROR(__xludf.DUMMYFUNCTION("IF(A7932="""","""",INDEX(SPLIT(A7932,"" ""),COUNTA(SPLIT(A7932,"" ""))))"),"Siliqua")</f>
        <v>Siliqua</v>
      </c>
      <c r="C7932" s="6"/>
      <c r="D7932" s="6" t="s">
        <v>7964</v>
      </c>
      <c r="E7932" s="7" t="s">
        <v>7965</v>
      </c>
    </row>
    <row r="7933">
      <c r="A7933" s="4" t="s">
        <v>8049</v>
      </c>
      <c r="B7933" s="5" t="str">
        <f>IFERROR(__xludf.DUMMYFUNCTION("IF(A7933="""","""",INDEX(SPLIT(A7933,"" ""),COUNTA(SPLIT(A7933,"" ""))))"),"Silius")</f>
        <v>Silius</v>
      </c>
      <c r="C7933" s="6"/>
      <c r="D7933" s="6" t="s">
        <v>7964</v>
      </c>
      <c r="E7933" s="7" t="s">
        <v>7965</v>
      </c>
    </row>
    <row r="7934">
      <c r="A7934" s="4" t="s">
        <v>8050</v>
      </c>
      <c r="B7934" s="5" t="str">
        <f>IFERROR(__xludf.DUMMYFUNCTION("IF(A7934="""","""",INDEX(SPLIT(A7934,"" ""),COUNTA(SPLIT(A7934,"" ""))))"),"Donigala")</f>
        <v>Donigala</v>
      </c>
      <c r="C7934" s="6"/>
      <c r="D7934" s="6" t="s">
        <v>7964</v>
      </c>
      <c r="E7934" s="7" t="s">
        <v>7965</v>
      </c>
    </row>
    <row r="7935">
      <c r="A7935" s="4" t="s">
        <v>8051</v>
      </c>
      <c r="B7935" s="5" t="str">
        <f>IFERROR(__xludf.DUMMYFUNCTION("IF(A7935="""","""",INDEX(SPLIT(A7935,"" ""),COUNTA(SPLIT(A7935,"" ""))))"),"Soleminis")</f>
        <v>Soleminis</v>
      </c>
      <c r="C7935" s="6"/>
      <c r="D7935" s="6" t="s">
        <v>7964</v>
      </c>
      <c r="E7935" s="7" t="s">
        <v>7965</v>
      </c>
    </row>
    <row r="7936">
      <c r="A7936" s="4" t="s">
        <v>8052</v>
      </c>
      <c r="B7936" s="5" t="str">
        <f>IFERROR(__xludf.DUMMYFUNCTION("IF(A7936="""","""",INDEX(SPLIT(A7936,"" ""),COUNTA(SPLIT(A7936,"" ""))))"),"Suelli")</f>
        <v>Suelli</v>
      </c>
      <c r="C7936" s="6"/>
      <c r="D7936" s="6" t="s">
        <v>7964</v>
      </c>
      <c r="E7936" s="7" t="s">
        <v>7965</v>
      </c>
    </row>
    <row r="7937">
      <c r="A7937" s="4" t="s">
        <v>8053</v>
      </c>
      <c r="B7937" s="5" t="str">
        <f>IFERROR(__xludf.DUMMYFUNCTION("IF(A7937="""","""",INDEX(SPLIT(A7937,"" ""),COUNTA(SPLIT(A7937,"" ""))))"),"Teulada")</f>
        <v>Teulada</v>
      </c>
      <c r="C7937" s="6"/>
      <c r="D7937" s="6" t="s">
        <v>7964</v>
      </c>
      <c r="E7937" s="7" t="s">
        <v>7965</v>
      </c>
    </row>
    <row r="7938">
      <c r="A7938" s="4" t="s">
        <v>8054</v>
      </c>
      <c r="B7938" s="5" t="str">
        <f>IFERROR(__xludf.DUMMYFUNCTION("IF(A7938="""","""",INDEX(SPLIT(A7938,"" ""),COUNTA(SPLIT(A7938,"" ""))))"),"Tratalias")</f>
        <v>Tratalias</v>
      </c>
      <c r="C7938" s="6"/>
      <c r="D7938" s="6" t="s">
        <v>7964</v>
      </c>
      <c r="E7938" s="7" t="s">
        <v>7965</v>
      </c>
    </row>
    <row r="7939">
      <c r="A7939" s="4" t="s">
        <v>8055</v>
      </c>
      <c r="B7939" s="5" t="str">
        <f>IFERROR(__xludf.DUMMYFUNCTION("IF(A7939="""","""",INDEX(SPLIT(A7939,"" ""),COUNTA(SPLIT(A7939,"" ""))))"),"Tuili")</f>
        <v>Tuili</v>
      </c>
      <c r="C7939" s="6"/>
      <c r="D7939" s="6" t="s">
        <v>7964</v>
      </c>
      <c r="E7939" s="7" t="s">
        <v>7965</v>
      </c>
    </row>
    <row r="7940">
      <c r="A7940" s="4" t="s">
        <v>8056</v>
      </c>
      <c r="B7940" s="5" t="str">
        <f>IFERROR(__xludf.DUMMYFUNCTION("IF(A7940="""","""",INDEX(SPLIT(A7940,"" ""),COUNTA(SPLIT(A7940,"" ""))))"),"Turri")</f>
        <v>Turri</v>
      </c>
      <c r="C7940" s="6"/>
      <c r="D7940" s="6" t="s">
        <v>7964</v>
      </c>
      <c r="E7940" s="7" t="s">
        <v>7965</v>
      </c>
    </row>
    <row r="7941">
      <c r="A7941" s="4" t="s">
        <v>8057</v>
      </c>
      <c r="B7941" s="5" t="str">
        <f>IFERROR(__xludf.DUMMYFUNCTION("IF(A7941="""","""",INDEX(SPLIT(A7941,"" ""),COUNTA(SPLIT(A7941,"" ""))))"),"Ussana")</f>
        <v>Ussana</v>
      </c>
      <c r="C7941" s="6"/>
      <c r="D7941" s="6" t="s">
        <v>7964</v>
      </c>
      <c r="E7941" s="7" t="s">
        <v>7965</v>
      </c>
    </row>
    <row r="7942">
      <c r="A7942" s="4" t="s">
        <v>8058</v>
      </c>
      <c r="B7942" s="5" t="str">
        <f>IFERROR(__xludf.DUMMYFUNCTION("IF(A7942="""","""",INDEX(SPLIT(A7942,"" ""),COUNTA(SPLIT(A7942,"" ""))))"),"Ussaramanna")</f>
        <v>Ussaramanna</v>
      </c>
      <c r="C7942" s="6"/>
      <c r="D7942" s="6" t="s">
        <v>7964</v>
      </c>
      <c r="E7942" s="7" t="s">
        <v>7965</v>
      </c>
    </row>
    <row r="7943">
      <c r="A7943" s="4" t="s">
        <v>8059</v>
      </c>
      <c r="B7943" s="5" t="str">
        <f>IFERROR(__xludf.DUMMYFUNCTION("IF(A7943="""","""",INDEX(SPLIT(A7943,"" ""),COUNTA(SPLIT(A7943,"" ""))))"),"Vallermosa")</f>
        <v>Vallermosa</v>
      </c>
      <c r="C7943" s="6"/>
      <c r="D7943" s="6" t="s">
        <v>7964</v>
      </c>
      <c r="E7943" s="7" t="s">
        <v>7965</v>
      </c>
    </row>
    <row r="7944">
      <c r="A7944" s="4" t="s">
        <v>8060</v>
      </c>
      <c r="B7944" s="5" t="str">
        <f>IFERROR(__xludf.DUMMYFUNCTION("IF(A7944="""","""",INDEX(SPLIT(A7944,"" ""),COUNTA(SPLIT(A7944,"" ""))))"),"Villacidro")</f>
        <v>Villacidro</v>
      </c>
      <c r="C7944" s="6"/>
      <c r="D7944" s="6" t="s">
        <v>7964</v>
      </c>
      <c r="E7944" s="7" t="s">
        <v>7965</v>
      </c>
    </row>
    <row r="7945">
      <c r="A7945" s="4" t="s">
        <v>8061</v>
      </c>
      <c r="B7945" s="5" t="str">
        <f>IFERROR(__xludf.DUMMYFUNCTION("IF(A7945="""","""",INDEX(SPLIT(A7945,"" ""),COUNTA(SPLIT(A7945,"" ""))))"),"Villamar")</f>
        <v>Villamar</v>
      </c>
      <c r="C7945" s="6"/>
      <c r="D7945" s="6" t="s">
        <v>7964</v>
      </c>
      <c r="E7945" s="7" t="s">
        <v>7965</v>
      </c>
    </row>
    <row r="7946">
      <c r="A7946" s="4" t="s">
        <v>8062</v>
      </c>
      <c r="B7946" s="5" t="str">
        <f>IFERROR(__xludf.DUMMYFUNCTION("IF(A7946="""","""",INDEX(SPLIT(A7946,"" ""),COUNTA(SPLIT(A7946,"" ""))))"),"Villamassargia")</f>
        <v>Villamassargia</v>
      </c>
      <c r="C7946" s="6"/>
      <c r="D7946" s="6" t="s">
        <v>7964</v>
      </c>
      <c r="E7946" s="7" t="s">
        <v>7965</v>
      </c>
    </row>
    <row r="7947">
      <c r="A7947" s="4" t="s">
        <v>8063</v>
      </c>
      <c r="B7947" s="5" t="str">
        <f>IFERROR(__xludf.DUMMYFUNCTION("IF(A7947="""","""",INDEX(SPLIT(A7947,"" ""),COUNTA(SPLIT(A7947,"" ""))))"),"Tulo")</f>
        <v>Tulo</v>
      </c>
      <c r="C7947" s="6"/>
      <c r="D7947" s="6" t="s">
        <v>7964</v>
      </c>
      <c r="E7947" s="7" t="s">
        <v>7965</v>
      </c>
    </row>
    <row r="7948">
      <c r="A7948" s="4" t="s">
        <v>8064</v>
      </c>
      <c r="B7948" s="5" t="str">
        <f>IFERROR(__xludf.DUMMYFUNCTION("IF(A7948="""","""",INDEX(SPLIT(A7948,"" ""),COUNTA(SPLIT(A7948,"" ""))))"),"Villanovaforru")</f>
        <v>Villanovaforru</v>
      </c>
      <c r="C7948" s="6"/>
      <c r="D7948" s="6" t="s">
        <v>7964</v>
      </c>
      <c r="E7948" s="7" t="s">
        <v>7965</v>
      </c>
    </row>
    <row r="7949">
      <c r="A7949" s="4" t="s">
        <v>8065</v>
      </c>
      <c r="B7949" s="5" t="str">
        <f>IFERROR(__xludf.DUMMYFUNCTION("IF(A7949="""","""",INDEX(SPLIT(A7949,"" ""),COUNTA(SPLIT(A7949,"" ""))))"),"Villanovafranca")</f>
        <v>Villanovafranca</v>
      </c>
      <c r="C7949" s="6"/>
      <c r="D7949" s="6" t="s">
        <v>7964</v>
      </c>
      <c r="E7949" s="7" t="s">
        <v>7965</v>
      </c>
    </row>
    <row r="7950">
      <c r="A7950" s="4" t="s">
        <v>8066</v>
      </c>
      <c r="B7950" s="5" t="str">
        <f>IFERROR(__xludf.DUMMYFUNCTION("IF(A7950="""","""",INDEX(SPLIT(A7950,"" ""),COUNTA(SPLIT(A7950,"" ""))))"),"Villaperuccio")</f>
        <v>Villaperuccio</v>
      </c>
      <c r="C7950" s="6"/>
      <c r="D7950" s="6" t="s">
        <v>7964</v>
      </c>
      <c r="E7950" s="7" t="s">
        <v>7965</v>
      </c>
    </row>
    <row r="7951">
      <c r="A7951" s="4" t="s">
        <v>8067</v>
      </c>
      <c r="B7951" s="5" t="str">
        <f>IFERROR(__xludf.DUMMYFUNCTION("IF(A7951="""","""",INDEX(SPLIT(A7951,"" ""),COUNTA(SPLIT(A7951,"" ""))))"),"Villaputzu")</f>
        <v>Villaputzu</v>
      </c>
      <c r="C7951" s="6"/>
      <c r="D7951" s="6" t="s">
        <v>7964</v>
      </c>
      <c r="E7951" s="7" t="s">
        <v>7965</v>
      </c>
    </row>
    <row r="7952">
      <c r="A7952" s="4" t="s">
        <v>8068</v>
      </c>
      <c r="B7952" s="5" t="str">
        <f>IFERROR(__xludf.DUMMYFUNCTION("IF(A7952="""","""",INDEX(SPLIT(A7952,"" ""),COUNTA(SPLIT(A7952,"" ""))))"),"Villasalto")</f>
        <v>Villasalto</v>
      </c>
      <c r="C7952" s="6"/>
      <c r="D7952" s="6" t="s">
        <v>7964</v>
      </c>
      <c r="E7952" s="7" t="s">
        <v>7965</v>
      </c>
    </row>
    <row r="7953">
      <c r="A7953" s="4" t="s">
        <v>8069</v>
      </c>
      <c r="B7953" s="5" t="str">
        <f>IFERROR(__xludf.DUMMYFUNCTION("IF(A7953="""","""",INDEX(SPLIT(A7953,"" ""),COUNTA(SPLIT(A7953,"" ""))))"),"Villasimius")</f>
        <v>Villasimius</v>
      </c>
      <c r="C7953" s="6"/>
      <c r="D7953" s="6" t="s">
        <v>7964</v>
      </c>
      <c r="E7953" s="7" t="s">
        <v>7965</v>
      </c>
    </row>
    <row r="7954">
      <c r="A7954" s="4" t="s">
        <v>8070</v>
      </c>
      <c r="B7954" s="5" t="str">
        <f>IFERROR(__xludf.DUMMYFUNCTION("IF(A7954="""","""",INDEX(SPLIT(A7954,"" ""),COUNTA(SPLIT(A7954,"" ""))))"),"Villasor")</f>
        <v>Villasor</v>
      </c>
      <c r="C7954" s="6"/>
      <c r="D7954" s="6" t="s">
        <v>7964</v>
      </c>
      <c r="E7954" s="7" t="s">
        <v>7965</v>
      </c>
    </row>
    <row r="7955">
      <c r="A7955" s="4" t="s">
        <v>8071</v>
      </c>
      <c r="B7955" s="5" t="str">
        <f>IFERROR(__xludf.DUMMYFUNCTION("IF(A7955="""","""",INDEX(SPLIT(A7955,"" ""),COUNTA(SPLIT(A7955,"" ""))))"),"Villaspeciosa")</f>
        <v>Villaspeciosa</v>
      </c>
      <c r="C7955" s="6"/>
      <c r="D7955" s="6" t="s">
        <v>7964</v>
      </c>
      <c r="E7955" s="7" t="s">
        <v>7965</v>
      </c>
    </row>
  </sheetData>
  <conditionalFormatting sqref="A1:B7955">
    <cfRule type="containsText" dxfId="0" priority="1" operator="containsText" text=" ">
      <formula>NOT(ISERROR(SEARCH((" "),(A1))))</formula>
    </cfRule>
  </conditionalFormatting>
  <drawing r:id="rId1"/>
</worksheet>
</file>