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riffin\Desktop\"/>
    </mc:Choice>
  </mc:AlternateContent>
  <xr:revisionPtr revIDLastSave="0" documentId="13_ncr:1_{68C82621-C499-41B1-B9E5-6545BB133F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ash Report" sheetId="1" r:id="rId1"/>
  </sheets>
  <definedNames>
    <definedName name="_xlnm.Print_Area" localSheetId="0">'Flash Report'!$A$1:$AF$36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B5" i="1"/>
  <c r="K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D36" i="1"/>
  <c r="L36" i="1" l="1"/>
  <c r="W6" i="1"/>
  <c r="AF6" i="1" s="1"/>
  <c r="W11" i="1"/>
  <c r="AF11" i="1" s="1"/>
  <c r="W12" i="1"/>
  <c r="AF12" i="1" s="1"/>
  <c r="W13" i="1"/>
  <c r="AF13" i="1" s="1"/>
  <c r="W14" i="1"/>
  <c r="AF14" i="1" s="1"/>
  <c r="W15" i="1"/>
  <c r="AF15" i="1" s="1"/>
  <c r="W16" i="1"/>
  <c r="AF16" i="1" s="1"/>
  <c r="W17" i="1"/>
  <c r="AF17" i="1" s="1"/>
  <c r="W18" i="1"/>
  <c r="AF18" i="1" s="1"/>
  <c r="W19" i="1"/>
  <c r="AF19" i="1" s="1"/>
  <c r="W20" i="1"/>
  <c r="AF20" i="1" s="1"/>
  <c r="W21" i="1"/>
  <c r="AF21" i="1" s="1"/>
  <c r="W22" i="1"/>
  <c r="AF22" i="1" s="1"/>
  <c r="W23" i="1"/>
  <c r="AF23" i="1" s="1"/>
  <c r="W24" i="1"/>
  <c r="AF24" i="1" s="1"/>
  <c r="W25" i="1"/>
  <c r="AF25" i="1" s="1"/>
  <c r="W26" i="1"/>
  <c r="W27" i="1"/>
  <c r="W28" i="1"/>
  <c r="W29" i="1"/>
  <c r="AF29" i="1" s="1"/>
  <c r="W30" i="1"/>
  <c r="AF30" i="1" s="1"/>
  <c r="W31" i="1"/>
  <c r="AF31" i="1" s="1"/>
  <c r="W32" i="1"/>
  <c r="AF32" i="1" s="1"/>
  <c r="W33" i="1"/>
  <c r="AF33" i="1" s="1"/>
  <c r="W34" i="1"/>
  <c r="AF34" i="1" s="1"/>
  <c r="W35" i="1"/>
  <c r="AF35" i="1" s="1"/>
  <c r="W9" i="1"/>
  <c r="W10" i="1"/>
  <c r="AF10" i="1" s="1"/>
  <c r="W8" i="1"/>
  <c r="AF8" i="1" s="1"/>
  <c r="W7" i="1"/>
  <c r="AF7" i="1" s="1"/>
  <c r="W5" i="1"/>
  <c r="AF5" i="1" s="1"/>
  <c r="T36" i="1"/>
  <c r="U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B6" i="1"/>
  <c r="B7" i="1" s="1"/>
  <c r="C5" i="1"/>
  <c r="S36" i="1"/>
  <c r="AF27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5" i="1"/>
  <c r="Q40" i="1"/>
  <c r="Q41" i="1"/>
  <c r="Q42" i="1"/>
  <c r="Q43" i="1"/>
  <c r="Q44" i="1"/>
  <c r="Q39" i="1"/>
  <c r="E36" i="1"/>
  <c r="H36" i="1"/>
  <c r="I36" i="1"/>
  <c r="J36" i="1"/>
  <c r="V36" i="1"/>
  <c r="R36" i="1"/>
  <c r="Q36" i="1"/>
  <c r="P36" i="1"/>
  <c r="O36" i="1"/>
  <c r="N36" i="1"/>
  <c r="M36" i="1"/>
  <c r="AF9" i="1"/>
  <c r="AF26" i="1"/>
  <c r="AF28" i="1"/>
  <c r="Z38" i="1" l="1"/>
  <c r="Z40" i="1" s="1"/>
  <c r="Y38" i="1"/>
  <c r="Y40" i="1" s="1"/>
  <c r="Z36" i="1"/>
  <c r="AD36" i="1"/>
  <c r="AD38" i="1" s="1"/>
  <c r="AD40" i="1" s="1"/>
  <c r="X38" i="1"/>
  <c r="X40" i="1" s="1"/>
  <c r="AA36" i="1"/>
  <c r="AB38" i="1"/>
  <c r="AB40" i="1" s="1"/>
  <c r="AC36" i="1"/>
  <c r="AA38" i="1"/>
  <c r="AA40" i="1" s="1"/>
  <c r="AB36" i="1"/>
  <c r="AE36" i="1"/>
  <c r="AE38" i="1" s="1"/>
  <c r="AE40" i="1" s="1"/>
  <c r="Y36" i="1"/>
  <c r="W36" i="1"/>
  <c r="AF36" i="1" s="1"/>
  <c r="X36" i="1"/>
  <c r="AC38" i="1"/>
  <c r="AC40" i="1" s="1"/>
  <c r="C7" i="1"/>
  <c r="B8" i="1"/>
  <c r="C6" i="1"/>
  <c r="C8" i="1" l="1"/>
  <c r="B9" i="1"/>
  <c r="B10" i="1" l="1"/>
  <c r="C9" i="1"/>
  <c r="B11" i="1" l="1"/>
  <c r="C10" i="1"/>
  <c r="C11" i="1" l="1"/>
  <c r="B12" i="1"/>
  <c r="C12" i="1" l="1"/>
  <c r="B13" i="1"/>
  <c r="B14" i="1" l="1"/>
  <c r="C13" i="1"/>
  <c r="B15" i="1" l="1"/>
  <c r="C14" i="1"/>
  <c r="C15" i="1" l="1"/>
  <c r="B16" i="1"/>
  <c r="B17" i="1" l="1"/>
  <c r="C16" i="1"/>
  <c r="B18" i="1" l="1"/>
  <c r="C17" i="1"/>
  <c r="B19" i="1" l="1"/>
  <c r="C18" i="1"/>
  <c r="C19" i="1" l="1"/>
  <c r="B20" i="1"/>
  <c r="C20" i="1" l="1"/>
  <c r="B21" i="1"/>
  <c r="C21" i="1" l="1"/>
  <c r="B22" i="1"/>
  <c r="C22" i="1" l="1"/>
  <c r="B23" i="1"/>
  <c r="B24" i="1" l="1"/>
  <c r="C23" i="1"/>
  <c r="C24" i="1" l="1"/>
  <c r="B25" i="1"/>
  <c r="B26" i="1" l="1"/>
  <c r="C25" i="1"/>
  <c r="C26" i="1" l="1"/>
  <c r="B27" i="1"/>
  <c r="B28" i="1" l="1"/>
  <c r="C27" i="1"/>
  <c r="B29" i="1" l="1"/>
  <c r="C28" i="1"/>
  <c r="B30" i="1" l="1"/>
  <c r="C29" i="1"/>
  <c r="B31" i="1" l="1"/>
  <c r="C30" i="1"/>
  <c r="B32" i="1" l="1"/>
  <c r="C31" i="1"/>
  <c r="C32" i="1" l="1"/>
  <c r="B33" i="1"/>
  <c r="B34" i="1" l="1"/>
  <c r="C33" i="1"/>
  <c r="C34" i="1" l="1"/>
  <c r="B35" i="1"/>
  <c r="C35" i="1" s="1"/>
</calcChain>
</file>

<file path=xl/sharedStrings.xml><?xml version="1.0" encoding="utf-8"?>
<sst xmlns="http://schemas.openxmlformats.org/spreadsheetml/2006/main" count="71" uniqueCount="55">
  <si>
    <t xml:space="preserve"> </t>
  </si>
  <si>
    <t>SALES</t>
  </si>
  <si>
    <t>EXPENSES</t>
  </si>
  <si>
    <t>COSTS %</t>
  </si>
  <si>
    <t>DATE</t>
  </si>
  <si>
    <t>NET SALES</t>
  </si>
  <si>
    <t>WINE</t>
  </si>
  <si>
    <t>LIQUOR</t>
  </si>
  <si>
    <t>FOOD</t>
  </si>
  <si>
    <t>TOTAL SALES</t>
  </si>
  <si>
    <t>SUPPLIES - REC</t>
  </si>
  <si>
    <t>WINE - REC</t>
  </si>
  <si>
    <t>LIQUOR - REC</t>
  </si>
  <si>
    <t>FOOD - REC</t>
  </si>
  <si>
    <t>WINE %</t>
  </si>
  <si>
    <t>LIQUOR %</t>
  </si>
  <si>
    <t>FOOD %</t>
  </si>
  <si>
    <t>SUPPLIES %</t>
  </si>
  <si>
    <t>LABOR %</t>
  </si>
  <si>
    <t>CASH FLOW</t>
  </si>
  <si>
    <t>Totals</t>
  </si>
  <si>
    <t>BEV</t>
  </si>
  <si>
    <t>LIQ</t>
  </si>
  <si>
    <t>SUPPLIES</t>
  </si>
  <si>
    <t>LABOR</t>
  </si>
  <si>
    <t>Beginning Inventories</t>
  </si>
  <si>
    <t>Ending Inventories</t>
  </si>
  <si>
    <t>Difference</t>
  </si>
  <si>
    <t>ADJ COSTS %</t>
  </si>
  <si>
    <t>Beverage</t>
  </si>
  <si>
    <t>DIFFERENCE %</t>
  </si>
  <si>
    <t>Wine</t>
  </si>
  <si>
    <t>Liquor</t>
  </si>
  <si>
    <t>Food</t>
  </si>
  <si>
    <t>3.2 Beer</t>
  </si>
  <si>
    <t>Strong Beer</t>
  </si>
  <si>
    <t>HOURLY LABOR</t>
  </si>
  <si>
    <t>Strong Beer - REC</t>
  </si>
  <si>
    <t>STRONG BEER %</t>
  </si>
  <si>
    <t>3.2 BEER - REC</t>
  </si>
  <si>
    <t>3.2 BEER %</t>
  </si>
  <si>
    <t xml:space="preserve">FLASH REPORT: </t>
  </si>
  <si>
    <t>3.2 BEER</t>
  </si>
  <si>
    <t>S BEER</t>
  </si>
  <si>
    <t>Str Beer</t>
  </si>
  <si>
    <t>DAY</t>
  </si>
  <si>
    <t>TAXES AND BENS</t>
  </si>
  <si>
    <t xml:space="preserve">SALARY </t>
  </si>
  <si>
    <t>BUDGETED COSTS %</t>
  </si>
  <si>
    <t>MISC.</t>
  </si>
  <si>
    <t>NA BEV - REC</t>
  </si>
  <si>
    <t>NA BEV %</t>
  </si>
  <si>
    <t>NA  BEVERAGE</t>
  </si>
  <si>
    <t>RETAIL SALES</t>
  </si>
  <si>
    <t>"LOCATION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</si>
</sst>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$-409]#,##0.00_);[Red]\([$$-409]#,##0.00\)"/>
    <numFmt numFmtId="165" formatCode="0.0%"/>
    <numFmt numFmtId="166" formatCode="[$-409]mmmm\-yy;@"/>
    <numFmt numFmtId="167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auto="1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4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4"/>
      </bottom>
      <diagonal/>
    </border>
    <border>
      <left style="thin">
        <color theme="4"/>
      </left>
      <right/>
      <top style="medium">
        <color auto="1"/>
      </top>
      <bottom style="thin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9" borderId="0" applyNumberFormat="0" applyBorder="0" applyAlignment="0" applyProtection="0"/>
  </cellStyleXfs>
  <cellXfs count="108">
    <xf numFmtId="0" fontId="0" fillId="0" borderId="0" xfId="0"/>
    <xf numFmtId="0" fontId="0" fillId="2" borderId="0" xfId="0" applyFill="1" applyAlignment="1" applyProtection="1">
      <alignment horizontal="center"/>
      <protection locked="0"/>
    </xf>
    <xf numFmtId="164" fontId="0" fillId="2" borderId="0" xfId="1" applyNumberFormat="1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165" fontId="0" fillId="2" borderId="0" xfId="2" applyNumberFormat="1" applyFont="1" applyFill="1" applyProtection="1">
      <protection locked="0"/>
    </xf>
    <xf numFmtId="44" fontId="0" fillId="2" borderId="0" xfId="1" applyFont="1" applyFill="1" applyProtection="1"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60" wrapText="1"/>
    </xf>
    <xf numFmtId="14" fontId="5" fillId="2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/>
    <xf numFmtId="0" fontId="5" fillId="0" borderId="0" xfId="0" applyFont="1"/>
    <xf numFmtId="165" fontId="2" fillId="2" borderId="6" xfId="2" applyNumberFormat="1" applyFont="1" applyFill="1" applyBorder="1" applyAlignment="1">
      <alignment horizontal="center"/>
    </xf>
    <xf numFmtId="165" fontId="2" fillId="2" borderId="7" xfId="2" applyNumberFormat="1" applyFont="1" applyFill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5" fontId="2" fillId="0" borderId="8" xfId="2" applyNumberFormat="1" applyFont="1" applyBorder="1" applyAlignment="1">
      <alignment horizontal="center"/>
    </xf>
    <xf numFmtId="44" fontId="0" fillId="0" borderId="0" xfId="1" applyFont="1" applyProtection="1">
      <protection locked="0"/>
    </xf>
    <xf numFmtId="44" fontId="5" fillId="2" borderId="0" xfId="1" applyFont="1" applyFill="1" applyAlignment="1" applyProtection="1">
      <alignment horizontal="center"/>
      <protection locked="0"/>
    </xf>
    <xf numFmtId="44" fontId="5" fillId="2" borderId="0" xfId="1" applyFont="1" applyFill="1" applyProtection="1">
      <protection locked="0"/>
    </xf>
    <xf numFmtId="165" fontId="6" fillId="5" borderId="5" xfId="2" applyNumberFormat="1" applyFont="1" applyFill="1" applyBorder="1" applyAlignment="1">
      <alignment horizontal="center"/>
    </xf>
    <xf numFmtId="44" fontId="5" fillId="2" borderId="0" xfId="1" applyFont="1" applyFill="1"/>
    <xf numFmtId="44" fontId="5" fillId="0" borderId="0" xfId="1" applyFont="1"/>
    <xf numFmtId="44" fontId="5" fillId="5" borderId="5" xfId="1" applyFont="1" applyFill="1" applyBorder="1" applyProtection="1">
      <protection locked="0"/>
    </xf>
    <xf numFmtId="44" fontId="5" fillId="5" borderId="5" xfId="1" applyFont="1" applyFill="1" applyBorder="1"/>
    <xf numFmtId="164" fontId="0" fillId="2" borderId="5" xfId="1" applyNumberFormat="1" applyFont="1" applyFill="1" applyBorder="1" applyProtection="1">
      <protection locked="0"/>
    </xf>
    <xf numFmtId="44" fontId="5" fillId="2" borderId="0" xfId="1" applyFont="1" applyFill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164" fontId="0" fillId="5" borderId="5" xfId="1" applyNumberFormat="1" applyFont="1" applyFill="1" applyBorder="1" applyProtection="1">
      <protection locked="0"/>
    </xf>
    <xf numFmtId="44" fontId="6" fillId="2" borderId="0" xfId="1" applyFont="1" applyFill="1" applyAlignment="1" applyProtection="1">
      <alignment horizontal="center"/>
      <protection locked="0"/>
    </xf>
    <xf numFmtId="165" fontId="6" fillId="2" borderId="0" xfId="2" applyNumberFormat="1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1" applyNumberFormat="1" applyFont="1" applyProtection="1">
      <protection locked="0"/>
    </xf>
    <xf numFmtId="165" fontId="0" fillId="0" borderId="0" xfId="2" applyNumberFormat="1" applyFont="1" applyProtection="1">
      <protection locked="0"/>
    </xf>
    <xf numFmtId="0" fontId="0" fillId="0" borderId="0" xfId="0" applyProtection="1">
      <protection locked="0"/>
    </xf>
    <xf numFmtId="0" fontId="2" fillId="6" borderId="4" xfId="0" applyFont="1" applyFill="1" applyBorder="1" applyAlignment="1">
      <alignment horizontal="center" vertical="top" textRotation="60" wrapText="1"/>
    </xf>
    <xf numFmtId="164" fontId="2" fillId="4" borderId="4" xfId="1" applyNumberFormat="1" applyFont="1" applyFill="1" applyBorder="1" applyAlignment="1">
      <alignment horizontal="center" vertical="top" textRotation="60" wrapText="1"/>
    </xf>
    <xf numFmtId="164" fontId="2" fillId="4" borderId="9" xfId="1" applyNumberFormat="1" applyFont="1" applyFill="1" applyBorder="1" applyAlignment="1">
      <alignment horizontal="center" vertical="top" textRotation="60" wrapText="1"/>
    </xf>
    <xf numFmtId="164" fontId="2" fillId="3" borderId="4" xfId="1" applyNumberFormat="1" applyFont="1" applyFill="1" applyBorder="1" applyAlignment="1">
      <alignment horizontal="center" vertical="top" textRotation="60" wrapText="1"/>
    </xf>
    <xf numFmtId="164" fontId="2" fillId="3" borderId="9" xfId="1" applyNumberFormat="1" applyFont="1" applyFill="1" applyBorder="1" applyAlignment="1">
      <alignment horizontal="center" vertical="top" textRotation="60" wrapText="1"/>
    </xf>
    <xf numFmtId="165" fontId="2" fillId="5" borderId="4" xfId="2" applyNumberFormat="1" applyFont="1" applyFill="1" applyBorder="1" applyAlignment="1">
      <alignment horizontal="center" vertical="top" textRotation="60" wrapText="1"/>
    </xf>
    <xf numFmtId="165" fontId="2" fillId="5" borderId="10" xfId="2" applyNumberFormat="1" applyFont="1" applyFill="1" applyBorder="1" applyAlignment="1">
      <alignment horizontal="center" vertical="top" textRotation="60" wrapText="1"/>
    </xf>
    <xf numFmtId="44" fontId="2" fillId="7" borderId="11" xfId="1" applyFont="1" applyFill="1" applyBorder="1" applyAlignment="1">
      <alignment horizontal="center" vertical="top" textRotation="60" wrapText="1"/>
    </xf>
    <xf numFmtId="14" fontId="6" fillId="8" borderId="4" xfId="0" applyNumberFormat="1" applyFont="1" applyFill="1" applyBorder="1" applyAlignment="1">
      <alignment horizontal="center"/>
    </xf>
    <xf numFmtId="164" fontId="5" fillId="8" borderId="4" xfId="1" applyNumberFormat="1" applyFont="1" applyFill="1" applyBorder="1"/>
    <xf numFmtId="165" fontId="5" fillId="8" borderId="4" xfId="2" applyNumberFormat="1" applyFont="1" applyFill="1" applyBorder="1"/>
    <xf numFmtId="165" fontId="5" fillId="8" borderId="9" xfId="2" applyNumberFormat="1" applyFont="1" applyFill="1" applyBorder="1"/>
    <xf numFmtId="14" fontId="6" fillId="0" borderId="13" xfId="0" applyNumberFormat="1" applyFont="1" applyBorder="1" applyAlignment="1">
      <alignment horizontal="center"/>
    </xf>
    <xf numFmtId="164" fontId="5" fillId="0" borderId="14" xfId="1" applyNumberFormat="1" applyFont="1" applyBorder="1"/>
    <xf numFmtId="165" fontId="5" fillId="0" borderId="13" xfId="2" applyNumberFormat="1" applyFont="1" applyBorder="1"/>
    <xf numFmtId="165" fontId="5" fillId="0" borderId="10" xfId="2" applyNumberFormat="1" applyFont="1" applyBorder="1"/>
    <xf numFmtId="44" fontId="6" fillId="0" borderId="11" xfId="1" applyFont="1" applyBorder="1"/>
    <xf numFmtId="14" fontId="6" fillId="8" borderId="13" xfId="0" applyNumberFormat="1" applyFont="1" applyFill="1" applyBorder="1" applyAlignment="1">
      <alignment horizontal="center"/>
    </xf>
    <xf numFmtId="164" fontId="5" fillId="8" borderId="14" xfId="1" applyNumberFormat="1" applyFont="1" applyFill="1" applyBorder="1"/>
    <xf numFmtId="165" fontId="5" fillId="8" borderId="13" xfId="2" applyNumberFormat="1" applyFont="1" applyFill="1" applyBorder="1"/>
    <xf numFmtId="165" fontId="5" fillId="8" borderId="10" xfId="2" applyNumberFormat="1" applyFont="1" applyFill="1" applyBorder="1"/>
    <xf numFmtId="44" fontId="6" fillId="8" borderId="11" xfId="1" applyFont="1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/>
    <xf numFmtId="164" fontId="6" fillId="0" borderId="15" xfId="0" applyNumberFormat="1" applyFont="1" applyBorder="1"/>
    <xf numFmtId="165" fontId="6" fillId="2" borderId="16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44" fontId="6" fillId="0" borderId="5" xfId="0" applyNumberFormat="1" applyFont="1" applyBorder="1"/>
    <xf numFmtId="44" fontId="7" fillId="2" borderId="0" xfId="1" applyFont="1" applyFill="1" applyAlignment="1" applyProtection="1">
      <alignment horizontal="center" wrapText="1"/>
      <protection locked="0"/>
    </xf>
    <xf numFmtId="164" fontId="5" fillId="8" borderId="4" xfId="1" applyNumberFormat="1" applyFont="1" applyFill="1" applyBorder="1" applyProtection="1">
      <protection locked="0"/>
    </xf>
    <xf numFmtId="164" fontId="5" fillId="8" borderId="9" xfId="1" applyNumberFormat="1" applyFont="1" applyFill="1" applyBorder="1" applyProtection="1">
      <protection locked="0"/>
    </xf>
    <xf numFmtId="164" fontId="5" fillId="0" borderId="13" xfId="1" applyNumberFormat="1" applyFont="1" applyBorder="1" applyProtection="1">
      <protection locked="0"/>
    </xf>
    <xf numFmtId="164" fontId="5" fillId="0" borderId="10" xfId="1" applyNumberFormat="1" applyFont="1" applyBorder="1" applyProtection="1">
      <protection locked="0"/>
    </xf>
    <xf numFmtId="164" fontId="5" fillId="8" borderId="13" xfId="1" applyNumberFormat="1" applyFont="1" applyFill="1" applyBorder="1" applyProtection="1">
      <protection locked="0"/>
    </xf>
    <xf numFmtId="164" fontId="5" fillId="8" borderId="10" xfId="1" applyNumberFormat="1" applyFont="1" applyFill="1" applyBorder="1" applyProtection="1">
      <protection locked="0"/>
    </xf>
    <xf numFmtId="165" fontId="6" fillId="2" borderId="5" xfId="2" applyNumberFormat="1" applyFont="1" applyFill="1" applyBorder="1" applyAlignment="1" applyProtection="1">
      <alignment horizontal="center"/>
      <protection locked="0"/>
    </xf>
    <xf numFmtId="167" fontId="6" fillId="8" borderId="4" xfId="0" applyNumberFormat="1" applyFont="1" applyFill="1" applyBorder="1" applyAlignment="1">
      <alignment horizontal="center"/>
    </xf>
    <xf numFmtId="167" fontId="6" fillId="0" borderId="13" xfId="0" applyNumberFormat="1" applyFont="1" applyBorder="1" applyAlignment="1">
      <alignment horizontal="center"/>
    </xf>
    <xf numFmtId="167" fontId="6" fillId="8" borderId="13" xfId="0" applyNumberFormat="1" applyFont="1" applyFill="1" applyBorder="1" applyAlignment="1">
      <alignment horizontal="center"/>
    </xf>
    <xf numFmtId="44" fontId="6" fillId="8" borderId="12" xfId="1" applyFont="1" applyFill="1" applyBorder="1"/>
    <xf numFmtId="165" fontId="6" fillId="2" borderId="17" xfId="2" applyNumberFormat="1" applyFont="1" applyFill="1" applyBorder="1" applyAlignment="1">
      <alignment horizontal="center"/>
    </xf>
    <xf numFmtId="164" fontId="5" fillId="8" borderId="9" xfId="1" applyNumberFormat="1" applyFont="1" applyFill="1" applyBorder="1"/>
    <xf numFmtId="164" fontId="5" fillId="0" borderId="10" xfId="1" applyNumberFormat="1" applyFont="1" applyBorder="1"/>
    <xf numFmtId="164" fontId="5" fillId="8" borderId="10" xfId="1" applyNumberFormat="1" applyFont="1" applyFill="1" applyBorder="1"/>
    <xf numFmtId="164" fontId="10" fillId="9" borderId="13" xfId="3" applyNumberFormat="1" applyBorder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164" fontId="3" fillId="4" borderId="1" xfId="1" applyNumberFormat="1" applyFont="1" applyFill="1" applyBorder="1" applyAlignment="1" applyProtection="1">
      <alignment horizontal="center"/>
      <protection locked="0"/>
    </xf>
    <xf numFmtId="164" fontId="3" fillId="4" borderId="2" xfId="1" applyNumberFormat="1" applyFont="1" applyFill="1" applyBorder="1" applyAlignment="1" applyProtection="1">
      <alignment horizontal="center"/>
      <protection locked="0"/>
    </xf>
    <xf numFmtId="164" fontId="3" fillId="3" borderId="1" xfId="1" applyNumberFormat="1" applyFont="1" applyFill="1" applyBorder="1" applyAlignment="1" applyProtection="1">
      <alignment horizontal="center"/>
      <protection locked="0"/>
    </xf>
    <xf numFmtId="164" fontId="3" fillId="3" borderId="2" xfId="1" applyNumberFormat="1" applyFont="1" applyFill="1" applyBorder="1" applyAlignment="1" applyProtection="1">
      <alignment horizontal="center"/>
      <protection locked="0"/>
    </xf>
    <xf numFmtId="165" fontId="3" fillId="5" borderId="1" xfId="2" applyNumberFormat="1" applyFont="1" applyFill="1" applyBorder="1" applyAlignment="1" applyProtection="1">
      <alignment horizontal="center"/>
      <protection locked="0"/>
    </xf>
    <xf numFmtId="165" fontId="3" fillId="5" borderId="2" xfId="2" applyNumberFormat="1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44" fontId="7" fillId="2" borderId="0" xfId="1" applyFont="1" applyFill="1" applyAlignment="1" applyProtection="1">
      <alignment horizontal="center" wrapText="1"/>
      <protection locked="0"/>
    </xf>
    <xf numFmtId="0" fontId="0" fillId="0" borderId="0" xfId="0"/>
    <xf numFmtId="44" fontId="6" fillId="5" borderId="1" xfId="1" applyFont="1" applyFill="1" applyBorder="1" applyAlignment="1" applyProtection="1">
      <alignment horizontal="center"/>
      <protection locked="0"/>
    </xf>
    <xf numFmtId="44" fontId="6" fillId="5" borderId="2" xfId="1" applyFont="1" applyFill="1" applyBorder="1" applyAlignment="1" applyProtection="1">
      <alignment horizontal="center"/>
      <protection locked="0"/>
    </xf>
    <xf numFmtId="44" fontId="5" fillId="2" borderId="0" xfId="1" applyFont="1" applyFill="1" applyAlignment="1" applyProtection="1">
      <alignment horizontal="right" wrapText="1"/>
      <protection locked="0"/>
    </xf>
    <xf numFmtId="0" fontId="5" fillId="2" borderId="0" xfId="0" applyFont="1" applyFill="1" applyAlignment="1" applyProtection="1">
      <alignment horizontal="right" wrapText="1"/>
      <protection locked="0"/>
    </xf>
    <xf numFmtId="164" fontId="3" fillId="0" borderId="1" xfId="1" applyNumberFormat="1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166" fontId="3" fillId="5" borderId="2" xfId="1" quotePrefix="1" applyNumberFormat="1" applyFont="1" applyFill="1" applyBorder="1" applyAlignment="1" applyProtection="1">
      <alignment horizontal="center"/>
      <protection locked="0"/>
    </xf>
    <xf numFmtId="166" fontId="0" fillId="5" borderId="2" xfId="0" applyNumberFormat="1" applyFill="1" applyBorder="1" applyAlignment="1" applyProtection="1">
      <alignment horizontal="center"/>
      <protection locked="0"/>
    </xf>
    <xf numFmtId="166" fontId="0" fillId="5" borderId="3" xfId="0" applyNumberForma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44" fontId="6" fillId="2" borderId="1" xfId="1" applyFont="1" applyFill="1" applyBorder="1" applyAlignment="1" applyProtection="1">
      <alignment horizontal="center"/>
      <protection locked="0"/>
    </xf>
    <xf numFmtId="44" fontId="6" fillId="2" borderId="2" xfId="1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wrapText="1"/>
      <protection locked="0"/>
    </xf>
  </cellXfs>
  <cellStyles count="4">
    <cellStyle name="Accent6" xfId="3" builtinId="49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86"/>
  <sheetViews>
    <sheetView tabSelected="1" zoomScale="80" zoomScaleNormal="80" workbookViewId="0">
      <selection activeCell="G13" sqref="G13"/>
    </sheetView>
  </sheetViews>
  <sheetFormatPr defaultColWidth="8.85546875" defaultRowHeight="15" x14ac:dyDescent="0.25"/>
  <cols>
    <col min="1" max="1" width="1.42578125" style="31" customWidth="1"/>
    <col min="2" max="3" width="12.42578125" style="31" customWidth="1"/>
    <col min="4" max="4" width="13.28515625" style="32" customWidth="1"/>
    <col min="5" max="5" width="11.42578125" style="32" customWidth="1"/>
    <col min="6" max="7" width="12.42578125" style="32" customWidth="1"/>
    <col min="8" max="8" width="11.42578125" style="32" customWidth="1"/>
    <col min="9" max="9" width="12.42578125" style="32" customWidth="1"/>
    <col min="10" max="10" width="12.85546875" style="32" customWidth="1"/>
    <col min="11" max="11" width="11.42578125" style="32" customWidth="1"/>
    <col min="12" max="12" width="12.42578125" style="32" customWidth="1"/>
    <col min="13" max="13" width="13" style="32" customWidth="1"/>
    <col min="14" max="14" width="11.42578125" style="32" customWidth="1"/>
    <col min="15" max="16" width="11" style="32" customWidth="1"/>
    <col min="17" max="17" width="13.85546875" style="32" customWidth="1"/>
    <col min="18" max="18" width="11.42578125" style="32" customWidth="1"/>
    <col min="19" max="19" width="12.42578125" style="32" customWidth="1"/>
    <col min="20" max="20" width="12.85546875" style="32" customWidth="1"/>
    <col min="21" max="21" width="13.28515625" style="32" customWidth="1"/>
    <col min="22" max="22" width="11.28515625" style="32" customWidth="1"/>
    <col min="23" max="23" width="11.140625" style="32" customWidth="1"/>
    <col min="24" max="24" width="9.28515625" style="33" customWidth="1"/>
    <col min="25" max="25" width="8.42578125" style="33" customWidth="1"/>
    <col min="26" max="29" width="9.28515625" style="33" customWidth="1"/>
    <col min="30" max="31" width="8.85546875" style="33"/>
    <col min="32" max="32" width="15.42578125" style="17" customWidth="1"/>
    <col min="33" max="33" width="12" style="34" customWidth="1"/>
    <col min="34" max="34" width="8.85546875" style="34"/>
  </cols>
  <sheetData>
    <row r="1" spans="1:49" ht="42" customHeight="1" thickBot="1" x14ac:dyDescent="0.45">
      <c r="A1" s="1"/>
      <c r="B1" s="81" t="s">
        <v>54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2"/>
      <c r="O1" s="2"/>
      <c r="P1" s="2"/>
      <c r="Q1" s="2"/>
      <c r="R1" s="2"/>
      <c r="S1" s="2"/>
      <c r="T1" s="2"/>
      <c r="U1" s="2"/>
      <c r="V1" s="2"/>
      <c r="W1" s="98" t="s">
        <v>41</v>
      </c>
      <c r="X1" s="99"/>
      <c r="Y1" s="99"/>
      <c r="Z1" s="99"/>
      <c r="AA1" s="99"/>
      <c r="AB1" s="99"/>
      <c r="AC1" s="100">
        <v>45261</v>
      </c>
      <c r="AD1" s="101"/>
      <c r="AE1" s="101"/>
      <c r="AF1" s="102"/>
      <c r="AG1" s="3"/>
      <c r="AH1" s="3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ht="15.75" thickBot="1" x14ac:dyDescent="0.3">
      <c r="A2" s="1"/>
      <c r="B2" s="1" t="s">
        <v>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0</v>
      </c>
      <c r="X2" s="5"/>
      <c r="Y2" s="5"/>
      <c r="Z2" s="5"/>
      <c r="AA2" s="5"/>
      <c r="AB2" s="5"/>
      <c r="AC2" s="5"/>
      <c r="AD2" s="5"/>
      <c r="AE2" s="5"/>
      <c r="AF2" s="6"/>
      <c r="AG2" s="3"/>
      <c r="AH2" s="3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t="31.5" customHeight="1" thickBot="1" x14ac:dyDescent="0.45">
      <c r="A3" s="1"/>
      <c r="B3" s="1"/>
      <c r="C3" s="1"/>
      <c r="D3" s="2"/>
      <c r="E3" s="84" t="s">
        <v>1</v>
      </c>
      <c r="F3" s="85"/>
      <c r="G3" s="85"/>
      <c r="H3" s="85"/>
      <c r="I3" s="85"/>
      <c r="J3" s="85"/>
      <c r="K3" s="85"/>
      <c r="L3" s="85"/>
      <c r="M3" s="86" t="s">
        <v>2</v>
      </c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8" t="s">
        <v>3</v>
      </c>
      <c r="Z3" s="89"/>
      <c r="AA3" s="89"/>
      <c r="AB3" s="89"/>
      <c r="AC3" s="89"/>
      <c r="AD3" s="90"/>
      <c r="AE3" s="90"/>
      <c r="AF3" s="91"/>
      <c r="AG3" s="3"/>
      <c r="AH3" s="3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86.25" customHeight="1" thickBot="1" x14ac:dyDescent="0.3">
      <c r="A4" s="7"/>
      <c r="B4" s="35" t="s">
        <v>4</v>
      </c>
      <c r="C4" s="35" t="s">
        <v>45</v>
      </c>
      <c r="D4" s="36" t="s">
        <v>5</v>
      </c>
      <c r="E4" s="37" t="s">
        <v>52</v>
      </c>
      <c r="F4" s="37" t="s">
        <v>34</v>
      </c>
      <c r="G4" s="37" t="s">
        <v>35</v>
      </c>
      <c r="H4" s="37" t="s">
        <v>6</v>
      </c>
      <c r="I4" s="37" t="s">
        <v>7</v>
      </c>
      <c r="J4" s="37" t="s">
        <v>8</v>
      </c>
      <c r="K4" s="37" t="s">
        <v>53</v>
      </c>
      <c r="L4" s="37" t="s">
        <v>9</v>
      </c>
      <c r="M4" s="38" t="s">
        <v>10</v>
      </c>
      <c r="N4" s="39" t="s">
        <v>50</v>
      </c>
      <c r="O4" s="39" t="s">
        <v>39</v>
      </c>
      <c r="P4" s="39" t="s">
        <v>37</v>
      </c>
      <c r="Q4" s="39" t="s">
        <v>11</v>
      </c>
      <c r="R4" s="39" t="s">
        <v>12</v>
      </c>
      <c r="S4" s="39" t="s">
        <v>13</v>
      </c>
      <c r="T4" s="39" t="s">
        <v>49</v>
      </c>
      <c r="U4" s="39" t="s">
        <v>36</v>
      </c>
      <c r="V4" s="39" t="s">
        <v>47</v>
      </c>
      <c r="W4" s="39" t="s">
        <v>46</v>
      </c>
      <c r="X4" s="40" t="s">
        <v>51</v>
      </c>
      <c r="Y4" s="41" t="s">
        <v>40</v>
      </c>
      <c r="Z4" s="41" t="s">
        <v>38</v>
      </c>
      <c r="AA4" s="41" t="s">
        <v>14</v>
      </c>
      <c r="AB4" s="41" t="s">
        <v>15</v>
      </c>
      <c r="AC4" s="41" t="s">
        <v>16</v>
      </c>
      <c r="AD4" s="41" t="s">
        <v>17</v>
      </c>
      <c r="AE4" s="41" t="s">
        <v>18</v>
      </c>
      <c r="AF4" s="42" t="s">
        <v>19</v>
      </c>
      <c r="AG4" s="8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s="12" customFormat="1" ht="21" customHeight="1" thickBot="1" x14ac:dyDescent="0.25">
      <c r="A5" s="9"/>
      <c r="B5" s="43">
        <f>AC1</f>
        <v>45261</v>
      </c>
      <c r="C5" s="72">
        <f t="shared" ref="C5:C35" si="0">B5</f>
        <v>45261</v>
      </c>
      <c r="D5" s="65">
        <v>20610.47</v>
      </c>
      <c r="E5" s="65">
        <v>696.61</v>
      </c>
      <c r="F5" s="66">
        <v>998.13</v>
      </c>
      <c r="G5" s="66">
        <v>464.85</v>
      </c>
      <c r="H5" s="66">
        <v>124.63</v>
      </c>
      <c r="I5" s="66">
        <v>2085.16</v>
      </c>
      <c r="J5" s="66">
        <v>16356.73</v>
      </c>
      <c r="K5" s="66">
        <v>0</v>
      </c>
      <c r="L5" s="44">
        <f>SUM('Flash Report'!$E5:$K5)</f>
        <v>20726.11</v>
      </c>
      <c r="M5" s="65">
        <v>217.95</v>
      </c>
      <c r="N5" s="66">
        <v>760.3</v>
      </c>
      <c r="O5" s="66"/>
      <c r="P5" s="66"/>
      <c r="Q5" s="66"/>
      <c r="R5" s="66"/>
      <c r="S5" s="66">
        <v>5785.97</v>
      </c>
      <c r="T5" s="66">
        <v>4516.13</v>
      </c>
      <c r="U5" s="65">
        <v>4955.13</v>
      </c>
      <c r="V5" s="66">
        <v>1767.81</v>
      </c>
      <c r="W5" s="77">
        <f>SUM('Flash Report'!$U5:$V5)*0.1</f>
        <v>672.2940000000001</v>
      </c>
      <c r="X5" s="45">
        <f>N5/E5</f>
        <v>1.0914284893986592</v>
      </c>
      <c r="Y5" s="46">
        <f>O5/F5</f>
        <v>0</v>
      </c>
      <c r="Z5" s="46">
        <f>P5/G5</f>
        <v>0</v>
      </c>
      <c r="AA5" s="46">
        <f>Q5/H5</f>
        <v>0</v>
      </c>
      <c r="AB5" s="46">
        <f>R5/I5</f>
        <v>0</v>
      </c>
      <c r="AC5" s="46">
        <f>S5/(D5-E5-F5-G5-H5-I5)</f>
        <v>0.35625502968088968</v>
      </c>
      <c r="AD5" s="46">
        <f t="shared" ref="AD5:AD36" si="1">M5/D5</f>
        <v>1.0574722459022039E-2</v>
      </c>
      <c r="AE5" s="46">
        <f t="shared" ref="AE5:AE36" si="2">(U5)/D5</f>
        <v>0.24041809818019674</v>
      </c>
      <c r="AF5" s="75">
        <f>SUM('Flash Report'!$D5)-SUM('Flash Report'!$M5:$W5)</f>
        <v>1934.8859999999986</v>
      </c>
      <c r="AG5" s="10"/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 s="12" customFormat="1" ht="21" customHeight="1" thickTop="1" thickBot="1" x14ac:dyDescent="0.25">
      <c r="A6" s="9"/>
      <c r="B6" s="47">
        <f>B5+1</f>
        <v>45262</v>
      </c>
      <c r="C6" s="73">
        <f t="shared" si="0"/>
        <v>45262</v>
      </c>
      <c r="D6" s="67">
        <v>20646.169999999998</v>
      </c>
      <c r="E6" s="67">
        <v>886.54</v>
      </c>
      <c r="F6" s="68">
        <v>1212.82</v>
      </c>
      <c r="G6" s="68">
        <v>132.80000000000001</v>
      </c>
      <c r="H6" s="68">
        <v>57.05</v>
      </c>
      <c r="I6" s="68">
        <v>1496.45</v>
      </c>
      <c r="J6" s="68">
        <v>16864.8</v>
      </c>
      <c r="K6" s="68">
        <v>0</v>
      </c>
      <c r="L6" s="48">
        <f>SUM('Flash Report'!$E6:$K6)</f>
        <v>20650.46</v>
      </c>
      <c r="M6" s="67">
        <v>25.38</v>
      </c>
      <c r="N6" s="68"/>
      <c r="O6" s="68"/>
      <c r="P6" s="68"/>
      <c r="Q6" s="68"/>
      <c r="R6" s="68"/>
      <c r="S6" s="68"/>
      <c r="T6" s="66">
        <v>4516.13</v>
      </c>
      <c r="U6" s="67">
        <v>4873.8100000000004</v>
      </c>
      <c r="V6" s="66">
        <v>1767.81</v>
      </c>
      <c r="W6" s="78">
        <f>SUM($U6,$V6)*0.1</f>
        <v>664.16200000000015</v>
      </c>
      <c r="X6" s="49">
        <f t="shared" ref="X6:X36" si="3">N6/E6</f>
        <v>0</v>
      </c>
      <c r="Y6" s="50">
        <f t="shared" ref="Y6:Y36" si="4">O6/F6</f>
        <v>0</v>
      </c>
      <c r="Z6" s="50">
        <f t="shared" ref="Z6:Z36" si="5">P6/G6</f>
        <v>0</v>
      </c>
      <c r="AA6" s="50">
        <f t="shared" ref="AA6:AA36" si="6">Q6/H6</f>
        <v>0</v>
      </c>
      <c r="AB6" s="50">
        <f t="shared" ref="AB6:AB36" si="7">R6/I6</f>
        <v>0</v>
      </c>
      <c r="AC6" s="50">
        <f t="shared" ref="AC6:AC36" si="8">S6/(D6-E6-F6-G6-H6-I6)</f>
        <v>0</v>
      </c>
      <c r="AD6" s="50">
        <f t="shared" si="1"/>
        <v>1.2292836879673082E-3</v>
      </c>
      <c r="AE6" s="50">
        <f t="shared" si="2"/>
        <v>0.23606363795318941</v>
      </c>
      <c r="AF6" s="51">
        <f>SUM('Flash Report'!$D6)-SUM('Flash Report'!$M6:$W6)</f>
        <v>8798.8779999999988</v>
      </c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21" customHeight="1" thickTop="1" thickBot="1" x14ac:dyDescent="0.3">
      <c r="A7" s="9"/>
      <c r="B7" s="52">
        <f t="shared" ref="B7:B35" si="9">B6+1</f>
        <v>45263</v>
      </c>
      <c r="C7" s="74">
        <f t="shared" si="0"/>
        <v>45263</v>
      </c>
      <c r="D7" s="69">
        <v>13984.18</v>
      </c>
      <c r="E7" s="69">
        <v>698.87</v>
      </c>
      <c r="F7" s="70">
        <v>680.61</v>
      </c>
      <c r="G7" s="70">
        <v>83</v>
      </c>
      <c r="H7" s="70">
        <v>94.13</v>
      </c>
      <c r="I7" s="70">
        <v>537.9</v>
      </c>
      <c r="J7" s="70">
        <v>11936.73</v>
      </c>
      <c r="K7" s="70">
        <v>0</v>
      </c>
      <c r="L7" s="53">
        <f>SUM('Flash Report'!$E7:$K7)</f>
        <v>14031.24</v>
      </c>
      <c r="M7" s="80">
        <v>19232.64</v>
      </c>
      <c r="N7" s="70"/>
      <c r="O7" s="70"/>
      <c r="P7" s="70"/>
      <c r="Q7" s="70"/>
      <c r="R7" s="70"/>
      <c r="S7" s="70"/>
      <c r="T7" s="66">
        <v>4516.13</v>
      </c>
      <c r="U7" s="69">
        <v>4127.37</v>
      </c>
      <c r="V7" s="66">
        <v>1767.81</v>
      </c>
      <c r="W7" s="79">
        <f>SUM('Flash Report'!$U7:$V7)*0.1</f>
        <v>589.51800000000003</v>
      </c>
      <c r="X7" s="54">
        <f t="shared" si="3"/>
        <v>0</v>
      </c>
      <c r="Y7" s="55">
        <f t="shared" si="4"/>
        <v>0</v>
      </c>
      <c r="Z7" s="55">
        <f t="shared" si="5"/>
        <v>0</v>
      </c>
      <c r="AA7" s="55">
        <f t="shared" si="6"/>
        <v>0</v>
      </c>
      <c r="AB7" s="55">
        <f t="shared" si="7"/>
        <v>0</v>
      </c>
      <c r="AC7" s="55">
        <f t="shared" si="8"/>
        <v>0</v>
      </c>
      <c r="AD7" s="55">
        <f t="shared" si="1"/>
        <v>1.3753141049385804</v>
      </c>
      <c r="AE7" s="55">
        <f t="shared" si="2"/>
        <v>0.29514565745006144</v>
      </c>
      <c r="AF7" s="56">
        <f>SUM('Flash Report'!$D7)-SUM('Flash Report'!$M7:$W7)</f>
        <v>-16249.288</v>
      </c>
      <c r="AG7" s="10"/>
      <c r="AH7" s="10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21" customHeight="1" thickTop="1" thickBot="1" x14ac:dyDescent="0.25">
      <c r="A8" s="9"/>
      <c r="B8" s="47">
        <f t="shared" si="9"/>
        <v>45264</v>
      </c>
      <c r="C8" s="73">
        <f t="shared" si="0"/>
        <v>45264</v>
      </c>
      <c r="D8" s="67">
        <v>8702.66</v>
      </c>
      <c r="E8" s="67">
        <v>345.74</v>
      </c>
      <c r="F8" s="68">
        <v>313</v>
      </c>
      <c r="G8" s="68">
        <v>58.1</v>
      </c>
      <c r="H8" s="68">
        <v>55.57</v>
      </c>
      <c r="I8" s="68">
        <v>346.09</v>
      </c>
      <c r="J8" s="68">
        <v>7620.71</v>
      </c>
      <c r="K8" s="68">
        <v>0</v>
      </c>
      <c r="L8" s="48">
        <f>SUM('Flash Report'!$E8:$K8)</f>
        <v>8739.2099999999991</v>
      </c>
      <c r="M8" s="67">
        <v>916.91</v>
      </c>
      <c r="N8" s="68"/>
      <c r="O8" s="68"/>
      <c r="P8" s="68"/>
      <c r="Q8" s="68"/>
      <c r="R8" s="68"/>
      <c r="S8" s="68">
        <v>11518.88</v>
      </c>
      <c r="T8" s="66">
        <v>4516.13</v>
      </c>
      <c r="U8" s="67">
        <v>4014.67</v>
      </c>
      <c r="V8" s="66">
        <v>1767.81</v>
      </c>
      <c r="W8" s="78">
        <f>SUM('Flash Report'!$U8:$V8)*0.1</f>
        <v>578.24799999999993</v>
      </c>
      <c r="X8" s="49">
        <f t="shared" si="3"/>
        <v>0</v>
      </c>
      <c r="Y8" s="50">
        <f t="shared" si="4"/>
        <v>0</v>
      </c>
      <c r="Z8" s="50">
        <f t="shared" si="5"/>
        <v>0</v>
      </c>
      <c r="AA8" s="50">
        <f t="shared" si="6"/>
        <v>0</v>
      </c>
      <c r="AB8" s="50">
        <f t="shared" si="7"/>
        <v>0</v>
      </c>
      <c r="AC8" s="50">
        <f t="shared" si="8"/>
        <v>1.518807620092403</v>
      </c>
      <c r="AD8" s="50">
        <f t="shared" si="1"/>
        <v>0.10535974058506249</v>
      </c>
      <c r="AE8" s="50">
        <f t="shared" si="2"/>
        <v>0.46131527601905625</v>
      </c>
      <c r="AF8" s="51">
        <f>SUM('Flash Report'!$D8)-SUM('Flash Report'!$M8:$W8)</f>
        <v>-14609.987999999998</v>
      </c>
      <c r="AG8" s="10"/>
      <c r="AH8" s="10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21" customHeight="1" thickTop="1" thickBot="1" x14ac:dyDescent="0.25">
      <c r="A9" s="9"/>
      <c r="B9" s="52">
        <f t="shared" si="9"/>
        <v>45265</v>
      </c>
      <c r="C9" s="74">
        <f t="shared" si="0"/>
        <v>45265</v>
      </c>
      <c r="D9" s="69">
        <v>8655.6299999999992</v>
      </c>
      <c r="E9" s="69">
        <v>363</v>
      </c>
      <c r="F9" s="70">
        <v>343.7</v>
      </c>
      <c r="G9" s="70">
        <v>8.3000000000000007</v>
      </c>
      <c r="H9" s="70">
        <v>100.34</v>
      </c>
      <c r="I9" s="70">
        <v>321.14999999999998</v>
      </c>
      <c r="J9" s="70">
        <v>7546.25</v>
      </c>
      <c r="K9" s="70">
        <v>35</v>
      </c>
      <c r="L9" s="53">
        <f>SUM('Flash Report'!$E9:$K9)</f>
        <v>8717.74</v>
      </c>
      <c r="M9" s="69">
        <v>947.35</v>
      </c>
      <c r="N9" s="70">
        <v>252.88</v>
      </c>
      <c r="O9" s="70">
        <v>1526.32</v>
      </c>
      <c r="P9" s="70">
        <v>745.64</v>
      </c>
      <c r="Q9" s="70">
        <v>279</v>
      </c>
      <c r="R9" s="70">
        <v>1461.72</v>
      </c>
      <c r="S9" s="70"/>
      <c r="T9" s="66">
        <v>4516.13</v>
      </c>
      <c r="U9" s="69">
        <v>3883.81</v>
      </c>
      <c r="V9" s="66">
        <v>1767.81</v>
      </c>
      <c r="W9" s="79">
        <f>SUM('Flash Report'!$U9:$V9)*0.1</f>
        <v>565.16200000000003</v>
      </c>
      <c r="X9" s="54">
        <f t="shared" si="3"/>
        <v>0.69663911845730031</v>
      </c>
      <c r="Y9" s="55">
        <f t="shared" si="4"/>
        <v>4.4408495781204538</v>
      </c>
      <c r="Z9" s="55">
        <f t="shared" si="5"/>
        <v>89.836144578313238</v>
      </c>
      <c r="AA9" s="55">
        <f t="shared" si="6"/>
        <v>2.7805461431134142</v>
      </c>
      <c r="AB9" s="55">
        <f t="shared" si="7"/>
        <v>4.5515179822512852</v>
      </c>
      <c r="AC9" s="55">
        <f t="shared" si="8"/>
        <v>0</v>
      </c>
      <c r="AD9" s="55">
        <f t="shared" si="1"/>
        <v>0.10944899446949559</v>
      </c>
      <c r="AE9" s="55">
        <f t="shared" si="2"/>
        <v>0.44870332950923275</v>
      </c>
      <c r="AF9" s="56">
        <f>SUM('Flash Report'!$D9)-SUM('Flash Report'!$M9:$W9)</f>
        <v>-7290.1920000000009</v>
      </c>
      <c r="AG9" s="10"/>
      <c r="AH9" s="10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21" customHeight="1" thickTop="1" thickBot="1" x14ac:dyDescent="0.25">
      <c r="A10" s="9"/>
      <c r="B10" s="47">
        <f t="shared" si="9"/>
        <v>45266</v>
      </c>
      <c r="C10" s="73">
        <f t="shared" si="0"/>
        <v>45266</v>
      </c>
      <c r="D10" s="67">
        <v>8559.1200000000008</v>
      </c>
      <c r="E10" s="67">
        <v>392.8</v>
      </c>
      <c r="F10" s="68">
        <v>343.08</v>
      </c>
      <c r="G10" s="68">
        <v>24.9</v>
      </c>
      <c r="H10" s="68">
        <v>66.77</v>
      </c>
      <c r="I10" s="68">
        <v>449.78</v>
      </c>
      <c r="J10" s="68">
        <v>7340.72</v>
      </c>
      <c r="K10" s="68">
        <v>0</v>
      </c>
      <c r="L10" s="48">
        <f>SUM('Flash Report'!$E10:$K10)</f>
        <v>8618.0499999999993</v>
      </c>
      <c r="M10" s="67">
        <v>753.99</v>
      </c>
      <c r="N10" s="68"/>
      <c r="O10" s="68"/>
      <c r="P10" s="68"/>
      <c r="Q10" s="68"/>
      <c r="R10" s="68"/>
      <c r="S10" s="68">
        <v>6788.16</v>
      </c>
      <c r="T10" s="66">
        <v>4516.13</v>
      </c>
      <c r="U10" s="67">
        <v>3992.9</v>
      </c>
      <c r="V10" s="66">
        <v>1767.81</v>
      </c>
      <c r="W10" s="78">
        <f>SUM('Flash Report'!$U10:$V10)*0.1</f>
        <v>576.07100000000003</v>
      </c>
      <c r="X10" s="49">
        <f t="shared" si="3"/>
        <v>0</v>
      </c>
      <c r="Y10" s="50">
        <f t="shared" si="4"/>
        <v>0</v>
      </c>
      <c r="Z10" s="50">
        <f t="shared" si="5"/>
        <v>0</v>
      </c>
      <c r="AA10" s="50">
        <f t="shared" si="6"/>
        <v>0</v>
      </c>
      <c r="AB10" s="50">
        <f t="shared" si="7"/>
        <v>0</v>
      </c>
      <c r="AC10" s="50">
        <f t="shared" si="8"/>
        <v>0.93221034937838076</v>
      </c>
      <c r="AD10" s="50">
        <f t="shared" si="1"/>
        <v>8.8092000112161062E-2</v>
      </c>
      <c r="AE10" s="50">
        <f t="shared" si="2"/>
        <v>0.46650823916477391</v>
      </c>
      <c r="AF10" s="51">
        <f>SUM('Flash Report'!$D10)-SUM('Flash Report'!$M10:$W10)</f>
        <v>-9835.9409999999971</v>
      </c>
      <c r="AG10" s="10"/>
      <c r="AH10" s="10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21" customHeight="1" thickTop="1" thickBot="1" x14ac:dyDescent="0.3">
      <c r="A11" s="9"/>
      <c r="B11" s="52">
        <f t="shared" si="9"/>
        <v>45267</v>
      </c>
      <c r="C11" s="74">
        <f t="shared" si="0"/>
        <v>45267</v>
      </c>
      <c r="D11" s="69">
        <v>9825.52</v>
      </c>
      <c r="E11" s="69">
        <v>447</v>
      </c>
      <c r="F11" s="70">
        <v>556.97</v>
      </c>
      <c r="G11" s="70">
        <v>49.8</v>
      </c>
      <c r="H11" s="70">
        <v>40.22</v>
      </c>
      <c r="I11" s="70">
        <v>571.38</v>
      </c>
      <c r="J11" s="70">
        <v>8272.7000000000007</v>
      </c>
      <c r="K11" s="70">
        <v>0</v>
      </c>
      <c r="L11" s="53">
        <f>SUM('Flash Report'!$E11:$K11)</f>
        <v>9938.07</v>
      </c>
      <c r="M11" s="80">
        <v>391.27</v>
      </c>
      <c r="N11" s="70"/>
      <c r="O11" s="70"/>
      <c r="P11" s="70"/>
      <c r="Q11" s="70"/>
      <c r="R11" s="70"/>
      <c r="S11" s="70"/>
      <c r="T11" s="66">
        <v>4516.13</v>
      </c>
      <c r="U11" s="69">
        <v>3694.05</v>
      </c>
      <c r="V11" s="66">
        <v>1767.81</v>
      </c>
      <c r="W11" s="79">
        <f>SUM('Flash Report'!$U11:$V11)*0.1</f>
        <v>546.18600000000004</v>
      </c>
      <c r="X11" s="54">
        <f t="shared" si="3"/>
        <v>0</v>
      </c>
      <c r="Y11" s="55">
        <f t="shared" si="4"/>
        <v>0</v>
      </c>
      <c r="Z11" s="55">
        <f t="shared" si="5"/>
        <v>0</v>
      </c>
      <c r="AA11" s="55">
        <f t="shared" si="6"/>
        <v>0</v>
      </c>
      <c r="AB11" s="55">
        <f t="shared" si="7"/>
        <v>0</v>
      </c>
      <c r="AC11" s="55">
        <f t="shared" si="8"/>
        <v>0</v>
      </c>
      <c r="AD11" s="55">
        <f t="shared" si="1"/>
        <v>3.9821810957587994E-2</v>
      </c>
      <c r="AE11" s="55">
        <f t="shared" si="2"/>
        <v>0.3759648344311548</v>
      </c>
      <c r="AF11" s="56">
        <f>SUM('Flash Report'!$D11)-SUM('Flash Report'!$M11:$W11)</f>
        <v>-1089.9259999999995</v>
      </c>
      <c r="AG11" s="10"/>
      <c r="AH11" s="10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21" customHeight="1" thickTop="1" thickBot="1" x14ac:dyDescent="0.25">
      <c r="A12" s="9"/>
      <c r="B12" s="47">
        <f t="shared" si="9"/>
        <v>45268</v>
      </c>
      <c r="C12" s="73">
        <f t="shared" si="0"/>
        <v>45268</v>
      </c>
      <c r="D12" s="67">
        <v>14885.65</v>
      </c>
      <c r="E12" s="67">
        <v>697</v>
      </c>
      <c r="F12" s="68">
        <v>718.81</v>
      </c>
      <c r="G12" s="68">
        <v>116.2</v>
      </c>
      <c r="H12" s="68">
        <v>71.33</v>
      </c>
      <c r="I12" s="68">
        <v>1153.5899999999999</v>
      </c>
      <c r="J12" s="68">
        <v>12220.7</v>
      </c>
      <c r="K12" s="68">
        <v>0</v>
      </c>
      <c r="L12" s="48">
        <f>SUM('Flash Report'!$E12:$K12)</f>
        <v>14977.630000000001</v>
      </c>
      <c r="M12" s="67">
        <v>206.19</v>
      </c>
      <c r="N12" s="68">
        <v>441.1</v>
      </c>
      <c r="O12" s="68"/>
      <c r="P12" s="68"/>
      <c r="Q12" s="68"/>
      <c r="R12" s="68"/>
      <c r="S12" s="68">
        <v>8632.68</v>
      </c>
      <c r="T12" s="66">
        <v>4516.13</v>
      </c>
      <c r="U12" s="67">
        <v>4700.51</v>
      </c>
      <c r="V12" s="66">
        <v>1767.81</v>
      </c>
      <c r="W12" s="78">
        <f>SUM('Flash Report'!$U12:$V12)*0.1</f>
        <v>646.83199999999999</v>
      </c>
      <c r="X12" s="49">
        <f t="shared" si="3"/>
        <v>0.63285509325681499</v>
      </c>
      <c r="Y12" s="50">
        <f t="shared" si="4"/>
        <v>0</v>
      </c>
      <c r="Z12" s="50">
        <f t="shared" si="5"/>
        <v>0</v>
      </c>
      <c r="AA12" s="50">
        <f t="shared" si="6"/>
        <v>0</v>
      </c>
      <c r="AB12" s="50">
        <f t="shared" si="7"/>
        <v>0</v>
      </c>
      <c r="AC12" s="50">
        <f t="shared" si="8"/>
        <v>0.71175523880508418</v>
      </c>
      <c r="AD12" s="50">
        <f t="shared" si="1"/>
        <v>1.3851595328386736E-2</v>
      </c>
      <c r="AE12" s="50">
        <f t="shared" si="2"/>
        <v>0.31577458827797245</v>
      </c>
      <c r="AF12" s="51">
        <f>SUM('Flash Report'!$D12)-SUM('Flash Report'!$M12:$W12)</f>
        <v>-6025.6020000000008</v>
      </c>
      <c r="AG12" s="10"/>
      <c r="AH12" s="10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21" customHeight="1" thickTop="1" thickBot="1" x14ac:dyDescent="0.25">
      <c r="A13" s="9"/>
      <c r="B13" s="52">
        <f t="shared" si="9"/>
        <v>45269</v>
      </c>
      <c r="C13" s="74">
        <f t="shared" si="0"/>
        <v>45269</v>
      </c>
      <c r="D13" s="69">
        <v>22667.91</v>
      </c>
      <c r="E13" s="69">
        <v>879.28</v>
      </c>
      <c r="F13" s="70">
        <v>1502.93</v>
      </c>
      <c r="G13" s="70">
        <v>132.80000000000001</v>
      </c>
      <c r="H13" s="70">
        <v>77.12</v>
      </c>
      <c r="I13" s="70">
        <v>2347.61</v>
      </c>
      <c r="J13" s="70">
        <v>17695.43</v>
      </c>
      <c r="K13" s="70">
        <v>105</v>
      </c>
      <c r="L13" s="53">
        <f>SUM('Flash Report'!$E13:$K13)</f>
        <v>22740.17</v>
      </c>
      <c r="M13" s="69"/>
      <c r="N13" s="70"/>
      <c r="O13" s="70"/>
      <c r="P13" s="70"/>
      <c r="Q13" s="70"/>
      <c r="R13" s="70"/>
      <c r="S13" s="70"/>
      <c r="T13" s="66">
        <v>4516.13</v>
      </c>
      <c r="U13" s="69">
        <v>4525.3599999999997</v>
      </c>
      <c r="V13" s="66">
        <v>1767.81</v>
      </c>
      <c r="W13" s="79">
        <f>SUM('Flash Report'!$U13:$V13)*0.1</f>
        <v>629.31700000000001</v>
      </c>
      <c r="X13" s="54">
        <f t="shared" si="3"/>
        <v>0</v>
      </c>
      <c r="Y13" s="55">
        <f t="shared" si="4"/>
        <v>0</v>
      </c>
      <c r="Z13" s="55">
        <f t="shared" si="5"/>
        <v>0</v>
      </c>
      <c r="AA13" s="55">
        <f t="shared" si="6"/>
        <v>0</v>
      </c>
      <c r="AB13" s="55">
        <f t="shared" si="7"/>
        <v>0</v>
      </c>
      <c r="AC13" s="55">
        <f t="shared" si="8"/>
        <v>0</v>
      </c>
      <c r="AD13" s="55">
        <f t="shared" si="1"/>
        <v>0</v>
      </c>
      <c r="AE13" s="55">
        <f t="shared" si="2"/>
        <v>0.19963728460188873</v>
      </c>
      <c r="AF13" s="56">
        <f>SUM('Flash Report'!$D13)-SUM('Flash Report'!$M13:$W13)</f>
        <v>11229.293000000001</v>
      </c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21" customHeight="1" thickTop="1" thickBot="1" x14ac:dyDescent="0.25">
      <c r="A14" s="9"/>
      <c r="B14" s="47">
        <f t="shared" si="9"/>
        <v>45270</v>
      </c>
      <c r="C14" s="73">
        <f t="shared" si="0"/>
        <v>45270</v>
      </c>
      <c r="D14" s="67">
        <v>15435</v>
      </c>
      <c r="E14" s="67">
        <v>686.74</v>
      </c>
      <c r="F14" s="68">
        <v>987.31</v>
      </c>
      <c r="G14" s="68">
        <v>83</v>
      </c>
      <c r="H14" s="68">
        <v>11.61</v>
      </c>
      <c r="I14" s="68">
        <v>1387.46</v>
      </c>
      <c r="J14" s="68">
        <v>12310.98</v>
      </c>
      <c r="K14" s="68">
        <v>35</v>
      </c>
      <c r="L14" s="48">
        <f>SUM('Flash Report'!$E14:$K14)</f>
        <v>15502.099999999999</v>
      </c>
      <c r="M14" s="67"/>
      <c r="N14" s="68"/>
      <c r="O14" s="68"/>
      <c r="P14" s="68"/>
      <c r="Q14" s="68"/>
      <c r="R14" s="68"/>
      <c r="S14" s="68"/>
      <c r="T14" s="66">
        <v>4516.13</v>
      </c>
      <c r="U14" s="67">
        <v>4127.1899999999996</v>
      </c>
      <c r="V14" s="66">
        <v>1767.81</v>
      </c>
      <c r="W14" s="78">
        <f>SUM('Flash Report'!$U14:$V14)*0.1</f>
        <v>589.5</v>
      </c>
      <c r="X14" s="49">
        <f t="shared" si="3"/>
        <v>0</v>
      </c>
      <c r="Y14" s="50">
        <f t="shared" si="4"/>
        <v>0</v>
      </c>
      <c r="Z14" s="50">
        <f t="shared" si="5"/>
        <v>0</v>
      </c>
      <c r="AA14" s="50">
        <f t="shared" si="6"/>
        <v>0</v>
      </c>
      <c r="AB14" s="50">
        <f t="shared" si="7"/>
        <v>0</v>
      </c>
      <c r="AC14" s="50">
        <f t="shared" si="8"/>
        <v>0</v>
      </c>
      <c r="AD14" s="50">
        <f t="shared" si="1"/>
        <v>0</v>
      </c>
      <c r="AE14" s="50">
        <f t="shared" si="2"/>
        <v>0.26739164237123419</v>
      </c>
      <c r="AF14" s="51">
        <f>SUM('Flash Report'!$D14)-SUM('Flash Report'!$M14:$W14)</f>
        <v>4434.3700000000008</v>
      </c>
      <c r="AG14" s="10"/>
      <c r="AH14" s="10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s="12" customFormat="1" ht="21" customHeight="1" thickTop="1" thickBot="1" x14ac:dyDescent="0.25">
      <c r="A15" s="9"/>
      <c r="B15" s="52">
        <f t="shared" si="9"/>
        <v>45271</v>
      </c>
      <c r="C15" s="74">
        <f t="shared" si="0"/>
        <v>45271</v>
      </c>
      <c r="D15" s="69">
        <v>9307.7800000000007</v>
      </c>
      <c r="E15" s="69">
        <v>433</v>
      </c>
      <c r="F15" s="70">
        <v>384.12</v>
      </c>
      <c r="G15" s="70">
        <v>16.600000000000001</v>
      </c>
      <c r="H15" s="70">
        <v>41.06</v>
      </c>
      <c r="I15" s="70">
        <v>405.22</v>
      </c>
      <c r="J15" s="70">
        <v>8062.74</v>
      </c>
      <c r="K15" s="70">
        <v>0</v>
      </c>
      <c r="L15" s="53">
        <f>SUM('Flash Report'!$E15:$K15)</f>
        <v>9342.74</v>
      </c>
      <c r="M15" s="69">
        <v>1064.49</v>
      </c>
      <c r="N15" s="70"/>
      <c r="O15" s="70"/>
      <c r="P15" s="70"/>
      <c r="Q15" s="70"/>
      <c r="R15" s="70"/>
      <c r="S15" s="70">
        <v>8588.43</v>
      </c>
      <c r="T15" s="66">
        <v>4516.13</v>
      </c>
      <c r="U15" s="69">
        <v>3781.13</v>
      </c>
      <c r="V15" s="66">
        <v>1767.81</v>
      </c>
      <c r="W15" s="79">
        <f>SUM('Flash Report'!$U15:$V15)*0.1</f>
        <v>554.89400000000012</v>
      </c>
      <c r="X15" s="54">
        <f t="shared" si="3"/>
        <v>0</v>
      </c>
      <c r="Y15" s="55">
        <f t="shared" si="4"/>
        <v>0</v>
      </c>
      <c r="Z15" s="55">
        <f t="shared" si="5"/>
        <v>0</v>
      </c>
      <c r="AA15" s="55">
        <f t="shared" si="6"/>
        <v>0</v>
      </c>
      <c r="AB15" s="55">
        <f t="shared" si="7"/>
        <v>0</v>
      </c>
      <c r="AC15" s="55">
        <f t="shared" si="8"/>
        <v>1.0698387349927378</v>
      </c>
      <c r="AD15" s="55">
        <f t="shared" si="1"/>
        <v>0.11436561672063585</v>
      </c>
      <c r="AE15" s="55">
        <f t="shared" si="2"/>
        <v>0.40623328011620385</v>
      </c>
      <c r="AF15" s="56">
        <f>SUM('Flash Report'!$D15)-SUM('Flash Report'!$M15:$W15)</f>
        <v>-10965.104000000001</v>
      </c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49" s="12" customFormat="1" ht="21" customHeight="1" thickTop="1" thickBot="1" x14ac:dyDescent="0.25">
      <c r="A16" s="9"/>
      <c r="B16" s="47">
        <f t="shared" si="9"/>
        <v>45272</v>
      </c>
      <c r="C16" s="73">
        <f t="shared" si="0"/>
        <v>45272</v>
      </c>
      <c r="D16" s="67">
        <v>10557.89</v>
      </c>
      <c r="E16" s="67">
        <v>500.87</v>
      </c>
      <c r="F16" s="68">
        <v>292.31</v>
      </c>
      <c r="G16" s="68">
        <v>24.9</v>
      </c>
      <c r="H16" s="68">
        <v>34</v>
      </c>
      <c r="I16" s="68">
        <v>541.28</v>
      </c>
      <c r="J16" s="68">
        <v>9323.7199999999993</v>
      </c>
      <c r="K16" s="68">
        <v>0</v>
      </c>
      <c r="L16" s="48">
        <f>SUM('Flash Report'!$E16:$K16)</f>
        <v>10717.08</v>
      </c>
      <c r="M16" s="67">
        <v>443.53</v>
      </c>
      <c r="N16" s="68"/>
      <c r="O16" s="68"/>
      <c r="P16" s="68"/>
      <c r="Q16" s="68"/>
      <c r="R16" s="68"/>
      <c r="S16" s="68"/>
      <c r="T16" s="66">
        <v>4516.13</v>
      </c>
      <c r="U16" s="67">
        <v>3625.66</v>
      </c>
      <c r="V16" s="66">
        <v>1767.81</v>
      </c>
      <c r="W16" s="78">
        <f>SUM('Flash Report'!$U16:$V16)*0.1</f>
        <v>539.34699999999998</v>
      </c>
      <c r="X16" s="49">
        <f t="shared" si="3"/>
        <v>0</v>
      </c>
      <c r="Y16" s="50">
        <f t="shared" si="4"/>
        <v>0</v>
      </c>
      <c r="Z16" s="50">
        <f t="shared" si="5"/>
        <v>0</v>
      </c>
      <c r="AA16" s="50">
        <f t="shared" si="6"/>
        <v>0</v>
      </c>
      <c r="AB16" s="50">
        <f t="shared" si="7"/>
        <v>0</v>
      </c>
      <c r="AC16" s="50">
        <f t="shared" si="8"/>
        <v>0</v>
      </c>
      <c r="AD16" s="50">
        <f t="shared" si="1"/>
        <v>4.2009340881558721E-2</v>
      </c>
      <c r="AE16" s="50">
        <f t="shared" si="2"/>
        <v>0.34340763163851867</v>
      </c>
      <c r="AF16" s="51">
        <f>SUM('Flash Report'!$D16)-SUM('Flash Report'!$M16:$W16)</f>
        <v>-334.58699999999953</v>
      </c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 s="12" customFormat="1" ht="21" customHeight="1" thickTop="1" thickBot="1" x14ac:dyDescent="0.25">
      <c r="A17" s="9"/>
      <c r="B17" s="52">
        <f t="shared" si="9"/>
        <v>45273</v>
      </c>
      <c r="C17" s="74">
        <f t="shared" si="0"/>
        <v>45273</v>
      </c>
      <c r="D17" s="69">
        <v>8575.3700000000008</v>
      </c>
      <c r="E17" s="69">
        <v>414</v>
      </c>
      <c r="F17" s="70">
        <v>420.84</v>
      </c>
      <c r="G17" s="70">
        <v>41.5</v>
      </c>
      <c r="H17" s="70">
        <v>18.25</v>
      </c>
      <c r="I17" s="70">
        <v>410.19</v>
      </c>
      <c r="J17" s="70">
        <v>7335.4</v>
      </c>
      <c r="K17" s="70">
        <v>0</v>
      </c>
      <c r="L17" s="53">
        <f>SUM('Flash Report'!$E17:$K17)</f>
        <v>8640.18</v>
      </c>
      <c r="M17" s="69">
        <v>430.92</v>
      </c>
      <c r="N17" s="70">
        <v>126.44</v>
      </c>
      <c r="O17" s="70">
        <v>690.76</v>
      </c>
      <c r="P17" s="70">
        <v>653.84</v>
      </c>
      <c r="Q17" s="70">
        <v>156.25</v>
      </c>
      <c r="R17" s="70">
        <v>774.17</v>
      </c>
      <c r="S17" s="70">
        <v>7757.84</v>
      </c>
      <c r="T17" s="66">
        <v>4516.13</v>
      </c>
      <c r="U17" s="69">
        <v>3716.27</v>
      </c>
      <c r="V17" s="66">
        <v>1767.81</v>
      </c>
      <c r="W17" s="79">
        <f>SUM('Flash Report'!$U17:$V17)*0.1</f>
        <v>548.40800000000002</v>
      </c>
      <c r="X17" s="54">
        <f t="shared" si="3"/>
        <v>0.30541062801932367</v>
      </c>
      <c r="Y17" s="55">
        <f t="shared" si="4"/>
        <v>1.6413838988689289</v>
      </c>
      <c r="Z17" s="55">
        <f t="shared" si="5"/>
        <v>15.755180722891566</v>
      </c>
      <c r="AA17" s="55">
        <f t="shared" si="6"/>
        <v>8.5616438356164384</v>
      </c>
      <c r="AB17" s="55">
        <f t="shared" si="7"/>
        <v>1.8873448889538993</v>
      </c>
      <c r="AC17" s="55">
        <f t="shared" si="8"/>
        <v>1.0670165694943601</v>
      </c>
      <c r="AD17" s="55">
        <f t="shared" si="1"/>
        <v>5.0250892964385209E-2</v>
      </c>
      <c r="AE17" s="55">
        <f t="shared" si="2"/>
        <v>0.4333655574045201</v>
      </c>
      <c r="AF17" s="56">
        <f>SUM('Flash Report'!$D17)-SUM('Flash Report'!$M17:$W17)</f>
        <v>-12563.468000000003</v>
      </c>
      <c r="AG17" s="10"/>
      <c r="AH17" s="10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s="12" customFormat="1" ht="21" customHeight="1" thickTop="1" thickBot="1" x14ac:dyDescent="0.25">
      <c r="A18" s="9"/>
      <c r="B18" s="47">
        <f t="shared" si="9"/>
        <v>45274</v>
      </c>
      <c r="C18" s="73">
        <f t="shared" si="0"/>
        <v>45274</v>
      </c>
      <c r="D18" s="69">
        <v>11819.93</v>
      </c>
      <c r="E18" s="69">
        <v>442.87</v>
      </c>
      <c r="F18" s="70">
        <v>701.37</v>
      </c>
      <c r="G18" s="70">
        <v>58.1</v>
      </c>
      <c r="H18" s="70">
        <v>58.05</v>
      </c>
      <c r="I18" s="70">
        <v>841.78</v>
      </c>
      <c r="J18" s="70">
        <v>9907.94</v>
      </c>
      <c r="K18" s="70">
        <v>0</v>
      </c>
      <c r="L18" s="48">
        <f>SUM('Flash Report'!$E18:$K18)</f>
        <v>12010.11</v>
      </c>
      <c r="M18" s="67">
        <v>647.24</v>
      </c>
      <c r="N18" s="68"/>
      <c r="O18" s="68"/>
      <c r="P18" s="68"/>
      <c r="Q18" s="68"/>
      <c r="R18" s="68"/>
      <c r="S18" s="68"/>
      <c r="T18" s="66">
        <v>4516.13</v>
      </c>
      <c r="U18" s="67">
        <v>3781.35</v>
      </c>
      <c r="V18" s="66">
        <v>1767.81</v>
      </c>
      <c r="W18" s="78">
        <f>SUM('Flash Report'!$U18:$V18)*0.1</f>
        <v>554.91600000000005</v>
      </c>
      <c r="X18" s="49">
        <f t="shared" si="3"/>
        <v>0</v>
      </c>
      <c r="Y18" s="50">
        <f t="shared" si="4"/>
        <v>0</v>
      </c>
      <c r="Z18" s="50">
        <f t="shared" si="5"/>
        <v>0</v>
      </c>
      <c r="AA18" s="50">
        <f t="shared" si="6"/>
        <v>0</v>
      </c>
      <c r="AB18" s="50">
        <f t="shared" si="7"/>
        <v>0</v>
      </c>
      <c r="AC18" s="50">
        <f t="shared" si="8"/>
        <v>0</v>
      </c>
      <c r="AD18" s="50">
        <f t="shared" si="1"/>
        <v>5.4758361513139245E-2</v>
      </c>
      <c r="AE18" s="50">
        <f t="shared" si="2"/>
        <v>0.31991306209089221</v>
      </c>
      <c r="AF18" s="51">
        <f>SUM('Flash Report'!$D18)-SUM('Flash Report'!$M18:$W18)</f>
        <v>552.4840000000022</v>
      </c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1:49" s="12" customFormat="1" ht="21" customHeight="1" thickTop="1" thickBot="1" x14ac:dyDescent="0.25">
      <c r="A19" s="9"/>
      <c r="B19" s="52">
        <f t="shared" si="9"/>
        <v>45275</v>
      </c>
      <c r="C19" s="74">
        <f t="shared" si="0"/>
        <v>45275</v>
      </c>
      <c r="D19" s="67">
        <v>14253.81</v>
      </c>
      <c r="E19" s="67">
        <v>558.89</v>
      </c>
      <c r="F19" s="68">
        <v>911.53</v>
      </c>
      <c r="G19" s="68">
        <v>91.3</v>
      </c>
      <c r="H19" s="68">
        <v>78.37</v>
      </c>
      <c r="I19" s="68">
        <v>799.82</v>
      </c>
      <c r="J19" s="68">
        <v>11895.94</v>
      </c>
      <c r="K19" s="68">
        <v>0</v>
      </c>
      <c r="L19" s="53">
        <f>SUM('Flash Report'!$E19:$K19)</f>
        <v>14335.85</v>
      </c>
      <c r="M19" s="69">
        <v>32.76</v>
      </c>
      <c r="N19" s="70">
        <v>752.55</v>
      </c>
      <c r="O19" s="70"/>
      <c r="P19" s="70"/>
      <c r="Q19" s="70"/>
      <c r="R19" s="70"/>
      <c r="S19" s="70">
        <v>8002.23</v>
      </c>
      <c r="T19" s="66">
        <v>4516.13</v>
      </c>
      <c r="U19" s="69">
        <v>4100.1099999999997</v>
      </c>
      <c r="V19" s="66">
        <v>1767.81</v>
      </c>
      <c r="W19" s="79">
        <f>SUM('Flash Report'!$U19:$V19)*0.1</f>
        <v>586.79200000000003</v>
      </c>
      <c r="X19" s="54">
        <f t="shared" si="3"/>
        <v>1.3465082574388521</v>
      </c>
      <c r="Y19" s="55">
        <f t="shared" si="4"/>
        <v>0</v>
      </c>
      <c r="Z19" s="55">
        <f t="shared" si="5"/>
        <v>0</v>
      </c>
      <c r="AA19" s="55">
        <f t="shared" si="6"/>
        <v>0</v>
      </c>
      <c r="AB19" s="55">
        <f t="shared" si="7"/>
        <v>0</v>
      </c>
      <c r="AC19" s="55">
        <f t="shared" si="8"/>
        <v>0.67735718094786646</v>
      </c>
      <c r="AD19" s="55">
        <f t="shared" si="1"/>
        <v>2.2983328667914053E-3</v>
      </c>
      <c r="AE19" s="55">
        <f t="shared" si="2"/>
        <v>0.28765010898840376</v>
      </c>
      <c r="AF19" s="56">
        <f>SUM('Flash Report'!$D19)-SUM('Flash Report'!$M19:$W19)</f>
        <v>-5504.5720000000019</v>
      </c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1:49" s="12" customFormat="1" ht="21" customHeight="1" thickTop="1" thickBot="1" x14ac:dyDescent="0.25">
      <c r="A20" s="9"/>
      <c r="B20" s="47">
        <f t="shared" si="9"/>
        <v>45276</v>
      </c>
      <c r="C20" s="73">
        <f t="shared" si="0"/>
        <v>45276</v>
      </c>
      <c r="D20" s="67">
        <v>19318.89</v>
      </c>
      <c r="E20" s="67">
        <v>772.28</v>
      </c>
      <c r="F20" s="68">
        <v>1177.93</v>
      </c>
      <c r="G20" s="68">
        <v>99.6</v>
      </c>
      <c r="H20" s="68">
        <v>90.81</v>
      </c>
      <c r="I20" s="68">
        <v>1324.66</v>
      </c>
      <c r="J20" s="68">
        <v>15902.99</v>
      </c>
      <c r="K20" s="68">
        <v>0</v>
      </c>
      <c r="L20" s="48">
        <f>SUM('Flash Report'!$E20:$K20)</f>
        <v>19368.27</v>
      </c>
      <c r="M20" s="67"/>
      <c r="N20" s="68"/>
      <c r="O20" s="68"/>
      <c r="P20" s="68"/>
      <c r="Q20" s="68"/>
      <c r="R20" s="68"/>
      <c r="S20" s="68"/>
      <c r="T20" s="66">
        <v>4516.13</v>
      </c>
      <c r="U20" s="67">
        <v>4170.66</v>
      </c>
      <c r="V20" s="66">
        <v>1767.81</v>
      </c>
      <c r="W20" s="78">
        <f>SUM('Flash Report'!$U20:$V20)*0.1</f>
        <v>593.84699999999998</v>
      </c>
      <c r="X20" s="49">
        <f t="shared" si="3"/>
        <v>0</v>
      </c>
      <c r="Y20" s="50">
        <f t="shared" si="4"/>
        <v>0</v>
      </c>
      <c r="Z20" s="50">
        <f t="shared" si="5"/>
        <v>0</v>
      </c>
      <c r="AA20" s="50">
        <f t="shared" si="6"/>
        <v>0</v>
      </c>
      <c r="AB20" s="50">
        <f t="shared" si="7"/>
        <v>0</v>
      </c>
      <c r="AC20" s="50">
        <f t="shared" si="8"/>
        <v>0</v>
      </c>
      <c r="AD20" s="50">
        <f t="shared" si="1"/>
        <v>0</v>
      </c>
      <c r="AE20" s="50">
        <f t="shared" si="2"/>
        <v>0.2158850741424585</v>
      </c>
      <c r="AF20" s="51">
        <f>SUM('Flash Report'!$D20)-SUM('Flash Report'!$M20:$W20)</f>
        <v>8270.4429999999993</v>
      </c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  <row r="21" spans="1:49" s="12" customFormat="1" ht="21" customHeight="1" thickTop="1" thickBot="1" x14ac:dyDescent="0.25">
      <c r="A21" s="9"/>
      <c r="B21" s="52">
        <f t="shared" si="9"/>
        <v>45277</v>
      </c>
      <c r="C21" s="74">
        <f t="shared" si="0"/>
        <v>45277</v>
      </c>
      <c r="D21" s="69">
        <v>13724.65</v>
      </c>
      <c r="E21" s="69">
        <v>587</v>
      </c>
      <c r="F21" s="70">
        <v>759.96</v>
      </c>
      <c r="G21" s="70">
        <v>149.4</v>
      </c>
      <c r="H21" s="70">
        <v>135.63</v>
      </c>
      <c r="I21" s="70">
        <v>885.08</v>
      </c>
      <c r="J21" s="70">
        <v>11295.01</v>
      </c>
      <c r="K21" s="70">
        <v>0</v>
      </c>
      <c r="L21" s="53">
        <f>SUM('Flash Report'!$E21:$K21)</f>
        <v>13812.08</v>
      </c>
      <c r="M21" s="69"/>
      <c r="N21" s="70"/>
      <c r="O21" s="70"/>
      <c r="P21" s="70"/>
      <c r="Q21" s="70"/>
      <c r="R21" s="70"/>
      <c r="S21" s="70"/>
      <c r="T21" s="66">
        <v>4516.13</v>
      </c>
      <c r="U21" s="69">
        <v>3888.13</v>
      </c>
      <c r="V21" s="66">
        <v>1767.81</v>
      </c>
      <c r="W21" s="79">
        <f>SUM('Flash Report'!$U21:$V21)*0.1</f>
        <v>565.59400000000005</v>
      </c>
      <c r="X21" s="54">
        <f t="shared" si="3"/>
        <v>0</v>
      </c>
      <c r="Y21" s="55">
        <f t="shared" si="4"/>
        <v>0</v>
      </c>
      <c r="Z21" s="55">
        <f t="shared" si="5"/>
        <v>0</v>
      </c>
      <c r="AA21" s="55">
        <f t="shared" si="6"/>
        <v>0</v>
      </c>
      <c r="AB21" s="55">
        <f t="shared" si="7"/>
        <v>0</v>
      </c>
      <c r="AC21" s="55">
        <f t="shared" si="8"/>
        <v>0</v>
      </c>
      <c r="AD21" s="55">
        <f t="shared" si="1"/>
        <v>0</v>
      </c>
      <c r="AE21" s="55">
        <f t="shared" si="2"/>
        <v>0.28329538458175618</v>
      </c>
      <c r="AF21" s="56">
        <f>SUM('Flash Report'!$D21)-SUM('Flash Report'!$M21:$W21)</f>
        <v>2986.985999999999</v>
      </c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</row>
    <row r="22" spans="1:49" s="12" customFormat="1" ht="21" customHeight="1" thickTop="1" thickBot="1" x14ac:dyDescent="0.25">
      <c r="A22" s="9"/>
      <c r="B22" s="47">
        <f t="shared" si="9"/>
        <v>45278</v>
      </c>
      <c r="C22" s="73">
        <f t="shared" si="0"/>
        <v>45278</v>
      </c>
      <c r="D22" s="67">
        <v>11840.96</v>
      </c>
      <c r="E22" s="67">
        <v>522</v>
      </c>
      <c r="F22" s="68">
        <v>572.84</v>
      </c>
      <c r="G22" s="68">
        <v>33.200000000000003</v>
      </c>
      <c r="H22" s="68">
        <v>134.27000000000001</v>
      </c>
      <c r="I22" s="68">
        <v>597.37</v>
      </c>
      <c r="J22" s="68">
        <v>10030.629999999999</v>
      </c>
      <c r="K22" s="68">
        <v>0</v>
      </c>
      <c r="L22" s="48">
        <f>SUM('Flash Report'!$E22:$K22)</f>
        <v>11890.31</v>
      </c>
      <c r="M22" s="67">
        <v>1173.1600000000001</v>
      </c>
      <c r="N22" s="68">
        <v>57.28</v>
      </c>
      <c r="O22" s="68">
        <v>1104</v>
      </c>
      <c r="P22" s="68">
        <v>669.64</v>
      </c>
      <c r="Q22" s="68">
        <v>213</v>
      </c>
      <c r="R22" s="68">
        <v>859.82</v>
      </c>
      <c r="S22" s="68">
        <v>9627.77</v>
      </c>
      <c r="T22" s="66">
        <v>4516.13</v>
      </c>
      <c r="U22" s="67">
        <v>3715</v>
      </c>
      <c r="V22" s="66">
        <v>1767.81</v>
      </c>
      <c r="W22" s="78">
        <f>SUM('Flash Report'!$U22:$V22)*0.1</f>
        <v>548.28099999999995</v>
      </c>
      <c r="X22" s="49">
        <f t="shared" si="3"/>
        <v>0.10973180076628353</v>
      </c>
      <c r="Y22" s="50">
        <f t="shared" si="4"/>
        <v>1.9272397178967948</v>
      </c>
      <c r="Z22" s="50">
        <f t="shared" si="5"/>
        <v>20.169879518072285</v>
      </c>
      <c r="AA22" s="50">
        <f t="shared" si="6"/>
        <v>1.5863558501526773</v>
      </c>
      <c r="AB22" s="50">
        <f t="shared" si="7"/>
        <v>1.4393424510772219</v>
      </c>
      <c r="AC22" s="50">
        <f t="shared" si="8"/>
        <v>0.96458269881217673</v>
      </c>
      <c r="AD22" s="50">
        <f t="shared" si="1"/>
        <v>9.9076426235710627E-2</v>
      </c>
      <c r="AE22" s="50">
        <f t="shared" si="2"/>
        <v>0.31374145339567067</v>
      </c>
      <c r="AF22" s="51">
        <f>SUM('Flash Report'!$D22)-SUM('Flash Report'!$M22:$W22)</f>
        <v>-12410.931</v>
      </c>
      <c r="AG22" s="10"/>
      <c r="AH22" s="1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 s="12" customFormat="1" ht="21" customHeight="1" thickTop="1" thickBot="1" x14ac:dyDescent="0.25">
      <c r="A23" s="9"/>
      <c r="B23" s="52">
        <f t="shared" si="9"/>
        <v>45279</v>
      </c>
      <c r="C23" s="74">
        <f t="shared" si="0"/>
        <v>45279</v>
      </c>
      <c r="D23" s="69">
        <v>10675.76</v>
      </c>
      <c r="E23" s="69">
        <v>556.08000000000004</v>
      </c>
      <c r="F23" s="70">
        <v>556.38</v>
      </c>
      <c r="G23" s="70">
        <v>24.9</v>
      </c>
      <c r="H23" s="70">
        <v>85.66</v>
      </c>
      <c r="I23" s="70">
        <v>570.82000000000005</v>
      </c>
      <c r="J23" s="70">
        <v>9005.74</v>
      </c>
      <c r="K23" s="70">
        <v>0</v>
      </c>
      <c r="L23" s="53">
        <f>SUM('Flash Report'!$E23:$K23)</f>
        <v>10799.58</v>
      </c>
      <c r="M23" s="69">
        <v>443.54</v>
      </c>
      <c r="N23" s="70"/>
      <c r="O23" s="70"/>
      <c r="P23" s="70"/>
      <c r="Q23" s="70"/>
      <c r="R23" s="70"/>
      <c r="S23" s="70"/>
      <c r="T23" s="66">
        <v>4516.13</v>
      </c>
      <c r="U23" s="69">
        <v>4012.48</v>
      </c>
      <c r="V23" s="66">
        <v>1767.81</v>
      </c>
      <c r="W23" s="79">
        <f>SUM('Flash Report'!$U23:$V23)*0.1</f>
        <v>578.029</v>
      </c>
      <c r="X23" s="54">
        <f t="shared" si="3"/>
        <v>0</v>
      </c>
      <c r="Y23" s="55">
        <f t="shared" si="4"/>
        <v>0</v>
      </c>
      <c r="Z23" s="55">
        <f t="shared" si="5"/>
        <v>0</v>
      </c>
      <c r="AA23" s="55">
        <f t="shared" si="6"/>
        <v>0</v>
      </c>
      <c r="AB23" s="55">
        <f t="shared" si="7"/>
        <v>0</v>
      </c>
      <c r="AC23" s="55">
        <f t="shared" si="8"/>
        <v>0</v>
      </c>
      <c r="AD23" s="55">
        <f t="shared" si="1"/>
        <v>4.1546456645709537E-2</v>
      </c>
      <c r="AE23" s="55">
        <f t="shared" si="2"/>
        <v>0.37584958822603731</v>
      </c>
      <c r="AF23" s="56">
        <f>SUM('Flash Report'!$D23)-SUM('Flash Report'!$M23:$W23)</f>
        <v>-642.22899999999936</v>
      </c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s="12" customFormat="1" ht="21" customHeight="1" thickTop="1" thickBot="1" x14ac:dyDescent="0.25">
      <c r="A24" s="9"/>
      <c r="B24" s="47">
        <f t="shared" si="9"/>
        <v>45280</v>
      </c>
      <c r="C24" s="73">
        <f t="shared" si="0"/>
        <v>45280</v>
      </c>
      <c r="D24" s="67">
        <v>11215.09</v>
      </c>
      <c r="E24" s="67">
        <v>526.54</v>
      </c>
      <c r="F24" s="68">
        <v>437.06</v>
      </c>
      <c r="G24" s="68">
        <v>24.9</v>
      </c>
      <c r="H24" s="68">
        <v>68.47</v>
      </c>
      <c r="I24" s="68">
        <v>577.16</v>
      </c>
      <c r="J24" s="68">
        <v>9636.99</v>
      </c>
      <c r="K24" s="68">
        <v>0</v>
      </c>
      <c r="L24" s="48">
        <f>SUM('Flash Report'!$E24:$K24)</f>
        <v>11271.119999999999</v>
      </c>
      <c r="M24" s="67">
        <v>735.11</v>
      </c>
      <c r="N24" s="68"/>
      <c r="O24" s="68"/>
      <c r="P24" s="68"/>
      <c r="Q24" s="68"/>
      <c r="R24" s="68"/>
      <c r="S24" s="68">
        <v>7943.15</v>
      </c>
      <c r="T24" s="66">
        <v>4516.13</v>
      </c>
      <c r="U24" s="67">
        <v>4058.43</v>
      </c>
      <c r="V24" s="66">
        <v>1767.81</v>
      </c>
      <c r="W24" s="78">
        <f>SUM('Flash Report'!$U24:$V24)*0.1</f>
        <v>582.62400000000002</v>
      </c>
      <c r="X24" s="49">
        <f t="shared" si="3"/>
        <v>0</v>
      </c>
      <c r="Y24" s="50">
        <f t="shared" si="4"/>
        <v>0</v>
      </c>
      <c r="Z24" s="50">
        <f t="shared" si="5"/>
        <v>0</v>
      </c>
      <c r="AA24" s="50">
        <f t="shared" si="6"/>
        <v>0</v>
      </c>
      <c r="AB24" s="50">
        <f t="shared" si="7"/>
        <v>0</v>
      </c>
      <c r="AC24" s="50">
        <f t="shared" si="8"/>
        <v>0.82905575224194639</v>
      </c>
      <c r="AD24" s="50">
        <f t="shared" si="1"/>
        <v>6.5546509212141862E-2</v>
      </c>
      <c r="AE24" s="50">
        <f t="shared" si="2"/>
        <v>0.36187226317399146</v>
      </c>
      <c r="AF24" s="51">
        <f>SUM('Flash Report'!$D24)-SUM('Flash Report'!$M24:$W24)</f>
        <v>-8388.1640000000007</v>
      </c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 s="12" customFormat="1" ht="21" customHeight="1" thickTop="1" thickBot="1" x14ac:dyDescent="0.25">
      <c r="A25" s="9"/>
      <c r="B25" s="52">
        <f t="shared" si="9"/>
        <v>45281</v>
      </c>
      <c r="C25" s="74">
        <f t="shared" si="0"/>
        <v>45281</v>
      </c>
      <c r="D25" s="69">
        <v>10894.66</v>
      </c>
      <c r="E25" s="69">
        <v>472.48</v>
      </c>
      <c r="F25" s="70">
        <v>424.69</v>
      </c>
      <c r="G25" s="70">
        <v>74.7</v>
      </c>
      <c r="H25" s="70">
        <v>28.61</v>
      </c>
      <c r="I25" s="70">
        <v>640.01</v>
      </c>
      <c r="J25" s="70">
        <v>9312.2199999999993</v>
      </c>
      <c r="K25" s="70">
        <v>0</v>
      </c>
      <c r="L25" s="53">
        <f>SUM('Flash Report'!$E25:$K25)</f>
        <v>10952.71</v>
      </c>
      <c r="M25" s="69"/>
      <c r="N25" s="70"/>
      <c r="O25" s="70"/>
      <c r="P25" s="70"/>
      <c r="Q25" s="70"/>
      <c r="R25" s="70"/>
      <c r="S25" s="70"/>
      <c r="T25" s="66">
        <v>4516.13</v>
      </c>
      <c r="U25" s="69">
        <v>3651.42</v>
      </c>
      <c r="V25" s="66">
        <v>1767.81</v>
      </c>
      <c r="W25" s="79">
        <f>SUM('Flash Report'!$U25:$V25)*0.1</f>
        <v>541.923</v>
      </c>
      <c r="X25" s="54">
        <f t="shared" si="3"/>
        <v>0</v>
      </c>
      <c r="Y25" s="55">
        <f t="shared" si="4"/>
        <v>0</v>
      </c>
      <c r="Z25" s="55">
        <f t="shared" si="5"/>
        <v>0</v>
      </c>
      <c r="AA25" s="55">
        <f t="shared" si="6"/>
        <v>0</v>
      </c>
      <c r="AB25" s="55">
        <f t="shared" si="7"/>
        <v>0</v>
      </c>
      <c r="AC25" s="55">
        <f t="shared" si="8"/>
        <v>0</v>
      </c>
      <c r="AD25" s="55">
        <f t="shared" si="1"/>
        <v>0</v>
      </c>
      <c r="AE25" s="55">
        <f t="shared" si="2"/>
        <v>0.3351568566618876</v>
      </c>
      <c r="AF25" s="56">
        <f>SUM('Flash Report'!$D25)-SUM('Flash Report'!$M25:$W25)</f>
        <v>417.37699999999859</v>
      </c>
      <c r="AG25" s="10"/>
      <c r="AH25" s="10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</row>
    <row r="26" spans="1:49" s="12" customFormat="1" ht="21" customHeight="1" thickTop="1" thickBot="1" x14ac:dyDescent="0.25">
      <c r="A26" s="9"/>
      <c r="B26" s="47">
        <f t="shared" si="9"/>
        <v>45282</v>
      </c>
      <c r="C26" s="73">
        <f t="shared" si="0"/>
        <v>45282</v>
      </c>
      <c r="D26" s="67">
        <v>12566.47</v>
      </c>
      <c r="E26" s="67">
        <v>546</v>
      </c>
      <c r="F26" s="68">
        <v>659.76</v>
      </c>
      <c r="G26" s="68">
        <v>41.5</v>
      </c>
      <c r="H26" s="68">
        <v>29.35</v>
      </c>
      <c r="I26" s="68">
        <v>1176.01</v>
      </c>
      <c r="J26" s="68">
        <v>10055.5</v>
      </c>
      <c r="K26" s="68">
        <v>0</v>
      </c>
      <c r="L26" s="48">
        <f>SUM('Flash Report'!$E26:$K26)</f>
        <v>12508.119999999999</v>
      </c>
      <c r="M26" s="67">
        <v>943.84</v>
      </c>
      <c r="N26" s="68"/>
      <c r="O26" s="68"/>
      <c r="P26" s="68"/>
      <c r="Q26" s="68"/>
      <c r="R26" s="68"/>
      <c r="S26" s="68">
        <v>11473.28</v>
      </c>
      <c r="T26" s="66">
        <v>4516.13</v>
      </c>
      <c r="U26" s="67">
        <v>4230.22</v>
      </c>
      <c r="V26" s="66">
        <v>1767.81</v>
      </c>
      <c r="W26" s="78">
        <f>SUM('Flash Report'!$U26:$V26)*0.1</f>
        <v>599.80300000000011</v>
      </c>
      <c r="X26" s="49">
        <f t="shared" si="3"/>
        <v>0</v>
      </c>
      <c r="Y26" s="50">
        <f t="shared" si="4"/>
        <v>0</v>
      </c>
      <c r="Z26" s="50">
        <f t="shared" si="5"/>
        <v>0</v>
      </c>
      <c r="AA26" s="50">
        <f t="shared" si="6"/>
        <v>0</v>
      </c>
      <c r="AB26" s="50">
        <f t="shared" si="7"/>
        <v>0</v>
      </c>
      <c r="AC26" s="50">
        <f t="shared" si="8"/>
        <v>1.1344127112820541</v>
      </c>
      <c r="AD26" s="50">
        <f t="shared" si="1"/>
        <v>7.5107806726948778E-2</v>
      </c>
      <c r="AE26" s="50">
        <f t="shared" si="2"/>
        <v>0.33662754934361044</v>
      </c>
      <c r="AF26" s="51">
        <f>SUM('Flash Report'!$D26)-SUM('Flash Report'!$M26:$W26)</f>
        <v>-10964.613000000003</v>
      </c>
      <c r="AG26" s="10"/>
      <c r="AH26" s="10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</row>
    <row r="27" spans="1:49" s="12" customFormat="1" ht="21" customHeight="1" thickTop="1" thickBot="1" x14ac:dyDescent="0.25">
      <c r="A27" s="9"/>
      <c r="B27" s="52">
        <f t="shared" si="9"/>
        <v>45283</v>
      </c>
      <c r="C27" s="74">
        <f t="shared" si="0"/>
        <v>45283</v>
      </c>
      <c r="D27" s="69">
        <v>14302.75</v>
      </c>
      <c r="E27" s="69">
        <v>581.55999999999995</v>
      </c>
      <c r="F27" s="70">
        <v>810.13</v>
      </c>
      <c r="G27" s="70">
        <v>74.7</v>
      </c>
      <c r="H27" s="70">
        <v>82.25</v>
      </c>
      <c r="I27" s="70">
        <v>947.33</v>
      </c>
      <c r="J27" s="70">
        <v>11858.26</v>
      </c>
      <c r="K27" s="70">
        <v>0</v>
      </c>
      <c r="L27" s="53">
        <f>SUM('Flash Report'!$E27:$K27)</f>
        <v>14354.23</v>
      </c>
      <c r="M27" s="69"/>
      <c r="N27" s="70"/>
      <c r="O27" s="70"/>
      <c r="P27" s="70"/>
      <c r="Q27" s="70"/>
      <c r="R27" s="70"/>
      <c r="S27" s="70"/>
      <c r="T27" s="66">
        <v>4516.13</v>
      </c>
      <c r="U27" s="69">
        <v>3975.39</v>
      </c>
      <c r="V27" s="66">
        <v>1767.81</v>
      </c>
      <c r="W27" s="79">
        <f>SUM('Flash Report'!$U27:$V27)*0.1</f>
        <v>574.32000000000005</v>
      </c>
      <c r="X27" s="54">
        <f t="shared" si="3"/>
        <v>0</v>
      </c>
      <c r="Y27" s="55">
        <f t="shared" si="4"/>
        <v>0</v>
      </c>
      <c r="Z27" s="55">
        <f t="shared" si="5"/>
        <v>0</v>
      </c>
      <c r="AA27" s="55">
        <f t="shared" si="6"/>
        <v>0</v>
      </c>
      <c r="AB27" s="55">
        <f t="shared" si="7"/>
        <v>0</v>
      </c>
      <c r="AC27" s="55">
        <f t="shared" si="8"/>
        <v>0</v>
      </c>
      <c r="AD27" s="55">
        <f t="shared" si="1"/>
        <v>0</v>
      </c>
      <c r="AE27" s="55">
        <f t="shared" si="2"/>
        <v>0.27794584957438256</v>
      </c>
      <c r="AF27" s="56">
        <f>SUM('Flash Report'!$D27)-SUM('Flash Report'!$M27:$W27)</f>
        <v>3469.1000000000004</v>
      </c>
      <c r="AG27" s="10"/>
      <c r="AH27" s="10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s="12" customFormat="1" ht="21" customHeight="1" thickTop="1" thickBot="1" x14ac:dyDescent="0.25">
      <c r="A28" s="9"/>
      <c r="B28" s="47">
        <f t="shared" si="9"/>
        <v>45284</v>
      </c>
      <c r="C28" s="73">
        <f t="shared" si="0"/>
        <v>45284</v>
      </c>
      <c r="D28" s="67">
        <v>13789.28</v>
      </c>
      <c r="E28" s="67">
        <v>579.35</v>
      </c>
      <c r="F28" s="68">
        <v>668.68</v>
      </c>
      <c r="G28" s="68">
        <v>116.2</v>
      </c>
      <c r="H28" s="68">
        <v>59.02</v>
      </c>
      <c r="I28" s="68">
        <v>878.87</v>
      </c>
      <c r="J28" s="68">
        <v>11518.24</v>
      </c>
      <c r="K28" s="68">
        <v>0</v>
      </c>
      <c r="L28" s="48">
        <f>SUM('Flash Report'!$E28:$K28)</f>
        <v>13820.36</v>
      </c>
      <c r="M28" s="67"/>
      <c r="N28" s="68"/>
      <c r="O28" s="68"/>
      <c r="P28" s="68"/>
      <c r="Q28" s="68"/>
      <c r="R28" s="68"/>
      <c r="S28" s="68"/>
      <c r="T28" s="66">
        <v>4516.13</v>
      </c>
      <c r="U28" s="67">
        <v>3796.58</v>
      </c>
      <c r="V28" s="66">
        <v>1767.81</v>
      </c>
      <c r="W28" s="78">
        <f>SUM('Flash Report'!$U28:$V28)*0.1</f>
        <v>556.43899999999996</v>
      </c>
      <c r="X28" s="49">
        <f t="shared" si="3"/>
        <v>0</v>
      </c>
      <c r="Y28" s="50">
        <f t="shared" si="4"/>
        <v>0</v>
      </c>
      <c r="Z28" s="50">
        <f t="shared" si="5"/>
        <v>0</v>
      </c>
      <c r="AA28" s="50">
        <f t="shared" si="6"/>
        <v>0</v>
      </c>
      <c r="AB28" s="50">
        <f t="shared" si="7"/>
        <v>0</v>
      </c>
      <c r="AC28" s="50">
        <f t="shared" si="8"/>
        <v>0</v>
      </c>
      <c r="AD28" s="50">
        <f t="shared" si="1"/>
        <v>0</v>
      </c>
      <c r="AE28" s="50">
        <f t="shared" si="2"/>
        <v>0.27532837102444796</v>
      </c>
      <c r="AF28" s="51">
        <f>SUM('Flash Report'!$D28)-SUM('Flash Report'!$M28:$W28)</f>
        <v>3152.3210000000017</v>
      </c>
      <c r="AG28" s="10"/>
      <c r="AH28" s="10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49" s="12" customFormat="1" ht="21" customHeight="1" thickTop="1" thickBot="1" x14ac:dyDescent="0.25">
      <c r="A29" s="9"/>
      <c r="B29" s="52">
        <f t="shared" si="9"/>
        <v>45285</v>
      </c>
      <c r="C29" s="74">
        <f t="shared" si="0"/>
        <v>45285</v>
      </c>
      <c r="D29" s="69">
        <v>22775.49</v>
      </c>
      <c r="E29" s="69">
        <v>1179</v>
      </c>
      <c r="F29" s="70">
        <v>1244.9000000000001</v>
      </c>
      <c r="G29" s="70">
        <v>49.8</v>
      </c>
      <c r="H29" s="70">
        <v>100.99</v>
      </c>
      <c r="I29" s="70">
        <v>1539.23</v>
      </c>
      <c r="J29" s="70">
        <v>18635.52</v>
      </c>
      <c r="K29" s="70">
        <v>70</v>
      </c>
      <c r="L29" s="53">
        <f>SUM('Flash Report'!$E29:$K29)</f>
        <v>22819.440000000002</v>
      </c>
      <c r="M29" s="69">
        <v>229.31</v>
      </c>
      <c r="N29" s="70">
        <v>204.68</v>
      </c>
      <c r="O29" s="70">
        <v>1244.8599999999999</v>
      </c>
      <c r="P29" s="70">
        <v>256.68</v>
      </c>
      <c r="Q29" s="70">
        <v>202.25</v>
      </c>
      <c r="R29" s="70">
        <v>874.79</v>
      </c>
      <c r="S29" s="70"/>
      <c r="T29" s="66">
        <v>4516.13</v>
      </c>
      <c r="U29" s="69">
        <v>6020.24</v>
      </c>
      <c r="V29" s="66">
        <v>1767.81</v>
      </c>
      <c r="W29" s="79">
        <f>SUM('Flash Report'!$U29:$V29)*0.1</f>
        <v>778.80499999999995</v>
      </c>
      <c r="X29" s="54">
        <f t="shared" si="3"/>
        <v>0.1736047497879559</v>
      </c>
      <c r="Y29" s="55">
        <f t="shared" si="4"/>
        <v>0.99996786890513278</v>
      </c>
      <c r="Z29" s="55">
        <f t="shared" si="5"/>
        <v>5.1542168674698798</v>
      </c>
      <c r="AA29" s="55">
        <f t="shared" si="6"/>
        <v>2.0026735320328748</v>
      </c>
      <c r="AB29" s="55">
        <f t="shared" si="7"/>
        <v>0.56832961935513204</v>
      </c>
      <c r="AC29" s="55">
        <f t="shared" si="8"/>
        <v>0</v>
      </c>
      <c r="AD29" s="55">
        <f t="shared" si="1"/>
        <v>1.0068279540857298E-2</v>
      </c>
      <c r="AE29" s="55">
        <f t="shared" si="2"/>
        <v>0.26432976853626416</v>
      </c>
      <c r="AF29" s="56">
        <f>SUM('Flash Report'!$D29)-SUM('Flash Report'!$M29:$W29)</f>
        <v>6679.9350000000031</v>
      </c>
      <c r="AG29" s="10"/>
      <c r="AH29" s="10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49" s="12" customFormat="1" ht="21" customHeight="1" thickTop="1" thickBot="1" x14ac:dyDescent="0.25">
      <c r="A30" s="9"/>
      <c r="B30" s="47">
        <f t="shared" si="9"/>
        <v>45286</v>
      </c>
      <c r="C30" s="73">
        <f t="shared" si="0"/>
        <v>45286</v>
      </c>
      <c r="D30" s="67">
        <v>19198.009999999998</v>
      </c>
      <c r="E30" s="67">
        <v>867.34</v>
      </c>
      <c r="F30" s="68">
        <v>944.51</v>
      </c>
      <c r="G30" s="68">
        <v>58.1</v>
      </c>
      <c r="H30" s="68">
        <v>120.67</v>
      </c>
      <c r="I30" s="68">
        <v>1405.34</v>
      </c>
      <c r="J30" s="68">
        <v>15806.23</v>
      </c>
      <c r="K30" s="68">
        <v>70</v>
      </c>
      <c r="L30" s="48">
        <f>SUM('Flash Report'!$E30:$K30)</f>
        <v>19272.189999999999</v>
      </c>
      <c r="M30" s="67">
        <v>1042.0899999999999</v>
      </c>
      <c r="N30" s="68"/>
      <c r="O30" s="68"/>
      <c r="P30" s="68"/>
      <c r="Q30" s="68"/>
      <c r="R30" s="68"/>
      <c r="S30" s="68">
        <v>7266.13</v>
      </c>
      <c r="T30" s="66">
        <v>4516.13</v>
      </c>
      <c r="U30" s="67">
        <v>4120.83</v>
      </c>
      <c r="V30" s="66">
        <v>1767.81</v>
      </c>
      <c r="W30" s="78">
        <f>SUM('Flash Report'!$U30:$V30)*0.1</f>
        <v>588.86399999999992</v>
      </c>
      <c r="X30" s="49">
        <f t="shared" si="3"/>
        <v>0</v>
      </c>
      <c r="Y30" s="50">
        <f t="shared" si="4"/>
        <v>0</v>
      </c>
      <c r="Z30" s="50">
        <f t="shared" si="5"/>
        <v>0</v>
      </c>
      <c r="AA30" s="50">
        <f t="shared" si="6"/>
        <v>0</v>
      </c>
      <c r="AB30" s="50">
        <f t="shared" si="7"/>
        <v>0</v>
      </c>
      <c r="AC30" s="50">
        <f t="shared" si="8"/>
        <v>0.45982198512218342</v>
      </c>
      <c r="AD30" s="50">
        <f t="shared" si="1"/>
        <v>5.4281146848032688E-2</v>
      </c>
      <c r="AE30" s="50">
        <f t="shared" si="2"/>
        <v>0.21464880995478178</v>
      </c>
      <c r="AF30" s="51">
        <f>SUM('Flash Report'!$D30)-SUM('Flash Report'!$M30:$W30)</f>
        <v>-103.8440000000046</v>
      </c>
      <c r="AG30" s="10"/>
      <c r="AH30" s="10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49" s="12" customFormat="1" ht="21" customHeight="1" thickTop="1" thickBot="1" x14ac:dyDescent="0.25">
      <c r="A31" s="9"/>
      <c r="B31" s="52">
        <f t="shared" si="9"/>
        <v>45287</v>
      </c>
      <c r="C31" s="74">
        <f t="shared" si="0"/>
        <v>45287</v>
      </c>
      <c r="D31" s="69">
        <v>22366.080000000002</v>
      </c>
      <c r="E31" s="69">
        <v>1061.8</v>
      </c>
      <c r="F31" s="70">
        <v>1293.5899999999999</v>
      </c>
      <c r="G31" s="70">
        <v>99.6</v>
      </c>
      <c r="H31" s="70">
        <v>107.84</v>
      </c>
      <c r="I31" s="70">
        <v>1352.03</v>
      </c>
      <c r="J31" s="70">
        <v>18489.18</v>
      </c>
      <c r="K31" s="70">
        <v>55</v>
      </c>
      <c r="L31" s="53">
        <f>SUM('Flash Report'!$E31:$K31)</f>
        <v>22459.040000000001</v>
      </c>
      <c r="M31" s="69">
        <v>576.28</v>
      </c>
      <c r="N31" s="70">
        <v>760.3</v>
      </c>
      <c r="O31" s="70"/>
      <c r="P31" s="70"/>
      <c r="Q31" s="70"/>
      <c r="R31" s="70"/>
      <c r="S31" s="70">
        <v>9104.0400000000009</v>
      </c>
      <c r="T31" s="66">
        <v>4516.13</v>
      </c>
      <c r="U31" s="69">
        <v>4412.13</v>
      </c>
      <c r="V31" s="66">
        <v>1767.81</v>
      </c>
      <c r="W31" s="79">
        <f>SUM('Flash Report'!$U31:$V31)*0.1</f>
        <v>617.99400000000014</v>
      </c>
      <c r="X31" s="54">
        <f t="shared" si="3"/>
        <v>0.71604822000376722</v>
      </c>
      <c r="Y31" s="55">
        <f t="shared" si="4"/>
        <v>0</v>
      </c>
      <c r="Z31" s="55">
        <f t="shared" si="5"/>
        <v>0</v>
      </c>
      <c r="AA31" s="55">
        <f t="shared" si="6"/>
        <v>0</v>
      </c>
      <c r="AB31" s="55">
        <f t="shared" si="7"/>
        <v>0</v>
      </c>
      <c r="AC31" s="55">
        <f t="shared" si="8"/>
        <v>0.49341127578555771</v>
      </c>
      <c r="AD31" s="55">
        <f t="shared" si="1"/>
        <v>2.5765802500929975E-2</v>
      </c>
      <c r="AE31" s="55">
        <f t="shared" si="2"/>
        <v>0.19726881062752166</v>
      </c>
      <c r="AF31" s="56">
        <f>SUM('Flash Report'!$D31)-SUM('Flash Report'!$M31:$W31)</f>
        <v>611.39600000000064</v>
      </c>
      <c r="AG31" s="10"/>
      <c r="AH31" s="10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49" s="12" customFormat="1" ht="21" customHeight="1" thickTop="1" thickBot="1" x14ac:dyDescent="0.25">
      <c r="A32" s="9"/>
      <c r="B32" s="47">
        <f t="shared" si="9"/>
        <v>45288</v>
      </c>
      <c r="C32" s="73">
        <f t="shared" si="0"/>
        <v>45288</v>
      </c>
      <c r="D32" s="67">
        <v>24132.26</v>
      </c>
      <c r="E32" s="67">
        <v>1088.8699999999999</v>
      </c>
      <c r="F32" s="68">
        <v>1352.69</v>
      </c>
      <c r="G32" s="68">
        <v>66.400000000000006</v>
      </c>
      <c r="H32" s="68">
        <v>93.85</v>
      </c>
      <c r="I32" s="68">
        <v>1430.77</v>
      </c>
      <c r="J32" s="68">
        <v>20164.990000000002</v>
      </c>
      <c r="K32" s="68">
        <v>70</v>
      </c>
      <c r="L32" s="48">
        <f>SUM('Flash Report'!$E32:$K32)</f>
        <v>24267.57</v>
      </c>
      <c r="M32" s="67">
        <v>1716.44</v>
      </c>
      <c r="N32" s="68"/>
      <c r="O32" s="68"/>
      <c r="P32" s="68"/>
      <c r="Q32" s="68"/>
      <c r="R32" s="68"/>
      <c r="S32" s="68"/>
      <c r="T32" s="66">
        <v>4516.13</v>
      </c>
      <c r="U32" s="67">
        <v>5201.91</v>
      </c>
      <c r="V32" s="66">
        <v>1767.81</v>
      </c>
      <c r="W32" s="78">
        <f>SUM('Flash Report'!$U32:$V32)*0.1</f>
        <v>696.97199999999998</v>
      </c>
      <c r="X32" s="49">
        <f t="shared" si="3"/>
        <v>0</v>
      </c>
      <c r="Y32" s="50">
        <f t="shared" si="4"/>
        <v>0</v>
      </c>
      <c r="Z32" s="50">
        <f t="shared" si="5"/>
        <v>0</v>
      </c>
      <c r="AA32" s="50">
        <f t="shared" si="6"/>
        <v>0</v>
      </c>
      <c r="AB32" s="50">
        <f t="shared" si="7"/>
        <v>0</v>
      </c>
      <c r="AC32" s="50">
        <f t="shared" si="8"/>
        <v>0</v>
      </c>
      <c r="AD32" s="50">
        <f t="shared" si="1"/>
        <v>7.1126367774920388E-2</v>
      </c>
      <c r="AE32" s="50">
        <f t="shared" si="2"/>
        <v>0.21555834389319525</v>
      </c>
      <c r="AF32" s="51">
        <f>SUM('Flash Report'!$D32)-SUM('Flash Report'!$M32:$W32)</f>
        <v>10232.998</v>
      </c>
      <c r="AG32" s="10"/>
      <c r="AH32" s="10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:49" s="12" customFormat="1" ht="21" customHeight="1" thickTop="1" thickBot="1" x14ac:dyDescent="0.25">
      <c r="A33" s="9"/>
      <c r="B33" s="52">
        <f t="shared" si="9"/>
        <v>45289</v>
      </c>
      <c r="C33" s="74">
        <f t="shared" si="0"/>
        <v>45289</v>
      </c>
      <c r="D33" s="69">
        <v>28435.33</v>
      </c>
      <c r="E33" s="69">
        <v>1102.8399999999999</v>
      </c>
      <c r="F33" s="70">
        <v>1359.2</v>
      </c>
      <c r="G33" s="70">
        <v>1102.8399999999999</v>
      </c>
      <c r="H33" s="70">
        <v>133.16</v>
      </c>
      <c r="I33" s="70">
        <v>2393.89</v>
      </c>
      <c r="J33" s="70">
        <v>23419.27</v>
      </c>
      <c r="K33" s="70">
        <v>20</v>
      </c>
      <c r="L33" s="53">
        <f>SUM('Flash Report'!$E33:$K33)</f>
        <v>29531.200000000001</v>
      </c>
      <c r="M33" s="69">
        <v>653.67999999999995</v>
      </c>
      <c r="N33" s="70"/>
      <c r="O33" s="70"/>
      <c r="P33" s="70"/>
      <c r="Q33" s="70"/>
      <c r="R33" s="70"/>
      <c r="S33" s="70">
        <v>14197.07</v>
      </c>
      <c r="T33" s="66">
        <v>4516.13</v>
      </c>
      <c r="U33" s="69">
        <v>5360.9</v>
      </c>
      <c r="V33" s="66">
        <v>1767.81</v>
      </c>
      <c r="W33" s="79">
        <f>SUM('Flash Report'!$U33:$V33)*0.1</f>
        <v>712.87099999999998</v>
      </c>
      <c r="X33" s="54">
        <f t="shared" si="3"/>
        <v>0</v>
      </c>
      <c r="Y33" s="55">
        <f t="shared" si="4"/>
        <v>0</v>
      </c>
      <c r="Z33" s="55">
        <f t="shared" si="5"/>
        <v>0</v>
      </c>
      <c r="AA33" s="55">
        <f t="shared" si="6"/>
        <v>0</v>
      </c>
      <c r="AB33" s="55">
        <f t="shared" si="7"/>
        <v>0</v>
      </c>
      <c r="AC33" s="55">
        <f t="shared" si="8"/>
        <v>0.63540329582785071</v>
      </c>
      <c r="AD33" s="55">
        <f t="shared" si="1"/>
        <v>2.29883036349499E-2</v>
      </c>
      <c r="AE33" s="55">
        <f t="shared" si="2"/>
        <v>0.1885295510901403</v>
      </c>
      <c r="AF33" s="56">
        <f>SUM('Flash Report'!$D33)-SUM('Flash Report'!$M33:$W33)</f>
        <v>1226.8690000000024</v>
      </c>
      <c r="AG33" s="10"/>
      <c r="AH33" s="10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 s="12" customFormat="1" ht="21" customHeight="1" thickTop="1" thickBot="1" x14ac:dyDescent="0.25">
      <c r="A34" s="9"/>
      <c r="B34" s="47">
        <f t="shared" si="9"/>
        <v>45290</v>
      </c>
      <c r="C34" s="73">
        <f t="shared" si="0"/>
        <v>45290</v>
      </c>
      <c r="D34" s="67">
        <v>29390.85</v>
      </c>
      <c r="E34" s="67">
        <v>1130.0899999999999</v>
      </c>
      <c r="F34" s="68">
        <v>1480.07</v>
      </c>
      <c r="G34" s="68">
        <v>132.80000000000001</v>
      </c>
      <c r="H34" s="68">
        <v>276.07</v>
      </c>
      <c r="I34" s="68">
        <v>2314.65</v>
      </c>
      <c r="J34" s="68">
        <v>24117.5</v>
      </c>
      <c r="K34" s="68">
        <v>0</v>
      </c>
      <c r="L34" s="48">
        <f>SUM('Flash Report'!$E34:$K34)</f>
        <v>29451.18</v>
      </c>
      <c r="M34" s="67"/>
      <c r="N34" s="68"/>
      <c r="O34" s="68"/>
      <c r="P34" s="68"/>
      <c r="Q34" s="68"/>
      <c r="R34" s="68"/>
      <c r="S34" s="68"/>
      <c r="T34" s="66">
        <v>4516.13</v>
      </c>
      <c r="U34" s="67">
        <v>5374.48</v>
      </c>
      <c r="V34" s="66">
        <v>1767.81</v>
      </c>
      <c r="W34" s="78">
        <f>SUM('Flash Report'!$U34:$V34)*0.1</f>
        <v>714.22899999999993</v>
      </c>
      <c r="X34" s="49">
        <f t="shared" si="3"/>
        <v>0</v>
      </c>
      <c r="Y34" s="50">
        <f t="shared" si="4"/>
        <v>0</v>
      </c>
      <c r="Z34" s="50">
        <f t="shared" si="5"/>
        <v>0</v>
      </c>
      <c r="AA34" s="50">
        <f t="shared" si="6"/>
        <v>0</v>
      </c>
      <c r="AB34" s="50">
        <f t="shared" si="7"/>
        <v>0</v>
      </c>
      <c r="AC34" s="50">
        <f t="shared" si="8"/>
        <v>0</v>
      </c>
      <c r="AD34" s="50">
        <f t="shared" si="1"/>
        <v>0</v>
      </c>
      <c r="AE34" s="50">
        <f t="shared" si="2"/>
        <v>0.18286235341951662</v>
      </c>
      <c r="AF34" s="51">
        <f>SUM('Flash Report'!$D34)-SUM('Flash Report'!$M34:$W34)</f>
        <v>17018.201000000001</v>
      </c>
      <c r="AG34" s="10"/>
      <c r="AH34" s="10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 s="12" customFormat="1" ht="21" customHeight="1" thickTop="1" thickBot="1" x14ac:dyDescent="0.25">
      <c r="A35" s="9"/>
      <c r="B35" s="52">
        <f t="shared" si="9"/>
        <v>45291</v>
      </c>
      <c r="C35" s="74">
        <f t="shared" si="0"/>
        <v>45291</v>
      </c>
      <c r="D35" s="69">
        <v>30537.41</v>
      </c>
      <c r="E35" s="69">
        <v>1119.22</v>
      </c>
      <c r="F35" s="70">
        <v>1511.97</v>
      </c>
      <c r="G35" s="70">
        <v>91.3</v>
      </c>
      <c r="H35" s="70">
        <v>196.89</v>
      </c>
      <c r="I35" s="70">
        <v>2428.04</v>
      </c>
      <c r="J35" s="70">
        <v>25202.29</v>
      </c>
      <c r="K35" s="70">
        <v>0</v>
      </c>
      <c r="L35" s="53">
        <f>SUM('Flash Report'!$E35:$K35)</f>
        <v>30549.71</v>
      </c>
      <c r="M35" s="69"/>
      <c r="N35" s="70"/>
      <c r="O35" s="70"/>
      <c r="P35" s="70"/>
      <c r="Q35" s="70"/>
      <c r="R35" s="70"/>
      <c r="S35" s="70"/>
      <c r="T35" s="66">
        <v>4516.13</v>
      </c>
      <c r="U35" s="69">
        <v>4746.62</v>
      </c>
      <c r="V35" s="66">
        <v>1767.81</v>
      </c>
      <c r="W35" s="79">
        <f>SUM('Flash Report'!$U35:$V35)*0.1</f>
        <v>651.4430000000001</v>
      </c>
      <c r="X35" s="54">
        <f t="shared" si="3"/>
        <v>0</v>
      </c>
      <c r="Y35" s="55">
        <f t="shared" si="4"/>
        <v>0</v>
      </c>
      <c r="Z35" s="55">
        <f t="shared" si="5"/>
        <v>0</v>
      </c>
      <c r="AA35" s="55">
        <f t="shared" si="6"/>
        <v>0</v>
      </c>
      <c r="AB35" s="55">
        <f t="shared" si="7"/>
        <v>0</v>
      </c>
      <c r="AC35" s="55">
        <f t="shared" si="8"/>
        <v>0</v>
      </c>
      <c r="AD35" s="55">
        <f t="shared" si="1"/>
        <v>0</v>
      </c>
      <c r="AE35" s="55">
        <f t="shared" si="2"/>
        <v>0.15543623378668983</v>
      </c>
      <c r="AF35" s="56">
        <f>SUM('Flash Report'!$D35)-SUM('Flash Report'!$M35:$W35)</f>
        <v>18855.406999999999</v>
      </c>
      <c r="AG35" s="10"/>
      <c r="AH35" s="10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ht="29.25" customHeight="1" thickBot="1" x14ac:dyDescent="0.3">
      <c r="A36" s="1"/>
      <c r="B36" s="57" t="s">
        <v>20</v>
      </c>
      <c r="C36" s="57"/>
      <c r="D36" s="58">
        <f>SUM(D5:D35)</f>
        <v>493651.02999999997</v>
      </c>
      <c r="E36" s="58">
        <f t="shared" ref="E36:J36" si="10">SUM(E5:E35)</f>
        <v>21135.66</v>
      </c>
      <c r="F36" s="58">
        <v>19987.14</v>
      </c>
      <c r="G36" s="58">
        <v>9260.84</v>
      </c>
      <c r="H36" s="58">
        <f t="shared" si="10"/>
        <v>2672.04</v>
      </c>
      <c r="I36" s="58">
        <f t="shared" si="10"/>
        <v>34156.119999999995</v>
      </c>
      <c r="J36" s="58">
        <f t="shared" si="10"/>
        <v>409142.05</v>
      </c>
      <c r="K36" s="58">
        <f>SUM(K5:K35)</f>
        <v>460</v>
      </c>
      <c r="L36" s="58">
        <f>SUM(L5:L35)</f>
        <v>496813.84999999992</v>
      </c>
      <c r="M36" s="58">
        <f>SUBTOTAL(109,'Flash Report'!$M$5:$M$35)</f>
        <v>32824.07</v>
      </c>
      <c r="N36" s="59">
        <f>SUBTOTAL(109,'Flash Report'!$N$5:$N$35)</f>
        <v>3355.5299999999997</v>
      </c>
      <c r="O36" s="59">
        <f>SUBTOTAL(109,'Flash Report'!$O$5:$O$35)</f>
        <v>4565.9399999999996</v>
      </c>
      <c r="P36" s="59">
        <f>SUBTOTAL(109,'Flash Report'!$P$5:$P$35)</f>
        <v>2325.7999999999997</v>
      </c>
      <c r="Q36" s="59">
        <f>SUBTOTAL(109,'Flash Report'!$Q$5:$Q$35)</f>
        <v>850.5</v>
      </c>
      <c r="R36" s="59">
        <f>SUBTOTAL(109,'Flash Report'!$R$5:$R$35)</f>
        <v>3970.5</v>
      </c>
      <c r="S36" s="59">
        <f>SUBTOTAL(109,'Flash Report'!$S$5:$S$35)</f>
        <v>116685.63</v>
      </c>
      <c r="T36" s="59">
        <f>SUM(T5:T35)</f>
        <v>140000.03000000006</v>
      </c>
      <c r="U36" s="59">
        <f>SUBTOTAL(109,'Flash Report'!$U$5:$U$35)</f>
        <v>132634.74000000002</v>
      </c>
      <c r="V36" s="59">
        <f>SUBTOTAL(109,'Flash Report'!$V$5:$V$35)</f>
        <v>54802.109999999979</v>
      </c>
      <c r="W36" s="59">
        <f>SUBTOTAL(109,'Flash Report'!$W$5:$W$35)</f>
        <v>18743.684999999998</v>
      </c>
      <c r="X36" s="60">
        <f t="shared" si="3"/>
        <v>0.15876154328750555</v>
      </c>
      <c r="Y36" s="61">
        <f t="shared" si="4"/>
        <v>0.22844388942089763</v>
      </c>
      <c r="Z36" s="61">
        <f t="shared" si="5"/>
        <v>0.25114352477744994</v>
      </c>
      <c r="AA36" s="61">
        <f t="shared" si="6"/>
        <v>0.31829613329141782</v>
      </c>
      <c r="AB36" s="61">
        <f t="shared" si="7"/>
        <v>0.11624563914168239</v>
      </c>
      <c r="AC36" s="76">
        <f t="shared" si="8"/>
        <v>0.2870924393789448</v>
      </c>
      <c r="AD36" s="62">
        <f t="shared" si="1"/>
        <v>6.6492457232389446E-2</v>
      </c>
      <c r="AE36" s="62">
        <f t="shared" si="2"/>
        <v>0.26868117747065173</v>
      </c>
      <c r="AF36" s="63">
        <f>SUM('Flash Report'!$D36)-SUM('Flash Report'!$M36:$W36)</f>
        <v>-17107.505000000121</v>
      </c>
      <c r="AG36" s="3"/>
      <c r="AH36" s="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t="19.5" customHeight="1" thickBot="1" x14ac:dyDescent="0.3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13" t="s">
        <v>21</v>
      </c>
      <c r="Y37" s="14" t="s">
        <v>42</v>
      </c>
      <c r="Z37" s="14" t="s">
        <v>43</v>
      </c>
      <c r="AA37" s="14" t="s">
        <v>6</v>
      </c>
      <c r="AB37" s="14" t="s">
        <v>22</v>
      </c>
      <c r="AC37" s="14" t="s">
        <v>8</v>
      </c>
      <c r="AD37" s="15" t="s">
        <v>23</v>
      </c>
      <c r="AE37" s="16" t="s">
        <v>24</v>
      </c>
      <c r="AG37" s="3"/>
      <c r="AH37" s="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s="22" customFormat="1" ht="19.5" customHeight="1" thickBot="1" x14ac:dyDescent="0.45">
      <c r="A38" s="18"/>
      <c r="B38" s="92" t="s">
        <v>25</v>
      </c>
      <c r="C38" s="92"/>
      <c r="D38" s="93"/>
      <c r="E38" s="19"/>
      <c r="F38" s="19"/>
      <c r="G38" s="19"/>
      <c r="H38" s="19"/>
      <c r="I38" s="19"/>
      <c r="J38" s="64"/>
      <c r="K38" s="64"/>
      <c r="L38" s="92" t="s">
        <v>26</v>
      </c>
      <c r="M38" s="93"/>
      <c r="N38" s="19"/>
      <c r="O38" s="92" t="s">
        <v>27</v>
      </c>
      <c r="P38" s="103"/>
      <c r="Q38" s="104"/>
      <c r="R38" s="19"/>
      <c r="S38" s="19"/>
      <c r="T38" s="19"/>
      <c r="U38" s="94" t="s">
        <v>28</v>
      </c>
      <c r="V38" s="95"/>
      <c r="W38" s="95"/>
      <c r="X38" s="20">
        <f>SUM(('Flash Report'!$N$36-Q39)/'Flash Report'!$E$36)</f>
        <v>0.15876154328750555</v>
      </c>
      <c r="Y38" s="20">
        <f>SUM(('Flash Report'!$O$36-Q40)/'Flash Report'!$F$36)</f>
        <v>0.21680640651939193</v>
      </c>
      <c r="Z38" s="20">
        <f>SUM(('Flash Report'!$P$36-Q40)/'Flash Report'!$G$36)</f>
        <v>0.22602701266839723</v>
      </c>
      <c r="AA38" s="20">
        <f>SUM(('Flash Report'!$Q$36-Q42)/'Flash Report'!$H$36)</f>
        <v>0.31829613329141782</v>
      </c>
      <c r="AB38" s="20">
        <f>SUM(('Flash Report'!$R$36-Q43)/'Flash Report'!$I$36)</f>
        <v>0.11624563914168239</v>
      </c>
      <c r="AC38" s="20">
        <f>SUM(('Flash Report'!$S$36-Q44)/(D36-E36-F36-G36-H36-I36))</f>
        <v>0.27815275115052257</v>
      </c>
      <c r="AD38" s="20">
        <f>SUM('Flash Report'!$AD$36)</f>
        <v>6.6492457232389446E-2</v>
      </c>
      <c r="AE38" s="20">
        <f>SUM('Flash Report'!$AE$36)</f>
        <v>0.26868117747065173</v>
      </c>
      <c r="AF38" s="19"/>
      <c r="AG38" s="19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</row>
    <row r="39" spans="1:49" ht="17.25" customHeight="1" thickBot="1" x14ac:dyDescent="0.3">
      <c r="A39" s="1"/>
      <c r="B39" s="26" t="s">
        <v>29</v>
      </c>
      <c r="C39" s="26"/>
      <c r="D39" s="23">
        <v>2471.9499999999998</v>
      </c>
      <c r="E39" s="19"/>
      <c r="F39" s="19"/>
      <c r="G39" s="19"/>
      <c r="H39" s="19"/>
      <c r="I39" s="19"/>
      <c r="J39" s="96" t="s">
        <v>29</v>
      </c>
      <c r="K39" s="96"/>
      <c r="L39" s="97"/>
      <c r="M39" s="23">
        <v>2471.9499999999998</v>
      </c>
      <c r="N39" s="19"/>
      <c r="O39" s="96" t="s">
        <v>29</v>
      </c>
      <c r="P39" s="97"/>
      <c r="Q39" s="24">
        <f t="shared" ref="Q39:Q44" si="11">D39-M39</f>
        <v>0</v>
      </c>
      <c r="S39" s="19"/>
      <c r="T39" s="19"/>
      <c r="U39" s="105" t="s">
        <v>48</v>
      </c>
      <c r="V39" s="106"/>
      <c r="W39" s="106"/>
      <c r="X39" s="71">
        <v>0.5</v>
      </c>
      <c r="Y39" s="71">
        <v>0.25</v>
      </c>
      <c r="Z39" s="71">
        <v>0.25</v>
      </c>
      <c r="AA39" s="71">
        <v>0.3</v>
      </c>
      <c r="AB39" s="71">
        <v>0.16</v>
      </c>
      <c r="AC39" s="71">
        <v>0.32</v>
      </c>
      <c r="AD39" s="71">
        <v>0.05</v>
      </c>
      <c r="AE39" s="71">
        <v>0.25</v>
      </c>
      <c r="AF39" s="6"/>
      <c r="AG39" s="3"/>
      <c r="AH39" s="3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t="17.25" customHeight="1" thickBot="1" x14ac:dyDescent="0.3">
      <c r="A40" s="1"/>
      <c r="B40" s="26" t="s">
        <v>34</v>
      </c>
      <c r="C40" s="26"/>
      <c r="D40" s="25">
        <v>1155.46</v>
      </c>
      <c r="E40" s="2"/>
      <c r="F40" s="2"/>
      <c r="G40" s="2"/>
      <c r="H40" s="2"/>
      <c r="I40" s="2"/>
      <c r="J40" s="96" t="s">
        <v>34</v>
      </c>
      <c r="K40" s="96"/>
      <c r="L40" s="107"/>
      <c r="M40" s="25">
        <v>922.86</v>
      </c>
      <c r="N40" s="2"/>
      <c r="O40" s="96" t="s">
        <v>34</v>
      </c>
      <c r="P40" s="107"/>
      <c r="Q40" s="24">
        <f t="shared" si="11"/>
        <v>232.60000000000002</v>
      </c>
      <c r="R40" s="19"/>
      <c r="S40" s="2"/>
      <c r="T40" s="2"/>
      <c r="U40" s="94" t="s">
        <v>30</v>
      </c>
      <c r="V40" s="95"/>
      <c r="W40" s="95"/>
      <c r="X40" s="20">
        <f>SUM(X38-X39)</f>
        <v>-0.34123845671249442</v>
      </c>
      <c r="Y40" s="20">
        <f t="shared" ref="Y40:AE40" si="12">SUM(Y38-Y39)</f>
        <v>-3.3193593480608075E-2</v>
      </c>
      <c r="Z40" s="20">
        <f t="shared" si="12"/>
        <v>-2.3972987331602774E-2</v>
      </c>
      <c r="AA40" s="20">
        <f t="shared" si="12"/>
        <v>1.8296133291417827E-2</v>
      </c>
      <c r="AB40" s="20">
        <f t="shared" si="12"/>
        <v>-4.3754360858317617E-2</v>
      </c>
      <c r="AC40" s="20">
        <f>SUM(AC38-AC39)</f>
        <v>-4.1847248849477436E-2</v>
      </c>
      <c r="AD40" s="20">
        <f t="shared" si="12"/>
        <v>1.6492457232389443E-2</v>
      </c>
      <c r="AE40" s="20">
        <f t="shared" si="12"/>
        <v>1.8681177470651733E-2</v>
      </c>
      <c r="AF40" s="6"/>
      <c r="AG40" s="3"/>
      <c r="AH40" s="3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t="17.25" customHeight="1" thickBot="1" x14ac:dyDescent="0.3">
      <c r="A41" s="1"/>
      <c r="B41" s="27" t="s">
        <v>44</v>
      </c>
      <c r="C41" s="27"/>
      <c r="D41" s="28">
        <v>632.21</v>
      </c>
      <c r="E41" s="2"/>
      <c r="F41" s="2"/>
      <c r="G41" s="2"/>
      <c r="H41" s="2"/>
      <c r="I41" s="2"/>
      <c r="J41" s="26"/>
      <c r="K41" s="26"/>
      <c r="L41" s="27" t="s">
        <v>44</v>
      </c>
      <c r="M41" s="28">
        <v>1125.28</v>
      </c>
      <c r="N41" s="2"/>
      <c r="O41" s="26"/>
      <c r="P41" s="27" t="s">
        <v>44</v>
      </c>
      <c r="Q41" s="24">
        <f t="shared" si="11"/>
        <v>-493.06999999999994</v>
      </c>
      <c r="R41" s="19"/>
      <c r="S41" s="2"/>
      <c r="T41" s="2"/>
      <c r="U41" s="29"/>
      <c r="V41" s="29"/>
      <c r="W41" s="29"/>
      <c r="X41" s="30"/>
      <c r="Y41" s="30"/>
      <c r="Z41" s="30"/>
      <c r="AA41" s="30"/>
      <c r="AB41" s="30"/>
      <c r="AC41" s="30"/>
      <c r="AD41" s="30"/>
      <c r="AE41" s="30"/>
      <c r="AF41" s="6"/>
      <c r="AG41" s="3"/>
      <c r="AH41" s="3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t="17.25" customHeight="1" thickBot="1" x14ac:dyDescent="0.3">
      <c r="A42" s="1"/>
      <c r="B42" s="26" t="s">
        <v>31</v>
      </c>
      <c r="C42" s="26"/>
      <c r="D42" s="25">
        <v>371.63</v>
      </c>
      <c r="E42" s="2"/>
      <c r="F42" s="2"/>
      <c r="G42" s="2"/>
      <c r="H42" s="2"/>
      <c r="I42" s="2"/>
      <c r="J42" s="96" t="s">
        <v>31</v>
      </c>
      <c r="K42" s="96"/>
      <c r="L42" s="97"/>
      <c r="M42" s="25">
        <v>371.63</v>
      </c>
      <c r="N42" s="2"/>
      <c r="O42" s="96" t="s">
        <v>31</v>
      </c>
      <c r="P42" s="97"/>
      <c r="Q42" s="24">
        <f t="shared" si="11"/>
        <v>0</v>
      </c>
      <c r="R42" s="2"/>
      <c r="S42" s="2"/>
      <c r="T42" s="2"/>
      <c r="U42" s="2"/>
      <c r="V42" s="2"/>
      <c r="W42" s="2"/>
      <c r="X42" s="5"/>
      <c r="Y42" s="5"/>
      <c r="Z42" s="5"/>
      <c r="AA42" s="5"/>
      <c r="AB42" s="5"/>
      <c r="AC42" s="5"/>
      <c r="AD42" s="5"/>
      <c r="AE42" s="5"/>
      <c r="AF42" s="6"/>
      <c r="AG42" s="3"/>
      <c r="AH42" s="3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t="17.25" customHeight="1" thickBot="1" x14ac:dyDescent="0.3">
      <c r="A43" s="1"/>
      <c r="B43" s="26" t="s">
        <v>32</v>
      </c>
      <c r="C43" s="26"/>
      <c r="D43" s="28">
        <v>6416.04</v>
      </c>
      <c r="E43" s="2"/>
      <c r="F43" s="2"/>
      <c r="G43" s="2"/>
      <c r="H43" s="2"/>
      <c r="I43" s="2"/>
      <c r="J43" s="96" t="s">
        <v>32</v>
      </c>
      <c r="K43" s="96"/>
      <c r="L43" s="97"/>
      <c r="M43" s="28">
        <v>6416.04</v>
      </c>
      <c r="N43" s="2"/>
      <c r="O43" s="96" t="s">
        <v>32</v>
      </c>
      <c r="P43" s="97"/>
      <c r="Q43" s="24">
        <f t="shared" si="11"/>
        <v>0</v>
      </c>
      <c r="R43" s="2"/>
      <c r="S43" s="2"/>
      <c r="T43" s="2"/>
      <c r="U43" s="2"/>
      <c r="V43" s="2"/>
      <c r="W43" s="2"/>
      <c r="X43" s="5"/>
      <c r="Y43" s="5"/>
      <c r="Z43" s="5"/>
      <c r="AA43" s="5"/>
      <c r="AB43" s="5"/>
      <c r="AC43" s="5"/>
      <c r="AD43" s="5"/>
      <c r="AE43" s="5"/>
      <c r="AF43" s="6"/>
      <c r="AG43" s="3"/>
      <c r="AH43" s="3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7.25" customHeight="1" thickBot="1" x14ac:dyDescent="0.3">
      <c r="A44" s="1"/>
      <c r="B44" s="26" t="s">
        <v>33</v>
      </c>
      <c r="C44" s="26"/>
      <c r="D44" s="25">
        <v>35505.519999999997</v>
      </c>
      <c r="E44" s="2"/>
      <c r="F44" s="2"/>
      <c r="G44" s="2"/>
      <c r="H44" s="2"/>
      <c r="I44" s="2"/>
      <c r="J44" s="96" t="s">
        <v>33</v>
      </c>
      <c r="K44" s="96"/>
      <c r="L44" s="97"/>
      <c r="M44" s="25">
        <v>31872.080000000002</v>
      </c>
      <c r="N44" s="2"/>
      <c r="O44" s="96" t="s">
        <v>33</v>
      </c>
      <c r="P44" s="97"/>
      <c r="Q44" s="24">
        <f t="shared" si="11"/>
        <v>3633.4399999999951</v>
      </c>
      <c r="S44" s="2"/>
      <c r="T44" s="2"/>
      <c r="U44" s="2"/>
      <c r="V44" s="2"/>
      <c r="W44" s="2"/>
      <c r="X44" s="5"/>
      <c r="Y44" s="5"/>
      <c r="Z44" s="5"/>
      <c r="AA44" s="5"/>
      <c r="AB44" s="5"/>
      <c r="AC44" s="5"/>
      <c r="AD44" s="5"/>
      <c r="AE44" s="5"/>
      <c r="AF44" s="6"/>
      <c r="AG44" s="3"/>
      <c r="AH44" s="3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5"/>
      <c r="Y45" s="5"/>
      <c r="Z45" s="5"/>
      <c r="AA45" s="5"/>
      <c r="AB45" s="5"/>
      <c r="AC45" s="5"/>
      <c r="AD45" s="5"/>
      <c r="AE45" s="5"/>
      <c r="AF45" s="6"/>
      <c r="AG45" s="3"/>
      <c r="AH45" s="3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5"/>
      <c r="Y46" s="5"/>
      <c r="Z46" s="5"/>
      <c r="AA46" s="5"/>
      <c r="AB46" s="5"/>
      <c r="AC46" s="5"/>
      <c r="AD46" s="5"/>
      <c r="AE46" s="5"/>
      <c r="AF46" s="6"/>
      <c r="AG46" s="3"/>
      <c r="AH46" s="3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5"/>
      <c r="Y47" s="5"/>
      <c r="Z47" s="5"/>
      <c r="AA47" s="5"/>
      <c r="AB47" s="5"/>
      <c r="AC47" s="5"/>
      <c r="AD47" s="5"/>
      <c r="AE47" s="5"/>
      <c r="AF47" s="6"/>
      <c r="AG47" s="3"/>
      <c r="AH47" s="3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5"/>
      <c r="Y48" s="5"/>
      <c r="Z48" s="5"/>
      <c r="AA48" s="5"/>
      <c r="AB48" s="5"/>
      <c r="AC48" s="5"/>
      <c r="AD48" s="5"/>
      <c r="AE48" s="5"/>
      <c r="AF48" s="6"/>
      <c r="AG48" s="3"/>
      <c r="AH48" s="3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5"/>
      <c r="Y49" s="5"/>
      <c r="Z49" s="5"/>
      <c r="AA49" s="5"/>
      <c r="AB49" s="5"/>
      <c r="AC49" s="5"/>
      <c r="AD49" s="5"/>
      <c r="AE49" s="5"/>
      <c r="AF49" s="6"/>
      <c r="AG49" s="3"/>
      <c r="AH49" s="3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5"/>
      <c r="Y50" s="5"/>
      <c r="Z50" s="5"/>
      <c r="AA50" s="5"/>
      <c r="AB50" s="5"/>
      <c r="AC50" s="5"/>
      <c r="AD50" s="5"/>
      <c r="AE50" s="5"/>
      <c r="AF50" s="6"/>
      <c r="AG50" s="3"/>
      <c r="AH50" s="3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5"/>
      <c r="Y51" s="5"/>
      <c r="Z51" s="5"/>
      <c r="AA51" s="5"/>
      <c r="AB51" s="5"/>
      <c r="AC51" s="5"/>
      <c r="AD51" s="5"/>
      <c r="AE51" s="5"/>
      <c r="AF51" s="6"/>
      <c r="AG51" s="3"/>
      <c r="AH51" s="3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5"/>
      <c r="Y52" s="5"/>
      <c r="Z52" s="5"/>
      <c r="AA52" s="5"/>
      <c r="AB52" s="5"/>
      <c r="AC52" s="5"/>
      <c r="AD52" s="5"/>
      <c r="AE52" s="5"/>
      <c r="AF52" s="6"/>
      <c r="AG52" s="3"/>
      <c r="AH52" s="3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5"/>
      <c r="Y53" s="5"/>
      <c r="Z53" s="5"/>
      <c r="AA53" s="5"/>
      <c r="AB53" s="5"/>
      <c r="AC53" s="5"/>
      <c r="AD53" s="5"/>
      <c r="AE53" s="5"/>
      <c r="AF53" s="6"/>
      <c r="AG53" s="3"/>
      <c r="AH53" s="3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5"/>
      <c r="Y54" s="5"/>
      <c r="Z54" s="5"/>
      <c r="AA54" s="5"/>
      <c r="AB54" s="5"/>
      <c r="AC54" s="5"/>
      <c r="AD54" s="5"/>
      <c r="AE54" s="5"/>
      <c r="AF54" s="6"/>
      <c r="AG54" s="3"/>
      <c r="AH54" s="3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5"/>
      <c r="Y55" s="5"/>
      <c r="Z55" s="5"/>
      <c r="AA55" s="5"/>
      <c r="AB55" s="5"/>
      <c r="AC55" s="5"/>
      <c r="AD55" s="5"/>
      <c r="AE55" s="5"/>
      <c r="AF55" s="6"/>
      <c r="AG55" s="3"/>
      <c r="AH55" s="3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5"/>
      <c r="Y56" s="5"/>
      <c r="Z56" s="5"/>
      <c r="AA56" s="5"/>
      <c r="AB56" s="5"/>
      <c r="AC56" s="5"/>
      <c r="AD56" s="5"/>
      <c r="AE56" s="5"/>
      <c r="AF56" s="6"/>
      <c r="AG56" s="3"/>
      <c r="AH56" s="3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5"/>
      <c r="Y57" s="5"/>
      <c r="Z57" s="5"/>
      <c r="AA57" s="5"/>
      <c r="AB57" s="5"/>
      <c r="AC57" s="5"/>
      <c r="AD57" s="5"/>
      <c r="AE57" s="5"/>
      <c r="AF57" s="6"/>
      <c r="AG57" s="3"/>
      <c r="AH57" s="3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5"/>
      <c r="Y58" s="5"/>
      <c r="Z58" s="5"/>
      <c r="AA58" s="5"/>
      <c r="AB58" s="5"/>
      <c r="AC58" s="5"/>
      <c r="AD58" s="5"/>
      <c r="AE58" s="5"/>
      <c r="AF58" s="6"/>
      <c r="AG58" s="3"/>
      <c r="AH58" s="3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5"/>
      <c r="Y59" s="5"/>
      <c r="Z59" s="5"/>
      <c r="AA59" s="5"/>
      <c r="AB59" s="5"/>
      <c r="AC59" s="5"/>
      <c r="AD59" s="5"/>
      <c r="AE59" s="5"/>
      <c r="AF59" s="6"/>
      <c r="AG59" s="3"/>
      <c r="AH59" s="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"/>
      <c r="Y60" s="5"/>
      <c r="Z60" s="5"/>
      <c r="AA60" s="5"/>
      <c r="AB60" s="5"/>
      <c r="AC60" s="5"/>
      <c r="AD60" s="5"/>
      <c r="AE60" s="5"/>
      <c r="AF60" s="6"/>
      <c r="AG60" s="3"/>
      <c r="AH60" s="3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5"/>
      <c r="Y61" s="5"/>
      <c r="Z61" s="5"/>
      <c r="AA61" s="5"/>
      <c r="AB61" s="5"/>
      <c r="AC61" s="5"/>
      <c r="AD61" s="5"/>
      <c r="AE61" s="5"/>
      <c r="AF61" s="6"/>
      <c r="AG61" s="3"/>
      <c r="AH61" s="3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5"/>
      <c r="Y62" s="5"/>
      <c r="Z62" s="5"/>
      <c r="AA62" s="5"/>
      <c r="AB62" s="5"/>
      <c r="AC62" s="5"/>
      <c r="AD62" s="5"/>
      <c r="AE62" s="5"/>
      <c r="AF62" s="6"/>
      <c r="AG62" s="3"/>
      <c r="AH62" s="3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5"/>
      <c r="Y63" s="5"/>
      <c r="Z63" s="5"/>
      <c r="AA63" s="5"/>
      <c r="AB63" s="5"/>
      <c r="AC63" s="5"/>
      <c r="AD63" s="5"/>
      <c r="AE63" s="5"/>
      <c r="AF63" s="6"/>
      <c r="AG63" s="3"/>
      <c r="AH63" s="3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5"/>
      <c r="Y64" s="5"/>
      <c r="Z64" s="5"/>
      <c r="AA64" s="5"/>
      <c r="AB64" s="5"/>
      <c r="AC64" s="5"/>
      <c r="AD64" s="5"/>
      <c r="AE64" s="5"/>
      <c r="AF64" s="6"/>
      <c r="AG64" s="3"/>
      <c r="AH64" s="3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5"/>
      <c r="Y65" s="5"/>
      <c r="Z65" s="5"/>
      <c r="AA65" s="5"/>
      <c r="AB65" s="5"/>
      <c r="AC65" s="5"/>
      <c r="AD65" s="5"/>
      <c r="AE65" s="5"/>
      <c r="AF65" s="6"/>
      <c r="AG65" s="3"/>
      <c r="AH65" s="3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5"/>
      <c r="Y66" s="5"/>
      <c r="Z66" s="5"/>
      <c r="AA66" s="5"/>
      <c r="AB66" s="5"/>
      <c r="AC66" s="5"/>
      <c r="AD66" s="5"/>
      <c r="AE66" s="5"/>
      <c r="AF66" s="6"/>
      <c r="AG66" s="3"/>
      <c r="AH66" s="3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5"/>
      <c r="Y67" s="5"/>
      <c r="Z67" s="5"/>
      <c r="AA67" s="5"/>
      <c r="AB67" s="5"/>
      <c r="AC67" s="5"/>
      <c r="AD67" s="5"/>
      <c r="AE67" s="5"/>
      <c r="AF67" s="6"/>
      <c r="AG67" s="3"/>
      <c r="AH67" s="3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5"/>
      <c r="Y68" s="5"/>
      <c r="Z68" s="5"/>
      <c r="AA68" s="5"/>
      <c r="AB68" s="5"/>
      <c r="AC68" s="5"/>
      <c r="AD68" s="5"/>
      <c r="AE68" s="5"/>
      <c r="AF68" s="6"/>
      <c r="AG68" s="3"/>
      <c r="AH68" s="3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5"/>
      <c r="Y69" s="5"/>
      <c r="Z69" s="5"/>
      <c r="AA69" s="5"/>
      <c r="AB69" s="5"/>
      <c r="AC69" s="5"/>
      <c r="AD69" s="5"/>
      <c r="AE69" s="5"/>
      <c r="AF69" s="6"/>
      <c r="AG69" s="3"/>
      <c r="AH69" s="3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5"/>
      <c r="Y70" s="5"/>
      <c r="Z70" s="5"/>
      <c r="AA70" s="5"/>
      <c r="AB70" s="5"/>
      <c r="AC70" s="5"/>
      <c r="AD70" s="5"/>
      <c r="AE70" s="5"/>
      <c r="AF70" s="6"/>
      <c r="AG70" s="3"/>
      <c r="AH70" s="3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5"/>
      <c r="Y71" s="5"/>
      <c r="Z71" s="5"/>
      <c r="AA71" s="5"/>
      <c r="AB71" s="5"/>
      <c r="AC71" s="5"/>
      <c r="AD71" s="5"/>
      <c r="AE71" s="5"/>
      <c r="AF71" s="6"/>
      <c r="AG71" s="3"/>
      <c r="AH71" s="3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5"/>
      <c r="Y72" s="5"/>
      <c r="Z72" s="5"/>
      <c r="AA72" s="5"/>
      <c r="AB72" s="5"/>
      <c r="AC72" s="5"/>
      <c r="AD72" s="5"/>
      <c r="AE72" s="5"/>
      <c r="AF72" s="6"/>
      <c r="AG72" s="3"/>
      <c r="AH72" s="3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5"/>
      <c r="Y73" s="5"/>
      <c r="Z73" s="5"/>
      <c r="AA73" s="5"/>
      <c r="AB73" s="5"/>
      <c r="AC73" s="5"/>
      <c r="AD73" s="5"/>
      <c r="AE73" s="5"/>
      <c r="AF73" s="6"/>
      <c r="AG73" s="3"/>
      <c r="AH73" s="3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5"/>
      <c r="Y74" s="5"/>
      <c r="Z74" s="5"/>
      <c r="AA74" s="5"/>
      <c r="AB74" s="5"/>
      <c r="AC74" s="5"/>
      <c r="AD74" s="5"/>
      <c r="AE74" s="5"/>
      <c r="AF74" s="6"/>
      <c r="AG74" s="3"/>
      <c r="AH74" s="3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"/>
      <c r="Y75" s="5"/>
      <c r="Z75" s="5"/>
      <c r="AA75" s="5"/>
      <c r="AB75" s="5"/>
      <c r="AC75" s="5"/>
      <c r="AD75" s="5"/>
      <c r="AE75" s="5"/>
      <c r="AF75" s="6"/>
      <c r="AG75" s="3"/>
      <c r="AH75" s="3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5"/>
      <c r="Y76" s="5"/>
      <c r="Z76" s="5"/>
      <c r="AA76" s="5"/>
      <c r="AB76" s="5"/>
      <c r="AC76" s="5"/>
      <c r="AD76" s="5"/>
      <c r="AE76" s="5"/>
      <c r="AF76" s="6"/>
      <c r="AG76" s="3"/>
      <c r="AH76" s="3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5"/>
      <c r="Y77" s="5"/>
      <c r="Z77" s="5"/>
      <c r="AA77" s="5"/>
      <c r="AB77" s="5"/>
      <c r="AC77" s="5"/>
      <c r="AD77" s="5"/>
      <c r="AE77" s="5"/>
      <c r="AF77" s="6"/>
      <c r="AG77" s="3"/>
      <c r="AH77" s="3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5"/>
      <c r="Y78" s="5"/>
      <c r="Z78" s="5"/>
      <c r="AA78" s="5"/>
      <c r="AB78" s="5"/>
      <c r="AC78" s="5"/>
      <c r="AD78" s="5"/>
      <c r="AE78" s="5"/>
      <c r="AF78" s="6"/>
      <c r="AG78" s="3"/>
      <c r="AH78" s="3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5"/>
      <c r="Y79" s="5"/>
      <c r="Z79" s="5"/>
      <c r="AA79" s="5"/>
      <c r="AB79" s="5"/>
      <c r="AC79" s="5"/>
      <c r="AD79" s="5"/>
      <c r="AE79" s="5"/>
      <c r="AF79" s="6"/>
      <c r="AG79" s="3"/>
      <c r="AH79" s="3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5"/>
      <c r="Y80" s="5"/>
      <c r="Z80" s="5"/>
      <c r="AA80" s="5"/>
      <c r="AB80" s="5"/>
      <c r="AC80" s="5"/>
      <c r="AD80" s="5"/>
      <c r="AE80" s="5"/>
      <c r="AF80" s="6"/>
      <c r="AG80" s="3"/>
      <c r="AH80" s="3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5"/>
      <c r="Y81" s="5"/>
      <c r="Z81" s="5"/>
      <c r="AA81" s="5"/>
      <c r="AB81" s="5"/>
      <c r="AC81" s="5"/>
      <c r="AD81" s="5"/>
      <c r="AE81" s="5"/>
      <c r="AF81" s="6"/>
      <c r="AG81" s="3"/>
      <c r="AH81" s="3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5"/>
      <c r="Y82" s="5"/>
      <c r="Z82" s="5"/>
      <c r="AA82" s="5"/>
      <c r="AB82" s="5"/>
      <c r="AC82" s="5"/>
      <c r="AD82" s="5"/>
      <c r="AE82" s="5"/>
      <c r="AF82" s="6"/>
      <c r="AG82" s="3"/>
      <c r="AH82" s="3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5"/>
      <c r="Y83" s="5"/>
      <c r="Z83" s="5"/>
      <c r="AA83" s="5"/>
      <c r="AB83" s="5"/>
      <c r="AC83" s="5"/>
      <c r="AD83" s="5"/>
      <c r="AE83" s="5"/>
      <c r="AF83" s="6"/>
      <c r="AG83" s="3"/>
      <c r="AH83" s="3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5"/>
      <c r="Y84" s="5"/>
      <c r="Z84" s="5"/>
      <c r="AA84" s="5"/>
      <c r="AB84" s="5"/>
      <c r="AC84" s="5"/>
      <c r="AD84" s="5"/>
      <c r="AE84" s="5"/>
      <c r="AF84" s="6"/>
      <c r="AG84" s="3"/>
      <c r="AH84" s="3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5"/>
      <c r="Y85" s="5"/>
      <c r="Z85" s="5"/>
      <c r="AA85" s="5"/>
      <c r="AB85" s="5"/>
      <c r="AC85" s="5"/>
      <c r="AD85" s="5"/>
      <c r="AE85" s="5"/>
      <c r="AF85" s="6"/>
      <c r="AG85" s="3"/>
      <c r="AH85" s="3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</sheetData>
  <mergeCells count="22">
    <mergeCell ref="J44:L44"/>
    <mergeCell ref="O44:P44"/>
    <mergeCell ref="W1:AB1"/>
    <mergeCell ref="AC1:AF1"/>
    <mergeCell ref="L38:M38"/>
    <mergeCell ref="O38:Q38"/>
    <mergeCell ref="J42:L42"/>
    <mergeCell ref="O42:P42"/>
    <mergeCell ref="J43:L43"/>
    <mergeCell ref="O43:P43"/>
    <mergeCell ref="J39:L39"/>
    <mergeCell ref="O39:P39"/>
    <mergeCell ref="U39:W39"/>
    <mergeCell ref="J40:L40"/>
    <mergeCell ref="O40:P40"/>
    <mergeCell ref="U40:W40"/>
    <mergeCell ref="B1:M1"/>
    <mergeCell ref="E3:L3"/>
    <mergeCell ref="M3:X3"/>
    <mergeCell ref="Y3:AF3"/>
    <mergeCell ref="B38:D38"/>
    <mergeCell ref="U38:W38"/>
  </mergeCells>
  <phoneticPr fontId="9" type="noConversion"/>
  <pageMargins left="0.7" right="0.7" top="0.75" bottom="0.75" header="0.3" footer="0.3"/>
  <pageSetup scale="6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FE8DAC70AAE428348F1D4CEE2F358" ma:contentTypeVersion="13" ma:contentTypeDescription="Create a new document." ma:contentTypeScope="" ma:versionID="3b23ecaf7763c54f069b1f12ebf0f39e">
  <xsd:schema xmlns:xsd="http://www.w3.org/2001/XMLSchema" xmlns:xs="http://www.w3.org/2001/XMLSchema" xmlns:p="http://schemas.microsoft.com/office/2006/metadata/properties" xmlns:ns2="312021b4-5711-4d7a-ac8d-a428c7ba7d3f" xmlns:ns3="a251b809-ca1d-4af7-abf2-5ea5cd20a2d3" targetNamespace="http://schemas.microsoft.com/office/2006/metadata/properties" ma:root="true" ma:fieldsID="d7954da1de3b537e734294dc4180939d" ns2:_="" ns3:_="">
    <xsd:import namespace="312021b4-5711-4d7a-ac8d-a428c7ba7d3f"/>
    <xsd:import namespace="a251b809-ca1d-4af7-abf2-5ea5cd20a2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021b4-5711-4d7a-ac8d-a428c7ba7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de68208-5558-4d09-a031-c11df79e1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1b809-ca1d-4af7-abf2-5ea5cd20a2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f92497-6060-42f9-a8b7-0a475476780b}" ma:internalName="TaxCatchAll" ma:showField="CatchAllData" ma:web="a251b809-ca1d-4af7-abf2-5ea5cd20a2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8 X l O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8 X l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5 T k w o i k e 4 D g A A A B E A A A A T A B w A R m 9 y b X V s Y X M v U 2 V j d G l v b j E u b S C i G A A o o B Q A A A A A A A A A A A A A A A A A A A A A A A A A A A A r T k 0 u y c z P U w i G 0 I b W A F B L A Q I t A B Q A A g A I A P F 5 T k z h 6 F j y p w A A A P g A A A A S A A A A A A A A A A A A A A A A A A A A A A B D b 2 5 m a W c v U G F j a 2 F n Z S 5 4 b W x Q S w E C L Q A U A A I A C A D x e U 5 M D 8 r p q 6 Q A A A D p A A A A E w A A A A A A A A A A A A A A A A D z A A A A W 0 N v b n R l b n R f V H l w Z X N d L n h t b F B L A Q I t A B Q A A g A I A P F 5 T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Q y D K G Y d G R Z 9 M k V R 7 v z w A A A A A A A I A A A A A A A N m A A D A A A A A E A A A A C w k m t Q Q K s M J f 3 D g 1 + 9 u v f 4 A A A A A B I A A A K A A A A A Q A A A A 0 P Z Y B O z y t o o t R L 2 E T m U W T F A A A A A V n L p v C a 4 P i t h 0 I n X 2 w l n 7 1 Q I U e 2 k 8 U T 9 w V N B / j p J I e u l U r n U u w z a h o 6 O 4 X Y 3 p M 7 F j J t H 3 Q / O o x o 6 + h A r C x T U N S t 3 x 7 0 i g c P m z x n Q o K C o T u h Q A A A B I z s 1 4 1 m i T w p B V 1 L f T W c W Z M s A I n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2021b4-5711-4d7a-ac8d-a428c7ba7d3f">
      <Terms xmlns="http://schemas.microsoft.com/office/infopath/2007/PartnerControls"/>
    </lcf76f155ced4ddcb4097134ff3c332f>
    <TaxCatchAll xmlns="a251b809-ca1d-4af7-abf2-5ea5cd20a2d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408D5-AF97-432E-88CA-D7B453E78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2021b4-5711-4d7a-ac8d-a428c7ba7d3f"/>
    <ds:schemaRef ds:uri="a251b809-ca1d-4af7-abf2-5ea5cd20a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002C6-414F-425B-8AB2-46511BA5B48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4E69263-3F4F-4624-98B6-D55A9237B4F5}">
  <ds:schemaRefs>
    <ds:schemaRef ds:uri="http://schemas.microsoft.com/office/2006/metadata/properties"/>
    <ds:schemaRef ds:uri="http://schemas.microsoft.com/office/infopath/2007/PartnerControls"/>
    <ds:schemaRef ds:uri="312021b4-5711-4d7a-ac8d-a428c7ba7d3f"/>
    <ds:schemaRef ds:uri="a251b809-ca1d-4af7-abf2-5ea5cd20a2d3"/>
  </ds:schemaRefs>
</ds:datastoreItem>
</file>

<file path=customXml/itemProps4.xml><?xml version="1.0" encoding="utf-8"?>
<ds:datastoreItem xmlns:ds="http://schemas.openxmlformats.org/officeDocument/2006/customXml" ds:itemID="{0266772B-7E1F-43A3-B98D-D35F157755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Flash Report</vt:lpstr>
      <vt:lpstr>'Flash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Doyle</dc:creator>
  <cp:lastModifiedBy>Morgan Griffin</cp:lastModifiedBy>
  <cp:lastPrinted>2024-01-05T21:21:09Z</cp:lastPrinted>
  <dcterms:created xsi:type="dcterms:W3CDTF">2018-02-14T21:01:46Z</dcterms:created>
  <dcterms:modified xsi:type="dcterms:W3CDTF">2024-01-22T21:07:00Z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0x010100CC4FE8DAC70AAE428348F1D4CEE2F358</vt:lpwstr>
  </property>
  <property fmtid="{D5CDD505-2E9C-101B-9397-08002B2CF9AE}" pid="3" name="Order">
    <vt:r8>83200</vt:r8>
  </property>
  <property fmtid="{D5CDD505-2E9C-101B-9397-08002B2CF9AE}" pid="4" name="MediaServiceImageTags">
    <vt:lpwstr/>
  </property>
</Properties>
</file>