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20"/>
  <workbookPr/>
  <mc:AlternateContent xmlns:mc="http://schemas.openxmlformats.org/markup-compatibility/2006">
    <mc:Choice Requires="x15">
      <x15ac:absPath xmlns:x15ac="http://schemas.microsoft.com/office/spreadsheetml/2010/11/ac" url="/Users/teddytenetcha/Desktop/"/>
    </mc:Choice>
  </mc:AlternateContent>
  <xr:revisionPtr revIDLastSave="0" documentId="8_{D8FA074D-2A6A-DB47-9B4F-62FA67067D6C}" xr6:coauthVersionLast="47" xr6:coauthVersionMax="47" xr10:uidLastSave="{00000000-0000-0000-0000-000000000000}"/>
  <bookViews>
    <workbookView xWindow="0" yWindow="740" windowWidth="30240" windowHeight="18900" xr2:uid="{64B747BE-54D2-7F49-9D71-AA53B9103471}"/>
  </bookViews>
  <sheets>
    <sheet name="Financial Statements" sheetId="4" r:id="rId1"/>
    <sheet name="Cost Of Capital" sheetId="5" r:id="rId2"/>
    <sheet name="DCF" sheetId="6" r:id="rId3"/>
    <sheet name="Risk &amp; Ratios Analysis" sheetId="7" r:id="rId4"/>
  </sheets>
  <calcPr calcId="191028" iterate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J61" i="4" l="1"/>
  <c r="B67" i="6"/>
  <c r="B70" i="6" s="1"/>
  <c r="D36" i="6" l="1"/>
  <c r="E36" i="6" s="1"/>
  <c r="F36" i="6" s="1"/>
  <c r="G36" i="6" s="1"/>
  <c r="C36" i="6"/>
  <c r="Q48" i="4"/>
  <c r="B44" i="6"/>
  <c r="B77" i="6" s="1"/>
  <c r="B104" i="6"/>
  <c r="B113" i="6" s="1"/>
  <c r="A86" i="6"/>
  <c r="A85" i="6"/>
  <c r="C72" i="6"/>
  <c r="C68" i="6"/>
  <c r="C66" i="6"/>
  <c r="C64" i="6"/>
  <c r="B37" i="6" l="1"/>
  <c r="B103" i="6"/>
  <c r="B105" i="6"/>
  <c r="C37" i="6"/>
  <c r="D37" i="6" s="1"/>
  <c r="E37" i="6" s="1"/>
  <c r="F37" i="6" s="1"/>
  <c r="B76" i="6" s="1"/>
  <c r="G37" i="6" l="1"/>
  <c r="B102" i="6"/>
  <c r="B111" i="6" s="1"/>
  <c r="B112" i="6"/>
  <c r="B114" i="6"/>
  <c r="B106" i="6"/>
  <c r="B115" i="6" s="1"/>
  <c r="B10" i="6" l="1"/>
  <c r="C8" i="6"/>
  <c r="K27" i="4"/>
  <c r="J27" i="4"/>
  <c r="I27" i="4"/>
  <c r="H27" i="4"/>
  <c r="G27" i="4"/>
  <c r="F27" i="4"/>
  <c r="V42" i="4" l="1"/>
  <c r="V44" i="4" s="1"/>
  <c r="J58" i="4"/>
  <c r="I58" i="4"/>
  <c r="H58" i="4"/>
  <c r="G58" i="4"/>
  <c r="F58" i="4"/>
  <c r="F21" i="4"/>
  <c r="S49" i="4"/>
  <c r="T49" i="4"/>
  <c r="U49" i="4"/>
  <c r="V49" i="4"/>
  <c r="R49" i="4"/>
  <c r="S42" i="4"/>
  <c r="S44" i="4" s="1"/>
  <c r="T42" i="4"/>
  <c r="T44" i="4" s="1"/>
  <c r="U42" i="4"/>
  <c r="U44" i="4" s="1"/>
  <c r="R42" i="4"/>
  <c r="R44" i="4" s="1"/>
  <c r="Q23" i="4"/>
  <c r="Q24" i="4" s="1"/>
  <c r="E56" i="4"/>
  <c r="G26" i="4"/>
  <c r="F52" i="4"/>
  <c r="G52" i="4" s="1"/>
  <c r="H52" i="4" s="1"/>
  <c r="I52" i="4" s="1"/>
  <c r="J52" i="4" s="1"/>
  <c r="K14" i="4"/>
  <c r="F13" i="4"/>
  <c r="V17" i="4"/>
  <c r="G23" i="6" s="1"/>
  <c r="G27" i="6" s="1"/>
  <c r="Q7" i="4"/>
  <c r="F59" i="4"/>
  <c r="G59" i="4" s="1"/>
  <c r="E47" i="4"/>
  <c r="Q16" i="4" s="1"/>
  <c r="B17" i="6" s="1"/>
  <c r="F46" i="4"/>
  <c r="Q15" i="4" s="1"/>
  <c r="B16" i="6" s="1"/>
  <c r="F45" i="4"/>
  <c r="G45" i="4" s="1"/>
  <c r="V34" i="4" l="1"/>
  <c r="B31" i="6"/>
  <c r="Q42" i="4"/>
  <c r="D8" i="6"/>
  <c r="Q8" i="4"/>
  <c r="F9" i="4" s="1"/>
  <c r="B14" i="7" s="1"/>
  <c r="E44" i="4"/>
  <c r="F28" i="4"/>
  <c r="Q47" i="4" s="1"/>
  <c r="Q50" i="4" s="1"/>
  <c r="G13" i="4"/>
  <c r="C31" i="6" s="1"/>
  <c r="F14" i="4"/>
  <c r="G14" i="4" s="1"/>
  <c r="H26" i="4"/>
  <c r="G28" i="4"/>
  <c r="R23" i="4" s="1"/>
  <c r="R24" i="4" s="1"/>
  <c r="Q17" i="4"/>
  <c r="R7" i="4"/>
  <c r="H59" i="4"/>
  <c r="R17" i="4"/>
  <c r="R14" i="4"/>
  <c r="C15" i="6" s="1"/>
  <c r="H45" i="4"/>
  <c r="I45" i="4" s="1"/>
  <c r="J45" i="4" s="1"/>
  <c r="K45" i="4" s="1"/>
  <c r="V14" i="4" s="1"/>
  <c r="G15" i="6" s="1"/>
  <c r="B56" i="6" s="1"/>
  <c r="C56" i="6" s="1"/>
  <c r="Q14" i="4"/>
  <c r="G46" i="4"/>
  <c r="F10" i="4" l="1"/>
  <c r="B10" i="7" s="1"/>
  <c r="H14" i="4"/>
  <c r="Q18" i="4"/>
  <c r="B15" i="6"/>
  <c r="B18" i="6" s="1"/>
  <c r="B16" i="7"/>
  <c r="Q11" i="4"/>
  <c r="B12" i="7"/>
  <c r="B7" i="6"/>
  <c r="B11" i="6" s="1"/>
  <c r="E8" i="6"/>
  <c r="R34" i="4"/>
  <c r="C23" i="6"/>
  <c r="C27" i="6" s="1"/>
  <c r="Q34" i="4"/>
  <c r="B23" i="6"/>
  <c r="B27" i="6" s="1"/>
  <c r="F22" i="4"/>
  <c r="F23" i="4" s="1"/>
  <c r="F30" i="4" s="1"/>
  <c r="R47" i="4"/>
  <c r="R50" i="4" s="1"/>
  <c r="I26" i="4"/>
  <c r="H28" i="4"/>
  <c r="S23" i="4" s="1"/>
  <c r="Q37" i="4"/>
  <c r="G15" i="4"/>
  <c r="H13" i="4"/>
  <c r="Q36" i="4"/>
  <c r="F15" i="4"/>
  <c r="Q44" i="4" s="1"/>
  <c r="S7" i="4"/>
  <c r="T7" i="4" s="1"/>
  <c r="T14" i="4"/>
  <c r="E15" i="6" s="1"/>
  <c r="U14" i="4"/>
  <c r="F15" i="6" s="1"/>
  <c r="S14" i="4"/>
  <c r="D15" i="6" s="1"/>
  <c r="R8" i="4"/>
  <c r="I59" i="4"/>
  <c r="S17" i="4"/>
  <c r="R15" i="4"/>
  <c r="C16" i="6" s="1"/>
  <c r="H46" i="4"/>
  <c r="D31" i="6" l="1"/>
  <c r="I14" i="4"/>
  <c r="B12" i="6"/>
  <c r="B20" i="6"/>
  <c r="B8" i="7"/>
  <c r="B18" i="7"/>
  <c r="B20" i="7" s="1"/>
  <c r="R16" i="4"/>
  <c r="C17" i="6" s="1"/>
  <c r="C18" i="6" s="1"/>
  <c r="C7" i="6"/>
  <c r="Q38" i="4"/>
  <c r="S34" i="4"/>
  <c r="D23" i="6"/>
  <c r="D27" i="6" s="1"/>
  <c r="G8" i="6"/>
  <c r="F8" i="6"/>
  <c r="Q20" i="4"/>
  <c r="S47" i="4"/>
  <c r="S50" i="4" s="1"/>
  <c r="S24" i="4"/>
  <c r="G10" i="4"/>
  <c r="C16" i="7" s="1"/>
  <c r="G22" i="4"/>
  <c r="G9" i="4"/>
  <c r="C14" i="7" s="1"/>
  <c r="I13" i="4"/>
  <c r="E31" i="6" s="1"/>
  <c r="H15" i="4"/>
  <c r="J26" i="4"/>
  <c r="I28" i="4"/>
  <c r="T8" i="4"/>
  <c r="T10" i="4" s="1"/>
  <c r="U7" i="4"/>
  <c r="S8" i="4"/>
  <c r="R10" i="4"/>
  <c r="T17" i="4"/>
  <c r="J59" i="4"/>
  <c r="J14" i="4" s="1"/>
  <c r="I46" i="4"/>
  <c r="S15" i="4"/>
  <c r="D16" i="6" s="1"/>
  <c r="Q26" i="4" l="1"/>
  <c r="B32" i="7"/>
  <c r="C10" i="6"/>
  <c r="C11" i="6" s="1"/>
  <c r="C10" i="7"/>
  <c r="R18" i="4"/>
  <c r="C12" i="7"/>
  <c r="E10" i="6"/>
  <c r="T34" i="4"/>
  <c r="E23" i="6"/>
  <c r="E27" i="6" s="1"/>
  <c r="D7" i="6"/>
  <c r="S16" i="4"/>
  <c r="D17" i="6" s="1"/>
  <c r="D18" i="6" s="1"/>
  <c r="E7" i="6"/>
  <c r="T16" i="4"/>
  <c r="E17" i="6" s="1"/>
  <c r="B21" i="6"/>
  <c r="B24" i="6"/>
  <c r="T47" i="4"/>
  <c r="T50" i="4" s="1"/>
  <c r="T23" i="4"/>
  <c r="T24" i="4" s="1"/>
  <c r="R11" i="4"/>
  <c r="C8" i="7" s="1"/>
  <c r="G21" i="4"/>
  <c r="H22" i="4"/>
  <c r="H10" i="4"/>
  <c r="H9" i="4"/>
  <c r="D12" i="7" s="1"/>
  <c r="K26" i="4"/>
  <c r="J28" i="4"/>
  <c r="J13" i="4"/>
  <c r="F31" i="6" s="1"/>
  <c r="I15" i="4"/>
  <c r="R36" i="4"/>
  <c r="R37" i="4"/>
  <c r="T11" i="4"/>
  <c r="E8" i="7" s="1"/>
  <c r="I21" i="4"/>
  <c r="I9" i="4"/>
  <c r="E14" i="7" s="1"/>
  <c r="I22" i="4"/>
  <c r="I10" i="4"/>
  <c r="E16" i="7" s="1"/>
  <c r="V7" i="4"/>
  <c r="U8" i="4"/>
  <c r="S10" i="4"/>
  <c r="U17" i="4"/>
  <c r="K59" i="4"/>
  <c r="T15" i="4"/>
  <c r="J46" i="4"/>
  <c r="D10" i="7" l="1"/>
  <c r="E10" i="7"/>
  <c r="B26" i="6"/>
  <c r="B29" i="6" s="1"/>
  <c r="S18" i="4"/>
  <c r="Q27" i="4"/>
  <c r="Q28" i="4"/>
  <c r="E18" i="7"/>
  <c r="E20" i="7" s="1"/>
  <c r="C12" i="6"/>
  <c r="C20" i="6"/>
  <c r="F7" i="6"/>
  <c r="U16" i="4"/>
  <c r="F17" i="6" s="1"/>
  <c r="T36" i="4"/>
  <c r="D14" i="7"/>
  <c r="T37" i="4"/>
  <c r="D16" i="7"/>
  <c r="E11" i="6"/>
  <c r="E12" i="7"/>
  <c r="T18" i="4"/>
  <c r="T20" i="4" s="1"/>
  <c r="E16" i="6"/>
  <c r="E18" i="6" s="1"/>
  <c r="U10" i="4"/>
  <c r="S37" i="4"/>
  <c r="R20" i="4"/>
  <c r="G23" i="4"/>
  <c r="G30" i="4" s="1"/>
  <c r="C18" i="7"/>
  <c r="C20" i="7" s="1"/>
  <c r="U34" i="4"/>
  <c r="F23" i="6"/>
  <c r="F27" i="6" s="1"/>
  <c r="D10" i="6"/>
  <c r="D11" i="6" s="1"/>
  <c r="U47" i="4"/>
  <c r="U50" i="4" s="1"/>
  <c r="U23" i="4"/>
  <c r="U24" i="4" s="1"/>
  <c r="S11" i="4"/>
  <c r="H21" i="4"/>
  <c r="K28" i="4"/>
  <c r="J15" i="4"/>
  <c r="K13" i="4"/>
  <c r="J9" i="4"/>
  <c r="F14" i="7" s="1"/>
  <c r="J22" i="4"/>
  <c r="J10" i="4"/>
  <c r="F16" i="7" s="1"/>
  <c r="I23" i="4"/>
  <c r="S36" i="4"/>
  <c r="V8" i="4"/>
  <c r="U15" i="4"/>
  <c r="K46" i="4"/>
  <c r="V15" i="4" s="1"/>
  <c r="G16" i="6" s="1"/>
  <c r="B57" i="6" s="1"/>
  <c r="C57" i="6" s="1"/>
  <c r="T26" i="4" l="1"/>
  <c r="E32" i="7"/>
  <c r="Q33" i="4"/>
  <c r="Q39" i="4" s="1"/>
  <c r="Q51" i="4" s="1"/>
  <c r="Q54" i="4" s="1"/>
  <c r="Q55" i="4" s="1"/>
  <c r="F34" i="4"/>
  <c r="F35" i="4" s="1"/>
  <c r="F37" i="4" s="1"/>
  <c r="R26" i="4"/>
  <c r="C32" i="7"/>
  <c r="U11" i="4"/>
  <c r="F8" i="7" s="1"/>
  <c r="F10" i="7"/>
  <c r="R38" i="4"/>
  <c r="U36" i="4"/>
  <c r="J21" i="4"/>
  <c r="K15" i="4"/>
  <c r="G31" i="6"/>
  <c r="U18" i="4"/>
  <c r="F16" i="6"/>
  <c r="F18" i="6" s="1"/>
  <c r="E12" i="6"/>
  <c r="E20" i="6"/>
  <c r="H23" i="4"/>
  <c r="T38" i="4" s="1"/>
  <c r="D18" i="7"/>
  <c r="D20" i="7" s="1"/>
  <c r="F12" i="7"/>
  <c r="G7" i="6"/>
  <c r="B49" i="6" s="1"/>
  <c r="V16" i="4"/>
  <c r="G17" i="6" s="1"/>
  <c r="S20" i="4"/>
  <c r="D8" i="7"/>
  <c r="F10" i="6"/>
  <c r="F11" i="6" s="1"/>
  <c r="C21" i="6"/>
  <c r="C24" i="6"/>
  <c r="C26" i="6" s="1"/>
  <c r="C29" i="6" s="1"/>
  <c r="D12" i="6"/>
  <c r="D20" i="6"/>
  <c r="V47" i="4"/>
  <c r="V50" i="4" s="1"/>
  <c r="V23" i="4"/>
  <c r="V24" i="4" s="1"/>
  <c r="K10" i="4"/>
  <c r="K9" i="4"/>
  <c r="G14" i="7" s="1"/>
  <c r="K22" i="4"/>
  <c r="U37" i="4"/>
  <c r="I30" i="4"/>
  <c r="V10" i="4"/>
  <c r="S38" i="4" l="1"/>
  <c r="G10" i="7"/>
  <c r="S26" i="4"/>
  <c r="D32" i="7"/>
  <c r="F18" i="7"/>
  <c r="F20" i="7" s="1"/>
  <c r="R27" i="4"/>
  <c r="R28" i="4" s="1"/>
  <c r="U20" i="4"/>
  <c r="R53" i="4"/>
  <c r="F8" i="4"/>
  <c r="T27" i="4"/>
  <c r="T28" i="4" s="1"/>
  <c r="T33" i="4" s="1"/>
  <c r="T39" i="4" s="1"/>
  <c r="T51" i="4" s="1"/>
  <c r="T54" i="4" s="1"/>
  <c r="G18" i="6"/>
  <c r="B58" i="6"/>
  <c r="C49" i="6"/>
  <c r="C51" i="6" s="1"/>
  <c r="C52" i="6" s="1"/>
  <c r="J23" i="4"/>
  <c r="U38" i="4" s="1"/>
  <c r="G12" i="7"/>
  <c r="H30" i="4"/>
  <c r="V36" i="4"/>
  <c r="F12" i="6"/>
  <c r="F20" i="6"/>
  <c r="V18" i="4"/>
  <c r="D24" i="6"/>
  <c r="D26" i="6" s="1"/>
  <c r="D29" i="6" s="1"/>
  <c r="D21" i="6"/>
  <c r="V37" i="4"/>
  <c r="G16" i="7"/>
  <c r="E24" i="6"/>
  <c r="E26" i="6" s="1"/>
  <c r="E29" i="6" s="1"/>
  <c r="E21" i="6"/>
  <c r="G10" i="6"/>
  <c r="V11" i="4"/>
  <c r="K21" i="4"/>
  <c r="R33" i="4" l="1"/>
  <c r="R39" i="4" s="1"/>
  <c r="R51" i="4" s="1"/>
  <c r="R54" i="4" s="1"/>
  <c r="R55" i="4" s="1"/>
  <c r="G34" i="4"/>
  <c r="U26" i="4"/>
  <c r="F32" i="7"/>
  <c r="F11" i="4"/>
  <c r="B26" i="7"/>
  <c r="B24" i="7"/>
  <c r="S27" i="4"/>
  <c r="S28" i="4" s="1"/>
  <c r="S33" i="4" s="1"/>
  <c r="S39" i="4" s="1"/>
  <c r="S51" i="4" s="1"/>
  <c r="S54" i="4" s="1"/>
  <c r="J30" i="4"/>
  <c r="C53" i="6"/>
  <c r="G11" i="6"/>
  <c r="G12" i="6" s="1"/>
  <c r="B51" i="6"/>
  <c r="B52" i="6" s="1"/>
  <c r="B59" i="6"/>
  <c r="C58" i="6"/>
  <c r="C59" i="6" s="1"/>
  <c r="C61" i="6" s="1"/>
  <c r="V20" i="4"/>
  <c r="G8" i="7"/>
  <c r="F21" i="6"/>
  <c r="F24" i="6"/>
  <c r="F26" i="6" s="1"/>
  <c r="F29" i="6" s="1"/>
  <c r="K23" i="4"/>
  <c r="V38" i="4" s="1"/>
  <c r="G18" i="7"/>
  <c r="G20" i="7" s="1"/>
  <c r="V26" i="4" l="1"/>
  <c r="G32" i="7"/>
  <c r="B32" i="6"/>
  <c r="B33" i="6" s="1"/>
  <c r="B38" i="6" s="1"/>
  <c r="F17" i="4"/>
  <c r="B22" i="7"/>
  <c r="U27" i="4"/>
  <c r="U28" i="4" s="1"/>
  <c r="U33" i="4" s="1"/>
  <c r="U39" i="4" s="1"/>
  <c r="U51" i="4" s="1"/>
  <c r="U54" i="4" s="1"/>
  <c r="G35" i="4"/>
  <c r="G37" i="4" s="1"/>
  <c r="H34" i="4"/>
  <c r="S53" i="4"/>
  <c r="S55" i="4" s="1"/>
  <c r="T53" i="4" s="1"/>
  <c r="T55" i="4" s="1"/>
  <c r="U53" i="4" s="1"/>
  <c r="G8" i="4"/>
  <c r="C65" i="6"/>
  <c r="C67" i="6" s="1"/>
  <c r="C70" i="6" s="1"/>
  <c r="C62" i="6"/>
  <c r="B53" i="6"/>
  <c r="B61" i="6"/>
  <c r="B62" i="6" s="1"/>
  <c r="G20" i="6"/>
  <c r="G21" i="6" s="1"/>
  <c r="K30" i="4"/>
  <c r="I8" i="4" l="1"/>
  <c r="F39" i="4"/>
  <c r="B6" i="7"/>
  <c r="C26" i="7"/>
  <c r="G11" i="4"/>
  <c r="C24" i="7"/>
  <c r="U55" i="4"/>
  <c r="H8" i="4"/>
  <c r="H11" i="4" s="1"/>
  <c r="H17" i="4" s="1"/>
  <c r="H35" i="4"/>
  <c r="H37" i="4" s="1"/>
  <c r="I34" i="4"/>
  <c r="V27" i="4"/>
  <c r="V28" i="4" s="1"/>
  <c r="V33" i="4" s="1"/>
  <c r="V39" i="4" s="1"/>
  <c r="V51" i="4" s="1"/>
  <c r="V54" i="4" s="1"/>
  <c r="G24" i="6"/>
  <c r="G26" i="6" s="1"/>
  <c r="G29" i="6" s="1"/>
  <c r="D22" i="7" l="1"/>
  <c r="D24" i="7"/>
  <c r="D26" i="7"/>
  <c r="C32" i="6"/>
  <c r="C33" i="6" s="1"/>
  <c r="C38" i="6" s="1"/>
  <c r="G17" i="4"/>
  <c r="C22" i="7"/>
  <c r="V53" i="4"/>
  <c r="V55" i="4" s="1"/>
  <c r="K8" i="4" s="1"/>
  <c r="K11" i="4" s="1"/>
  <c r="K17" i="4" s="1"/>
  <c r="J8" i="4"/>
  <c r="J34" i="4"/>
  <c r="I35" i="4"/>
  <c r="I37" i="4" s="1"/>
  <c r="E26" i="7"/>
  <c r="E24" i="7"/>
  <c r="I11" i="4"/>
  <c r="H39" i="4"/>
  <c r="D6" i="7"/>
  <c r="G26" i="7" l="1"/>
  <c r="G24" i="7"/>
  <c r="D32" i="6"/>
  <c r="K34" i="4"/>
  <c r="K35" i="4" s="1"/>
  <c r="K37" i="4" s="1"/>
  <c r="K39" i="4" s="1"/>
  <c r="J35" i="4"/>
  <c r="J37" i="4" s="1"/>
  <c r="J11" i="4"/>
  <c r="F26" i="7"/>
  <c r="F24" i="7"/>
  <c r="G22" i="7"/>
  <c r="I17" i="4"/>
  <c r="E22" i="7"/>
  <c r="G39" i="4"/>
  <c r="C6" i="7"/>
  <c r="G6" i="7"/>
  <c r="E32" i="6" l="1"/>
  <c r="E33" i="6" s="1"/>
  <c r="E38" i="6" s="1"/>
  <c r="D33" i="6"/>
  <c r="D38" i="6" s="1"/>
  <c r="E6" i="7"/>
  <c r="I39" i="4"/>
  <c r="J17" i="4"/>
  <c r="F22" i="7"/>
  <c r="F32" i="6" l="1"/>
  <c r="G32" i="6" s="1"/>
  <c r="B73" i="6" s="1"/>
  <c r="B74" i="6" s="1"/>
  <c r="J39" i="4"/>
  <c r="F6" i="7"/>
  <c r="G33" i="6" l="1"/>
  <c r="G38" i="6" s="1"/>
  <c r="C73" i="6"/>
  <c r="C74" i="6" s="1"/>
  <c r="C80" i="6" s="1"/>
  <c r="C81" i="6" s="1"/>
  <c r="B86" i="6" s="1"/>
  <c r="F33" i="6"/>
  <c r="F38" i="6" s="1"/>
  <c r="C44" i="7" l="1" a="1"/>
  <c r="C44" i="7" s="1"/>
  <c r="B28" i="7" s="1"/>
  <c r="B42" i="6"/>
  <c r="B85" i="6" s="1"/>
  <c r="B87" i="6" s="1"/>
  <c r="B95" i="6" s="1"/>
  <c r="B89" i="6" l="1"/>
  <c r="B110" i="6" s="1"/>
  <c r="B91" i="6"/>
  <c r="B92" i="6"/>
  <c r="C86" i="6"/>
  <c r="B30" i="7"/>
  <c r="B101" i="6"/>
  <c r="C85" i="6"/>
  <c r="B94" i="6"/>
  <c r="B88" i="6"/>
  <c r="C87" i="6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<sst xmlns="http://schemas.openxmlformats.org/spreadsheetml/2006/main" count="261" uniqueCount="175">
  <si>
    <t>Income Statement</t>
  </si>
  <si>
    <t>Balance Sheet</t>
  </si>
  <si>
    <t>Initial Condition</t>
  </si>
  <si>
    <t>2025P</t>
  </si>
  <si>
    <t>2026P</t>
  </si>
  <si>
    <t>2027P</t>
  </si>
  <si>
    <t>2028P</t>
  </si>
  <si>
    <t>Assets</t>
  </si>
  <si>
    <t>Current Assets</t>
  </si>
  <si>
    <t>Bank Loan</t>
  </si>
  <si>
    <t>Cash</t>
  </si>
  <si>
    <t>Gross Fixed Assets</t>
  </si>
  <si>
    <t>Gross Profit</t>
  </si>
  <si>
    <t>Total Assets</t>
  </si>
  <si>
    <t>Total Operating Expenses</t>
  </si>
  <si>
    <t>EBIT</t>
  </si>
  <si>
    <t>Credit Line</t>
  </si>
  <si>
    <t>Net Interest Expense</t>
  </si>
  <si>
    <t>Total Non-Operating Expenses</t>
  </si>
  <si>
    <t>Taxable Income</t>
  </si>
  <si>
    <t>Taxes</t>
  </si>
  <si>
    <t>Total Liabilities</t>
  </si>
  <si>
    <t>Net Income</t>
  </si>
  <si>
    <t>2024A</t>
  </si>
  <si>
    <t>Inventories</t>
  </si>
  <si>
    <t>Cash Provided (used) by Operations</t>
  </si>
  <si>
    <t>Plus Depreciation</t>
  </si>
  <si>
    <t>Change in Working Capital</t>
  </si>
  <si>
    <t>Decrease (increase) in Receivables</t>
  </si>
  <si>
    <t>Decrease (increase) in Inventories</t>
  </si>
  <si>
    <t>Increase (decrease) in Current Liabilities</t>
  </si>
  <si>
    <t>Cash Provided (used) by Investments</t>
  </si>
  <si>
    <t>Additions to Fixed Assets</t>
  </si>
  <si>
    <t>Other Investments</t>
  </si>
  <si>
    <t xml:space="preserve">                           -</t>
  </si>
  <si>
    <t>Cash Provided (used) by Financing Activities</t>
  </si>
  <si>
    <t>Additions (reductions) to Long-Term Debt</t>
  </si>
  <si>
    <t>Net Issues (repurchases) of Stock</t>
  </si>
  <si>
    <t>Distributions</t>
  </si>
  <si>
    <t>Cash Provided (used) by Fin. Activities</t>
  </si>
  <si>
    <t>Net increase (decrease) in cash</t>
  </si>
  <si>
    <t xml:space="preserve"> </t>
  </si>
  <si>
    <t>Beginning Cash Balance</t>
  </si>
  <si>
    <t>Change in Cash</t>
  </si>
  <si>
    <t>Ending Cash Balance</t>
  </si>
  <si>
    <t xml:space="preserve">                              -</t>
  </si>
  <si>
    <t xml:space="preserve">                         -  </t>
  </si>
  <si>
    <t>Teddy 's Mobilier</t>
  </si>
  <si>
    <t>2029P</t>
  </si>
  <si>
    <t>Revenues</t>
  </si>
  <si>
    <t>Sales</t>
  </si>
  <si>
    <t>Total Revenues</t>
  </si>
  <si>
    <t>Receivables</t>
  </si>
  <si>
    <t>Cost of Goods Sold</t>
  </si>
  <si>
    <t>Cost of Inventory</t>
  </si>
  <si>
    <t>Total Current Assets</t>
  </si>
  <si>
    <t>Fixed Assets</t>
  </si>
  <si>
    <t>Operating Expenses</t>
  </si>
  <si>
    <t>Less Accumulated Depreciation</t>
  </si>
  <si>
    <t>Wages, Benefits &amp; Overhead</t>
  </si>
  <si>
    <t>Total Net Fixed Assets</t>
  </si>
  <si>
    <t>Rent</t>
  </si>
  <si>
    <t>Selling General and Administrative</t>
  </si>
  <si>
    <t>Depreciation</t>
  </si>
  <si>
    <t>Total Expenses</t>
  </si>
  <si>
    <t>Liabilities &amp; Shareholder's Equity</t>
  </si>
  <si>
    <t xml:space="preserve">Current Liabilities  </t>
  </si>
  <si>
    <t>Accounts Payable</t>
  </si>
  <si>
    <t>Other Current Liabilities</t>
  </si>
  <si>
    <t>Non Operating Expenses</t>
  </si>
  <si>
    <t>Total Current Liabilities</t>
  </si>
  <si>
    <t>Long Term Debt</t>
  </si>
  <si>
    <t>Total Long-Term Debt</t>
  </si>
  <si>
    <t>Cash Flow Statement</t>
  </si>
  <si>
    <t>Shareholder's Equity</t>
  </si>
  <si>
    <t>Paid-In Capital</t>
  </si>
  <si>
    <t>Accumulated Retained Earnings</t>
  </si>
  <si>
    <t>Total Shareholder's Equity</t>
  </si>
  <si>
    <t>Total Liabilities and Shareholder's Equity</t>
  </si>
  <si>
    <t xml:space="preserve">                          -  </t>
  </si>
  <si>
    <t>Check line</t>
  </si>
  <si>
    <t>Assumptions</t>
  </si>
  <si>
    <t xml:space="preserve">Revenues </t>
  </si>
  <si>
    <t>Revenue % growth</t>
  </si>
  <si>
    <t>COGS (% Rev)</t>
  </si>
  <si>
    <t xml:space="preserve">                             -</t>
  </si>
  <si>
    <t>General &amp; Admin (% Rev)</t>
  </si>
  <si>
    <t>Interest Rate</t>
  </si>
  <si>
    <t>Tax Rate</t>
  </si>
  <si>
    <t>Receivables (% Rev)</t>
  </si>
  <si>
    <t>Inventory (% Rev)</t>
  </si>
  <si>
    <t>Accounts Payable (% COGS)</t>
  </si>
  <si>
    <t>Other Current Liabilities (% Rev)</t>
  </si>
  <si>
    <t>Additions (reductions) to Equity</t>
  </si>
  <si>
    <t xml:space="preserve">                            -</t>
  </si>
  <si>
    <t>Additions (reductions) to Bank Loan</t>
  </si>
  <si>
    <t>Additions (reductions) to Credit Line</t>
  </si>
  <si>
    <t>Beginning Cash</t>
  </si>
  <si>
    <t>Additions (reductions) to Fixed Assets</t>
  </si>
  <si>
    <t xml:space="preserve">                           -  </t>
  </si>
  <si>
    <t>check digit</t>
  </si>
  <si>
    <t>Depreciaton</t>
  </si>
  <si>
    <t>Measure</t>
  </si>
  <si>
    <t>Value</t>
  </si>
  <si>
    <t>Documentation</t>
  </si>
  <si>
    <t>Risk Free Rate (RFR)</t>
  </si>
  <si>
    <t>Treasury Constant Maturity Rate: 10-Year Maturity as of 04/19/2024</t>
  </si>
  <si>
    <t>Equity Risk Premium (ERP)</t>
  </si>
  <si>
    <t>Historical CRSP ERP (10Y T-Bond)</t>
  </si>
  <si>
    <t>Size Premium (SP)</t>
  </si>
  <si>
    <t>CSRP 8 Size Decile, breakpoints: Min: $555,880,000  - Max: $1,046,037,000</t>
  </si>
  <si>
    <t>Unsystematic Risk Premium (URP)</t>
  </si>
  <si>
    <t>Industry Risk Premium (IRP)</t>
  </si>
  <si>
    <t>Industry Beta Used: 1.11. Source: Dr. Aswath Damodaran 2023 US beta for Retail (Distributors) (62 Firms)</t>
  </si>
  <si>
    <t>Company Specific Risk Premium (CSRP)</t>
  </si>
  <si>
    <t>Cost of Equity (CoE)</t>
  </si>
  <si>
    <t>Equity Percentage (We)</t>
  </si>
  <si>
    <t>Debt Percentage (Wd)</t>
  </si>
  <si>
    <t>Borrowing Rate (KdPreTax)</t>
  </si>
  <si>
    <t>Tax rate (t)</t>
  </si>
  <si>
    <t>Weighted Average Cost of Capital (WACC)</t>
  </si>
  <si>
    <t>WACC = (CoE * We) + (KdPreTax * (1-t) * Wd)</t>
  </si>
  <si>
    <t>DCF Analysis</t>
  </si>
  <si>
    <t>Unlevered Free Cash Flow</t>
  </si>
  <si>
    <t>Growth Rate (%)</t>
  </si>
  <si>
    <t>Cost of Sales</t>
  </si>
  <si>
    <t>Gross Margin (%)</t>
  </si>
  <si>
    <t>EBITDA</t>
  </si>
  <si>
    <t>EBITDA Margin (%)</t>
  </si>
  <si>
    <t>Less: Depreciation &amp; Amortization</t>
  </si>
  <si>
    <t>Tax-affected EBIT</t>
  </si>
  <si>
    <t>Add-back: D&amp;A (non-cash expense)</t>
  </si>
  <si>
    <t>Tax-affected EBIT + D&amp;A</t>
  </si>
  <si>
    <t>Less: CapEx</t>
  </si>
  <si>
    <t>Plus / (Less): Change in Net Working Capital (NWC)</t>
  </si>
  <si>
    <t>Unlevered Free Cash Flow (FCF)</t>
  </si>
  <si>
    <t>Discount Year</t>
  </si>
  <si>
    <t>Discount Factor</t>
  </si>
  <si>
    <t>NPV of Unlevered FCF</t>
  </si>
  <si>
    <t>CV</t>
  </si>
  <si>
    <t>NPV of FY25 - FY29 Free Cash Flow</t>
  </si>
  <si>
    <t>WACC</t>
  </si>
  <si>
    <t>Terminal Value Using Perpetuity Approach to Present Value</t>
  </si>
  <si>
    <t>Terminal Yr. 2030P</t>
  </si>
  <si>
    <t>Perpetual Growth Rate</t>
  </si>
  <si>
    <t>Unlevered FCF</t>
  </si>
  <si>
    <t>Terminal Value in 2029P</t>
  </si>
  <si>
    <t>PV of Terminal Value today</t>
  </si>
  <si>
    <t>% of TEV</t>
  </si>
  <si>
    <t>Total Enterprise Value Using DCF</t>
  </si>
  <si>
    <t>Multiple on 2024A EBITDA</t>
  </si>
  <si>
    <t>Multiple on 2029P EBITDA</t>
  </si>
  <si>
    <t>Multiple on 2024A FCF</t>
  </si>
  <si>
    <t>Multiple on 2029P FCF</t>
  </si>
  <si>
    <t>Sensitivity Analysis</t>
  </si>
  <si>
    <t>Enterprise Value Sensitivity to WAAC and Growth</t>
  </si>
  <si>
    <t>Implied TV Multiple Sensitivity to WACC and Growth</t>
  </si>
  <si>
    <t>Ratio Analysis</t>
  </si>
  <si>
    <t>TAT</t>
  </si>
  <si>
    <t>Profit Margin</t>
  </si>
  <si>
    <t>Inventory Turnover</t>
  </si>
  <si>
    <t>Receivable Turnover</t>
  </si>
  <si>
    <t>DSO</t>
  </si>
  <si>
    <t>DIO</t>
  </si>
  <si>
    <t>DPO</t>
  </si>
  <si>
    <t>CCC</t>
  </si>
  <si>
    <t>Current Ratio</t>
  </si>
  <si>
    <t>Quick Ratio</t>
  </si>
  <si>
    <t>Cash Ratio</t>
  </si>
  <si>
    <t>IRR</t>
  </si>
  <si>
    <t>Loan-to-value (LTV) Ratio</t>
  </si>
  <si>
    <t xml:space="preserve">CF's </t>
  </si>
  <si>
    <t>Interest Coverage Ratio</t>
  </si>
  <si>
    <t>Multiple on 2024A Revenues</t>
  </si>
  <si>
    <t>Multiple on 2029P Revenues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</si>
</sst>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0">
    <numFmt numFmtId="5" formatCode="&quot;$&quot;#,##0_);\(&quot;$&quot;#,##0\)"/>
    <numFmt numFmtId="41" formatCode="_(* #,##0_);_(* \(#,##0\);_(* &quot;-&quot;_);_(@_)"/>
    <numFmt numFmtId="43" formatCode="_(* #,##0.00_);_(* \(#,##0.00\);_(* &quot;-&quot;??_);_(@_)"/>
    <numFmt numFmtId="165" formatCode="_(#,##0.0%_);\(#,##0.0%\);_(&quot;–&quot;_)_%;_(@_)_%"/>
    <numFmt numFmtId="169" formatCode="0.0&quot;x&quot;_)"/>
    <numFmt numFmtId="172" formatCode="_(* #,##0_);_(* \(#,##0\);_(* &quot;-&quot;??_);_(@_)"/>
    <numFmt numFmtId="173" formatCode="0.000"/>
    <numFmt numFmtId="174" formatCode="0.0"/>
    <numFmt numFmtId="175" formatCode="0.0%"/>
    <numFmt numFmtId="176" formatCode="_(&quot;$&quot;* #,##0_);_(&quot;$&quot;* \(#,##0\);_(&quot;$&quot;* &quot;-&quot;??_);_(@_)"/>
    <numFmt numFmtId="177" formatCode="#,##0.00%;[Red]\(#,##0.00%\)"/>
    <numFmt numFmtId="178" formatCode="&quot;FY&quot;\ yyyy"/>
    <numFmt numFmtId="179" formatCode="&quot;$&quot;#,##0.00"/>
    <numFmt numFmtId="180" formatCode="&quot;$&quot;#,##0"/>
    <numFmt numFmtId="181" formatCode="&quot;$&quot;#,##0.0_);\(&quot;$&quot;#,##0.0\)"/>
    <numFmt numFmtId="182" formatCode="&quot;$&quot;#,##0_);\(&quot;$&quot;#,##0\);\–_);&quot;–&quot;_)"/>
    <numFmt numFmtId="183" formatCode="0_);\(0\)"/>
    <numFmt numFmtId="184" formatCode="0.00&quot;x&quot;_)"/>
    <numFmt numFmtId="185" formatCode="_(* #,##0.00_);_(* \(#,##0.00\);_(* &quot;-&quot;_);_(@_)"/>
    <numFmt numFmtId="186" formatCode="0.00\x"/>
  </numFmts>
  <fonts count="33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0"/>
      <name val="Times New Roman"/>
      <family val="1"/>
    </font>
    <font>
      <sz val="10"/>
      <name val="Arial"/>
      <family val="2"/>
    </font>
    <font>
      <sz val="8"/>
      <name val="Arial"/>
      <family val="2"/>
    </font>
    <font>
      <b/>
      <sz val="10"/>
      <name val="Aptos Narrow"/>
      <scheme val="minor"/>
    </font>
    <font>
      <sz val="10"/>
      <color rgb="FF000000"/>
      <name val="Aptos Narrow"/>
      <scheme val="minor"/>
    </font>
    <font>
      <sz val="10"/>
      <color theme="1"/>
      <name val="Aptos Narrow"/>
      <scheme val="minor"/>
    </font>
    <font>
      <sz val="10"/>
      <name val="Aptos Narrow"/>
      <scheme val="minor"/>
    </font>
    <font>
      <b/>
      <sz val="10"/>
      <color rgb="FF782170"/>
      <name val="Aptos Narrow"/>
      <scheme val="minor"/>
    </font>
    <font>
      <sz val="10"/>
      <color rgb="FF0070C0"/>
      <name val="Aptos Narrow"/>
      <scheme val="minor"/>
    </font>
    <font>
      <b/>
      <sz val="10"/>
      <color rgb="FF00B0F0"/>
      <name val="Aptos Narrow"/>
      <scheme val="minor"/>
    </font>
    <font>
      <sz val="10"/>
      <color theme="3" tint="0.249977111117893"/>
      <name val="Aptos Narrow"/>
      <scheme val="minor"/>
    </font>
    <font>
      <sz val="10"/>
      <color rgb="FF00B0F0"/>
      <name val="Aptos Narrow"/>
      <scheme val="minor"/>
    </font>
    <font>
      <b/>
      <sz val="10"/>
      <color theme="1"/>
      <name val="Aptos Narrow"/>
      <scheme val="minor"/>
    </font>
    <font>
      <sz val="10"/>
      <color rgb="FF782170"/>
      <name val="Aptos Narrow"/>
      <scheme val="minor"/>
    </font>
    <font>
      <b/>
      <sz val="10"/>
      <color rgb="FF000000"/>
      <name val="Aptos Narrow"/>
      <scheme val="minor"/>
    </font>
    <font>
      <i/>
      <sz val="10"/>
      <color rgb="FF000000"/>
      <name val="Aptos Narrow"/>
      <scheme val="minor"/>
    </font>
    <font>
      <u/>
      <sz val="10"/>
      <name val="Aptos Narrow"/>
      <scheme val="minor"/>
    </font>
    <font>
      <b/>
      <u/>
      <sz val="10"/>
      <name val="Aptos Narrow"/>
      <scheme val="minor"/>
    </font>
    <font>
      <b/>
      <u/>
      <sz val="10"/>
      <color rgb="FFFFFFFF"/>
      <name val="Aptos Narrow"/>
      <scheme val="minor"/>
    </font>
    <font>
      <b/>
      <sz val="10"/>
      <color rgb="FFFFFFFF"/>
      <name val="Aptos Narrow"/>
      <scheme val="minor"/>
    </font>
    <font>
      <b/>
      <sz val="10"/>
      <color rgb="FF008000"/>
      <name val="Aptos Narrow"/>
      <scheme val="minor"/>
    </font>
    <font>
      <i/>
      <sz val="10"/>
      <name val="Aptos Narrow"/>
      <scheme val="minor"/>
    </font>
    <font>
      <sz val="10"/>
      <color rgb="FF008000"/>
      <name val="Aptos Narrow"/>
      <scheme val="minor"/>
    </font>
    <font>
      <sz val="10"/>
      <color rgb="FF0000FF"/>
      <name val="Aptos Narrow"/>
      <scheme val="minor"/>
    </font>
    <font>
      <b/>
      <sz val="10"/>
      <color theme="0"/>
      <name val="Aptos Narrow"/>
      <scheme val="minor"/>
    </font>
    <font>
      <i/>
      <sz val="10"/>
      <color theme="1"/>
      <name val="Aptos Narrow"/>
      <scheme val="minor"/>
    </font>
    <font>
      <b/>
      <i/>
      <sz val="10"/>
      <color rgb="FF000000"/>
      <name val="Aptos Narrow"/>
      <scheme val="minor"/>
    </font>
    <font>
      <b/>
      <u/>
      <sz val="10"/>
      <color theme="1"/>
      <name val="Aptos Narrow"/>
      <scheme val="minor"/>
    </font>
    <font>
      <sz val="10"/>
      <color theme="0"/>
      <name val="Aptos Narrow"/>
      <scheme val="minor"/>
    </font>
    <font>
      <b/>
      <sz val="10"/>
      <color rgb="FF0070C0"/>
      <name val="Aptos Narrow"/>
      <scheme val="minor"/>
    </font>
    <font>
      <b/>
      <i/>
      <sz val="10"/>
      <color theme="0"/>
      <name val="Aptos Narrow"/>
      <scheme val="minor"/>
    </font>
  </fonts>
  <fills count="8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189EDA"/>
        <bgColor rgb="FF000000"/>
      </patternFill>
    </fill>
    <fill>
      <patternFill patternType="solid">
        <fgColor rgb="FF189EDA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4" tint="-0.499984740745262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5">
    <xf numFmtId="0" fontId="0" fillId="0" borderId="0"/>
    <xf numFmtId="9" fontId="1" fillId="0" borderId="0" applyFont="0" applyFill="0" applyBorder="0" applyAlignment="0" applyProtection="0"/>
    <xf numFmtId="0" fontId="2" fillId="0" borderId="0"/>
    <xf numFmtId="0" fontId="3" fillId="0" borderId="0"/>
    <xf numFmtId="0" fontId="4" fillId="0" borderId="0" applyFill="0" applyBorder="0" applyAlignment="0" applyProtection="0"/>
  </cellStyleXfs>
  <cellXfs count="174">
    <xf numFmtId="0" fontId="0" fillId="0" borderId="0" xfId="0"/>
    <xf numFmtId="0" fontId="5" fillId="0" borderId="0" xfId="0" applyFont="1" applyAlignment="1">
      <alignment horizontal="left"/>
    </xf>
    <xf numFmtId="0" fontId="6" fillId="0" borderId="0" xfId="0" applyFont="1"/>
    <xf numFmtId="0" fontId="7" fillId="0" borderId="0" xfId="0" applyFont="1"/>
    <xf numFmtId="0" fontId="5" fillId="0" borderId="0" xfId="0" applyFont="1"/>
    <xf numFmtId="0" fontId="8" fillId="0" borderId="0" xfId="0" applyFont="1"/>
    <xf numFmtId="0" fontId="5" fillId="0" borderId="0" xfId="0" applyFont="1" applyAlignment="1">
      <alignment horizontal="center" wrapText="1"/>
    </xf>
    <xf numFmtId="0" fontId="5" fillId="0" borderId="0" xfId="0" applyFont="1" applyAlignment="1">
      <alignment horizontal="center"/>
    </xf>
    <xf numFmtId="0" fontId="5" fillId="0" borderId="0" xfId="0" applyFont="1" applyAlignment="1">
      <alignment horizontal="center" wrapText="1"/>
    </xf>
    <xf numFmtId="0" fontId="9" fillId="5" borderId="0" xfId="0" applyFont="1" applyFill="1"/>
    <xf numFmtId="41" fontId="10" fillId="0" borderId="3" xfId="0" applyNumberFormat="1" applyFont="1" applyBorder="1"/>
    <xf numFmtId="41" fontId="8" fillId="0" borderId="6" xfId="0" applyNumberFormat="1" applyFont="1" applyBorder="1"/>
    <xf numFmtId="41" fontId="11" fillId="5" borderId="0" xfId="0" applyNumberFormat="1" applyFont="1" applyFill="1"/>
    <xf numFmtId="41" fontId="7" fillId="0" borderId="0" xfId="0" applyNumberFormat="1" applyFont="1"/>
    <xf numFmtId="41" fontId="5" fillId="0" borderId="3" xfId="0" applyNumberFormat="1" applyFont="1" applyBorder="1"/>
    <xf numFmtId="41" fontId="5" fillId="0" borderId="0" xfId="0" applyNumberFormat="1" applyFont="1"/>
    <xf numFmtId="41" fontId="9" fillId="0" borderId="3" xfId="0" applyNumberFormat="1" applyFont="1" applyBorder="1"/>
    <xf numFmtId="41" fontId="8" fillId="0" borderId="0" xfId="0" applyNumberFormat="1" applyFont="1"/>
    <xf numFmtId="41" fontId="10" fillId="0" borderId="7" xfId="0" applyNumberFormat="1" applyFont="1" applyBorder="1"/>
    <xf numFmtId="41" fontId="7" fillId="0" borderId="6" xfId="0" applyNumberFormat="1" applyFont="1" applyBorder="1"/>
    <xf numFmtId="41" fontId="5" fillId="5" borderId="0" xfId="0" applyNumberFormat="1" applyFont="1" applyFill="1"/>
    <xf numFmtId="41" fontId="9" fillId="5" borderId="0" xfId="0" applyNumberFormat="1" applyFont="1" applyFill="1"/>
    <xf numFmtId="43" fontId="6" fillId="0" borderId="0" xfId="0" applyNumberFormat="1" applyFont="1"/>
    <xf numFmtId="41" fontId="12" fillId="0" borderId="3" xfId="0" applyNumberFormat="1" applyFont="1" applyBorder="1"/>
    <xf numFmtId="41" fontId="11" fillId="0" borderId="3" xfId="0" applyNumberFormat="1" applyFont="1" applyBorder="1"/>
    <xf numFmtId="41" fontId="12" fillId="0" borderId="7" xfId="0" applyNumberFormat="1" applyFont="1" applyBorder="1"/>
    <xf numFmtId="41" fontId="13" fillId="0" borderId="3" xfId="0" applyNumberFormat="1" applyFont="1" applyBorder="1"/>
    <xf numFmtId="41" fontId="13" fillId="0" borderId="7" xfId="0" applyNumberFormat="1" applyFont="1" applyBorder="1"/>
    <xf numFmtId="185" fontId="8" fillId="0" borderId="0" xfId="0" applyNumberFormat="1" applyFont="1"/>
    <xf numFmtId="41" fontId="14" fillId="0" borderId="7" xfId="0" applyNumberFormat="1" applyFont="1" applyBorder="1"/>
    <xf numFmtId="41" fontId="14" fillId="0" borderId="8" xfId="0" applyNumberFormat="1" applyFont="1" applyBorder="1"/>
    <xf numFmtId="41" fontId="14" fillId="0" borderId="6" xfId="0" applyNumberFormat="1" applyFont="1" applyBorder="1"/>
    <xf numFmtId="0" fontId="9" fillId="0" borderId="0" xfId="0" applyFont="1"/>
    <xf numFmtId="41" fontId="9" fillId="0" borderId="0" xfId="0" applyNumberFormat="1" applyFont="1"/>
    <xf numFmtId="41" fontId="5" fillId="0" borderId="0" xfId="0" applyNumberFormat="1" applyFont="1" applyAlignment="1">
      <alignment horizontal="center"/>
    </xf>
    <xf numFmtId="0" fontId="9" fillId="0" borderId="0" xfId="0" applyFont="1" applyAlignment="1">
      <alignment horizontal="center"/>
    </xf>
    <xf numFmtId="41" fontId="8" fillId="0" borderId="3" xfId="0" applyNumberFormat="1" applyFont="1" applyBorder="1"/>
    <xf numFmtId="172" fontId="8" fillId="0" borderId="0" xfId="0" applyNumberFormat="1" applyFont="1"/>
    <xf numFmtId="41" fontId="9" fillId="5" borderId="6" xfId="0" applyNumberFormat="1" applyFont="1" applyFill="1" applyBorder="1"/>
    <xf numFmtId="41" fontId="8" fillId="0" borderId="7" xfId="0" applyNumberFormat="1" applyFont="1" applyBorder="1"/>
    <xf numFmtId="0" fontId="15" fillId="0" borderId="0" xfId="0" applyFont="1"/>
    <xf numFmtId="9" fontId="9" fillId="0" borderId="0" xfId="0" applyNumberFormat="1" applyFont="1"/>
    <xf numFmtId="9" fontId="6" fillId="0" borderId="0" xfId="0" applyNumberFormat="1" applyFont="1"/>
    <xf numFmtId="41" fontId="8" fillId="5" borderId="0" xfId="0" applyNumberFormat="1" applyFont="1" applyFill="1"/>
    <xf numFmtId="0" fontId="10" fillId="0" borderId="0" xfId="0" applyFont="1"/>
    <xf numFmtId="10" fontId="10" fillId="0" borderId="0" xfId="0" applyNumberFormat="1" applyFont="1"/>
    <xf numFmtId="41" fontId="10" fillId="0" borderId="0" xfId="0" applyNumberFormat="1" applyFont="1"/>
    <xf numFmtId="9" fontId="10" fillId="0" borderId="0" xfId="0" applyNumberFormat="1" applyFont="1"/>
    <xf numFmtId="172" fontId="11" fillId="0" borderId="0" xfId="0" applyNumberFormat="1" applyFont="1"/>
    <xf numFmtId="41" fontId="8" fillId="5" borderId="6" xfId="0" applyNumberFormat="1" applyFont="1" applyFill="1" applyBorder="1"/>
    <xf numFmtId="0" fontId="6" fillId="0" borderId="6" xfId="0" applyFont="1" applyBorder="1"/>
    <xf numFmtId="172" fontId="10" fillId="0" borderId="0" xfId="0" applyNumberFormat="1" applyFont="1"/>
    <xf numFmtId="176" fontId="10" fillId="0" borderId="0" xfId="0" applyNumberFormat="1" applyFont="1"/>
    <xf numFmtId="175" fontId="10" fillId="0" borderId="0" xfId="0" applyNumberFormat="1" applyFont="1"/>
    <xf numFmtId="0" fontId="8" fillId="0" borderId="3" xfId="0" applyFont="1" applyBorder="1"/>
    <xf numFmtId="0" fontId="16" fillId="0" borderId="0" xfId="0" applyFont="1"/>
    <xf numFmtId="0" fontId="8" fillId="5" borderId="0" xfId="0" applyFont="1" applyFill="1"/>
    <xf numFmtId="172" fontId="6" fillId="0" borderId="0" xfId="0" applyNumberFormat="1" applyFont="1"/>
    <xf numFmtId="43" fontId="8" fillId="0" borderId="0" xfId="0" applyNumberFormat="1" applyFont="1"/>
    <xf numFmtId="0" fontId="17" fillId="0" borderId="0" xfId="0" applyFont="1"/>
    <xf numFmtId="43" fontId="10" fillId="0" borderId="0" xfId="0" applyNumberFormat="1" applyFont="1"/>
    <xf numFmtId="0" fontId="18" fillId="0" borderId="0" xfId="0" applyFont="1"/>
    <xf numFmtId="0" fontId="19" fillId="0" borderId="0" xfId="0" applyFont="1"/>
    <xf numFmtId="9" fontId="19" fillId="0" borderId="0" xfId="0" applyNumberFormat="1" applyFont="1"/>
    <xf numFmtId="41" fontId="20" fillId="0" borderId="0" xfId="0" applyNumberFormat="1" applyFont="1"/>
    <xf numFmtId="3" fontId="6" fillId="0" borderId="0" xfId="0" applyNumberFormat="1" applyFont="1"/>
    <xf numFmtId="41" fontId="6" fillId="0" borderId="0" xfId="0" applyNumberFormat="1" applyFont="1"/>
    <xf numFmtId="41" fontId="19" fillId="0" borderId="0" xfId="0" applyNumberFormat="1" applyFont="1"/>
    <xf numFmtId="0" fontId="6" fillId="0" borderId="0" xfId="0" applyFont="1" applyAlignment="1">
      <alignment horizontal="left"/>
    </xf>
    <xf numFmtId="177" fontId="6" fillId="0" borderId="0" xfId="0" applyNumberFormat="1" applyFont="1" applyAlignment="1">
      <alignment horizontal="left"/>
    </xf>
    <xf numFmtId="177" fontId="5" fillId="0" borderId="0" xfId="0" applyNumberFormat="1" applyFont="1" applyAlignment="1">
      <alignment horizontal="center"/>
    </xf>
    <xf numFmtId="0" fontId="14" fillId="0" borderId="0" xfId="0" applyFont="1"/>
    <xf numFmtId="0" fontId="21" fillId="3" borderId="0" xfId="0" applyFont="1" applyFill="1" applyAlignment="1">
      <alignment horizontal="center"/>
    </xf>
    <xf numFmtId="0" fontId="21" fillId="0" borderId="0" xfId="0" applyFont="1" applyAlignment="1">
      <alignment horizontal="centerContinuous"/>
    </xf>
    <xf numFmtId="175" fontId="6" fillId="0" borderId="0" xfId="0" applyNumberFormat="1" applyFont="1"/>
    <xf numFmtId="178" fontId="16" fillId="0" borderId="7" xfId="0" applyNumberFormat="1" applyFont="1" applyBorder="1" applyAlignment="1">
      <alignment horizontal="center"/>
    </xf>
    <xf numFmtId="178" fontId="16" fillId="0" borderId="6" xfId="0" applyNumberFormat="1" applyFont="1" applyBorder="1" applyAlignment="1">
      <alignment horizontal="center"/>
    </xf>
    <xf numFmtId="41" fontId="22" fillId="0" borderId="3" xfId="0" applyNumberFormat="1" applyFont="1" applyBorder="1"/>
    <xf numFmtId="0" fontId="23" fillId="0" borderId="0" xfId="0" applyFont="1" applyAlignment="1">
      <alignment horizontal="left" indent="1"/>
    </xf>
    <xf numFmtId="175" fontId="8" fillId="0" borderId="3" xfId="0" applyNumberFormat="1" applyFont="1" applyBorder="1" applyAlignment="1">
      <alignment horizontal="right"/>
    </xf>
    <xf numFmtId="175" fontId="17" fillId="0" borderId="0" xfId="0" applyNumberFormat="1" applyFont="1" applyAlignment="1">
      <alignment horizontal="right"/>
    </xf>
    <xf numFmtId="179" fontId="8" fillId="0" borderId="3" xfId="0" applyNumberFormat="1" applyFont="1" applyBorder="1"/>
    <xf numFmtId="179" fontId="8" fillId="0" borderId="0" xfId="0" applyNumberFormat="1" applyFont="1"/>
    <xf numFmtId="37" fontId="24" fillId="0" borderId="7" xfId="0" applyNumberFormat="1" applyFont="1" applyBorder="1"/>
    <xf numFmtId="37" fontId="7" fillId="0" borderId="8" xfId="0" applyNumberFormat="1" applyFont="1" applyBorder="1"/>
    <xf numFmtId="37" fontId="7" fillId="0" borderId="6" xfId="0" applyNumberFormat="1" applyFont="1" applyBorder="1"/>
    <xf numFmtId="180" fontId="16" fillId="0" borderId="3" xfId="0" applyNumberFormat="1" applyFont="1" applyBorder="1"/>
    <xf numFmtId="180" fontId="16" fillId="0" borderId="0" xfId="0" applyNumberFormat="1" applyFont="1"/>
    <xf numFmtId="165" fontId="17" fillId="0" borderId="3" xfId="0" applyNumberFormat="1" applyFont="1" applyBorder="1"/>
    <xf numFmtId="165" fontId="17" fillId="0" borderId="0" xfId="0" applyNumberFormat="1" applyFont="1"/>
    <xf numFmtId="165" fontId="8" fillId="0" borderId="0" xfId="0" applyNumberFormat="1" applyFont="1"/>
    <xf numFmtId="180" fontId="8" fillId="0" borderId="3" xfId="0" applyNumberFormat="1" applyFont="1" applyBorder="1"/>
    <xf numFmtId="180" fontId="8" fillId="0" borderId="0" xfId="0" applyNumberFormat="1" applyFont="1"/>
    <xf numFmtId="180" fontId="8" fillId="0" borderId="8" xfId="0" applyNumberFormat="1" applyFont="1" applyBorder="1"/>
    <xf numFmtId="180" fontId="8" fillId="0" borderId="6" xfId="0" applyNumberFormat="1" applyFont="1" applyBorder="1"/>
    <xf numFmtId="180" fontId="8" fillId="0" borderId="4" xfId="0" applyNumberFormat="1" applyFont="1" applyBorder="1"/>
    <xf numFmtId="37" fontId="6" fillId="0" borderId="3" xfId="0" applyNumberFormat="1" applyFont="1" applyBorder="1"/>
    <xf numFmtId="37" fontId="6" fillId="0" borderId="0" xfId="0" applyNumberFormat="1" applyFont="1"/>
    <xf numFmtId="5" fontId="16" fillId="0" borderId="3" xfId="0" applyNumberFormat="1" applyFont="1" applyBorder="1"/>
    <xf numFmtId="5" fontId="16" fillId="0" borderId="0" xfId="0" applyNumberFormat="1" applyFont="1"/>
    <xf numFmtId="37" fontId="24" fillId="0" borderId="3" xfId="0" applyNumberFormat="1" applyFont="1" applyBorder="1"/>
    <xf numFmtId="37" fontId="24" fillId="0" borderId="6" xfId="0" applyNumberFormat="1" applyFont="1" applyBorder="1"/>
    <xf numFmtId="165" fontId="6" fillId="0" borderId="3" xfId="0" applyNumberFormat="1" applyFont="1" applyBorder="1"/>
    <xf numFmtId="165" fontId="6" fillId="0" borderId="0" xfId="0" applyNumberFormat="1" applyFont="1"/>
    <xf numFmtId="5" fontId="16" fillId="0" borderId="4" xfId="0" applyNumberFormat="1" applyFont="1" applyBorder="1"/>
    <xf numFmtId="5" fontId="16" fillId="0" borderId="5" xfId="0" applyNumberFormat="1" applyFont="1" applyBorder="1"/>
    <xf numFmtId="37" fontId="6" fillId="0" borderId="7" xfId="0" applyNumberFormat="1" applyFont="1" applyBorder="1"/>
    <xf numFmtId="37" fontId="6" fillId="0" borderId="6" xfId="0" applyNumberFormat="1" applyFont="1" applyBorder="1"/>
    <xf numFmtId="37" fontId="7" fillId="0" borderId="0" xfId="0" applyNumberFormat="1" applyFont="1"/>
    <xf numFmtId="3" fontId="25" fillId="0" borderId="3" xfId="0" applyNumberFormat="1" applyFont="1" applyBorder="1"/>
    <xf numFmtId="2" fontId="6" fillId="0" borderId="0" xfId="0" applyNumberFormat="1" applyFont="1"/>
    <xf numFmtId="179" fontId="5" fillId="0" borderId="3" xfId="0" applyNumberFormat="1" applyFont="1" applyBorder="1"/>
    <xf numFmtId="181" fontId="16" fillId="0" borderId="0" xfId="0" applyNumberFormat="1" applyFont="1"/>
    <xf numFmtId="175" fontId="8" fillId="0" borderId="0" xfId="0" applyNumberFormat="1" applyFont="1" applyAlignment="1">
      <alignment horizontal="center"/>
    </xf>
    <xf numFmtId="0" fontId="8" fillId="0" borderId="0" xfId="0" applyFont="1" applyAlignment="1">
      <alignment horizontal="left" indent="1"/>
    </xf>
    <xf numFmtId="0" fontId="5" fillId="0" borderId="0" xfId="0" applyFont="1" applyAlignment="1">
      <alignment horizontal="left" indent="1"/>
    </xf>
    <xf numFmtId="175" fontId="16" fillId="0" borderId="0" xfId="1" applyNumberFormat="1" applyFont="1"/>
    <xf numFmtId="182" fontId="5" fillId="0" borderId="0" xfId="0" applyNumberFormat="1" applyFont="1"/>
    <xf numFmtId="0" fontId="26" fillId="4" borderId="0" xfId="0" applyFont="1" applyFill="1" applyAlignment="1">
      <alignment horizontal="center"/>
    </xf>
    <xf numFmtId="0" fontId="26" fillId="0" borderId="0" xfId="0" applyFont="1" applyAlignment="1">
      <alignment horizontal="centerContinuous"/>
    </xf>
    <xf numFmtId="0" fontId="14" fillId="0" borderId="3" xfId="0" applyFont="1" applyBorder="1"/>
    <xf numFmtId="0" fontId="14" fillId="0" borderId="0" xfId="0" applyFont="1" applyAlignment="1">
      <alignment wrapText="1"/>
    </xf>
    <xf numFmtId="41" fontId="16" fillId="0" borderId="3" xfId="0" applyNumberFormat="1" applyFont="1" applyBorder="1"/>
    <xf numFmtId="5" fontId="14" fillId="0" borderId="0" xfId="0" applyNumberFormat="1" applyFont="1"/>
    <xf numFmtId="0" fontId="7" fillId="0" borderId="3" xfId="0" applyFont="1" applyBorder="1"/>
    <xf numFmtId="5" fontId="6" fillId="0" borderId="3" xfId="0" applyNumberFormat="1" applyFont="1" applyBorder="1"/>
    <xf numFmtId="5" fontId="7" fillId="0" borderId="0" xfId="0" applyNumberFormat="1" applyFont="1"/>
    <xf numFmtId="175" fontId="27" fillId="0" borderId="3" xfId="1" applyNumberFormat="1" applyFont="1" applyBorder="1"/>
    <xf numFmtId="9" fontId="27" fillId="0" borderId="0" xfId="1" applyFont="1"/>
    <xf numFmtId="175" fontId="27" fillId="0" borderId="0" xfId="1" applyNumberFormat="1" applyFont="1"/>
    <xf numFmtId="9" fontId="7" fillId="0" borderId="3" xfId="1" applyFont="1" applyBorder="1"/>
    <xf numFmtId="9" fontId="7" fillId="0" borderId="0" xfId="1" applyFont="1"/>
    <xf numFmtId="3" fontId="7" fillId="0" borderId="3" xfId="0" applyNumberFormat="1" applyFont="1" applyBorder="1"/>
    <xf numFmtId="2" fontId="7" fillId="0" borderId="3" xfId="0" applyNumberFormat="1" applyFont="1" applyBorder="1"/>
    <xf numFmtId="183" fontId="19" fillId="0" borderId="0" xfId="2" applyNumberFormat="1" applyFont="1" applyAlignment="1">
      <alignment horizontal="centerContinuous"/>
    </xf>
    <xf numFmtId="182" fontId="5" fillId="0" borderId="0" xfId="3" applyNumberFormat="1" applyFont="1"/>
    <xf numFmtId="0" fontId="8" fillId="0" borderId="0" xfId="3" applyFont="1"/>
    <xf numFmtId="0" fontId="8" fillId="0" borderId="0" xfId="2" applyFont="1" applyAlignment="1">
      <alignment horizontal="left" indent="1"/>
    </xf>
    <xf numFmtId="165" fontId="8" fillId="0" borderId="0" xfId="3" applyNumberFormat="1" applyFont="1"/>
    <xf numFmtId="180" fontId="6" fillId="0" borderId="7" xfId="4" applyNumberFormat="1" applyFont="1" applyBorder="1"/>
    <xf numFmtId="165" fontId="18" fillId="0" borderId="0" xfId="3" applyNumberFormat="1" applyFont="1"/>
    <xf numFmtId="0" fontId="14" fillId="6" borderId="1" xfId="0" applyFont="1" applyFill="1" applyBorder="1"/>
    <xf numFmtId="180" fontId="16" fillId="6" borderId="2" xfId="0" applyNumberFormat="1" applyFont="1" applyFill="1" applyBorder="1"/>
    <xf numFmtId="0" fontId="27" fillId="0" borderId="0" xfId="0" applyFont="1" applyAlignment="1">
      <alignment horizontal="left" indent="1"/>
    </xf>
    <xf numFmtId="169" fontId="28" fillId="0" borderId="0" xfId="0" applyNumberFormat="1" applyFont="1"/>
    <xf numFmtId="184" fontId="28" fillId="0" borderId="0" xfId="0" applyNumberFormat="1" applyFont="1"/>
    <xf numFmtId="0" fontId="26" fillId="4" borderId="0" xfId="0" applyFont="1" applyFill="1" applyAlignment="1">
      <alignment horizontal="centerContinuous"/>
    </xf>
    <xf numFmtId="0" fontId="29" fillId="0" borderId="0" xfId="0" applyFont="1"/>
    <xf numFmtId="0" fontId="14" fillId="0" borderId="0" xfId="0" applyFont="1" applyAlignment="1">
      <alignment horizontal="center"/>
    </xf>
    <xf numFmtId="180" fontId="30" fillId="0" borderId="7" xfId="0" applyNumberFormat="1" applyFont="1" applyBorder="1"/>
    <xf numFmtId="165" fontId="5" fillId="0" borderId="6" xfId="3" applyNumberFormat="1" applyFont="1" applyBorder="1"/>
    <xf numFmtId="165" fontId="31" fillId="0" borderId="6" xfId="3" applyNumberFormat="1" applyFont="1" applyBorder="1"/>
    <xf numFmtId="10" fontId="7" fillId="0" borderId="0" xfId="0" applyNumberFormat="1" applyFont="1"/>
    <xf numFmtId="175" fontId="14" fillId="0" borderId="3" xfId="0" applyNumberFormat="1" applyFont="1" applyBorder="1"/>
    <xf numFmtId="180" fontId="6" fillId="0" borderId="0" xfId="4" applyNumberFormat="1" applyFont="1" applyBorder="1"/>
    <xf numFmtId="180" fontId="30" fillId="7" borderId="0" xfId="4" applyNumberFormat="1" applyFont="1" applyFill="1" applyBorder="1"/>
    <xf numFmtId="175" fontId="31" fillId="0" borderId="3" xfId="1" applyNumberFormat="1" applyFont="1" applyBorder="1"/>
    <xf numFmtId="180" fontId="30" fillId="2" borderId="0" xfId="4" applyNumberFormat="1" applyFont="1" applyFill="1" applyBorder="1"/>
    <xf numFmtId="184" fontId="32" fillId="0" borderId="7" xfId="0" applyNumberFormat="1" applyFont="1" applyBorder="1"/>
    <xf numFmtId="184" fontId="6" fillId="0" borderId="0" xfId="0" applyNumberFormat="1" applyFont="1"/>
    <xf numFmtId="184" fontId="30" fillId="7" borderId="0" xfId="0" applyNumberFormat="1" applyFont="1" applyFill="1"/>
    <xf numFmtId="184" fontId="30" fillId="2" borderId="0" xfId="0" applyNumberFormat="1" applyFont="1" applyFill="1"/>
    <xf numFmtId="0" fontId="14" fillId="0" borderId="7" xfId="0" applyFont="1" applyBorder="1" applyAlignment="1">
      <alignment horizontal="right"/>
    </xf>
    <xf numFmtId="0" fontId="14" fillId="0" borderId="6" xfId="0" applyFont="1" applyBorder="1" applyAlignment="1">
      <alignment horizontal="right"/>
    </xf>
    <xf numFmtId="174" fontId="7" fillId="0" borderId="3" xfId="0" applyNumberFormat="1" applyFont="1" applyBorder="1"/>
    <xf numFmtId="174" fontId="7" fillId="0" borderId="0" xfId="0" applyNumberFormat="1" applyFont="1"/>
    <xf numFmtId="2" fontId="7" fillId="0" borderId="0" xfId="0" applyNumberFormat="1" applyFont="1"/>
    <xf numFmtId="173" fontId="7" fillId="0" borderId="3" xfId="0" applyNumberFormat="1" applyFont="1" applyBorder="1"/>
    <xf numFmtId="173" fontId="7" fillId="0" borderId="0" xfId="0" applyNumberFormat="1" applyFont="1"/>
    <xf numFmtId="9" fontId="14" fillId="0" borderId="3" xfId="0" applyNumberFormat="1" applyFont="1" applyBorder="1"/>
    <xf numFmtId="9" fontId="14" fillId="0" borderId="3" xfId="1" applyFont="1" applyBorder="1"/>
    <xf numFmtId="186" fontId="7" fillId="0" borderId="3" xfId="0" applyNumberFormat="1" applyFont="1" applyBorder="1"/>
    <xf numFmtId="186" fontId="7" fillId="0" borderId="0" xfId="0" applyNumberFormat="1" applyFont="1"/>
    <xf numFmtId="179" fontId="5" fillId="0" borderId="0" xfId="0" applyNumberFormat="1" applyFont="1"/>
  </cellXfs>
  <cellStyles count="5">
    <cellStyle name="Normal" xfId="0" builtinId="0"/>
    <cellStyle name="Normal 2" xfId="4" xr:uid="{E68E9A5B-3D30-B04D-8B8F-0C9AD5FDC690}"/>
    <cellStyle name="Normal 2 3" xfId="3" xr:uid="{C96A8CA6-BF4D-5347-91BF-5100929F82B1}"/>
    <cellStyle name="Normal_Rite Aid" xfId="2" xr:uid="{5A389676-1473-614F-9692-2D8A2477E004}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="1"/>
              <a:t>Free Cash Flow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DCF!$B$6:$G$6</c:f>
              <c:strCache>
                <c:ptCount val="6"/>
                <c:pt idx="0">
                  <c:v>2024A</c:v>
                </c:pt>
                <c:pt idx="1">
                  <c:v>2025P</c:v>
                </c:pt>
                <c:pt idx="2">
                  <c:v>2026P</c:v>
                </c:pt>
                <c:pt idx="3">
                  <c:v>2027P</c:v>
                </c:pt>
                <c:pt idx="4">
                  <c:v>2028P</c:v>
                </c:pt>
                <c:pt idx="5">
                  <c:v>2029P</c:v>
                </c:pt>
              </c:strCache>
            </c:strRef>
          </c:cat>
          <c:val>
            <c:numRef>
              <c:f>DCF!$B$33:$G$33</c:f>
              <c:numCache>
                <c:formatCode>"$"#,##0_);\("$"#,##0\)</c:formatCode>
                <c:ptCount val="6"/>
                <c:pt idx="0">
                  <c:v>-25280.876000000011</c:v>
                </c:pt>
                <c:pt idx="1">
                  <c:v>84668.164999999994</c:v>
                </c:pt>
                <c:pt idx="2">
                  <c:v>68875.500749999948</c:v>
                </c:pt>
                <c:pt idx="3">
                  <c:v>121244.41566249993</c:v>
                </c:pt>
                <c:pt idx="4">
                  <c:v>105389.44038312492</c:v>
                </c:pt>
                <c:pt idx="5">
                  <c:v>132141.12397405106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303D-2E4D-9E3B-B008A8259CA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294284224"/>
        <c:axId val="135136144"/>
      </c:lineChart>
      <c:catAx>
        <c:axId val="129428422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Forecast Period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5136144"/>
        <c:crosses val="autoZero"/>
        <c:auto val="1"/>
        <c:lblAlgn val="ctr"/>
        <c:lblOffset val="100"/>
        <c:noMultiLvlLbl val="0"/>
      </c:catAx>
      <c:valAx>
        <c:axId val="135136144"/>
        <c:scaling>
          <c:orientation val="minMax"/>
        </c:scaling>
        <c:delete val="0"/>
        <c:axPos val="l"/>
        <c:majorGridlines>
          <c:spPr>
            <a:ln w="9525" cap="flat" cmpd="sng" algn="ctr">
              <a:noFill/>
              <a:round/>
            </a:ln>
            <a:effectLst/>
          </c:spPr>
        </c:majorGridlines>
        <c:numFmt formatCode="&quot;$&quot;#,##0_);\(&quot;$&quot;#,##0\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9428422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12700</xdr:colOff>
      <xdr:row>32</xdr:row>
      <xdr:rowOff>76200</xdr:rowOff>
    </xdr:from>
    <xdr:to>
      <xdr:col>15</xdr:col>
      <xdr:colOff>457200</xdr:colOff>
      <xdr:row>45</xdr:row>
      <xdr:rowOff>177800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E0FF45E2-CE1E-918C-1A11-DF5C2E6D70E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56F0BC-B361-F44A-8B3F-E52EF71AC73D}">
  <dimension ref="A1:V71"/>
  <sheetViews>
    <sheetView showGridLines="0" tabSelected="1" workbookViewId="0">
      <selection activeCell="D5" sqref="D5"/>
    </sheetView>
  </sheetViews>
  <sheetFormatPr baseColWidth="10" defaultColWidth="10.83203125" defaultRowHeight="14" x14ac:dyDescent="0.2"/>
  <cols>
    <col min="1" max="5" width="10.83203125" style="3"/>
    <col min="6" max="6" width="12.1640625" style="3" bestFit="1" customWidth="1"/>
    <col min="7" max="10" width="11.1640625" style="3" bestFit="1" customWidth="1"/>
    <col min="11" max="11" width="13.6640625" style="3" bestFit="1" customWidth="1"/>
    <col min="12" max="14" width="10.83203125" style="3"/>
    <col min="15" max="15" width="24.1640625" style="3" customWidth="1"/>
    <col min="16" max="16384" width="10.83203125" style="3"/>
  </cols>
  <sheetData>
    <row r="1" spans="1:22" x14ac:dyDescent="0.2">
      <c r="A1" s="1" t="s">
        <v>47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2"/>
    </row>
    <row r="2" spans="1:22" x14ac:dyDescent="0.2">
      <c r="A2" s="4"/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2"/>
    </row>
    <row r="3" spans="1:22" x14ac:dyDescent="0.2">
      <c r="B3" s="5"/>
      <c r="C3" s="5"/>
      <c r="D3" s="5"/>
      <c r="E3" s="6" t="s">
        <v>2</v>
      </c>
      <c r="F3" s="5"/>
      <c r="G3" s="5"/>
      <c r="H3" s="5"/>
      <c r="I3" s="5"/>
      <c r="J3" s="5"/>
      <c r="K3" s="5"/>
      <c r="M3" s="5"/>
      <c r="N3" s="5"/>
      <c r="O3" s="5"/>
      <c r="P3" s="6" t="s">
        <v>2</v>
      </c>
      <c r="Q3" s="5"/>
      <c r="R3" s="5"/>
      <c r="S3" s="5"/>
      <c r="T3" s="5"/>
      <c r="U3" s="5"/>
      <c r="V3" s="2"/>
    </row>
    <row r="4" spans="1:22" x14ac:dyDescent="0.2">
      <c r="A4" s="4" t="s">
        <v>1</v>
      </c>
      <c r="C4" s="5"/>
      <c r="D4" s="4"/>
      <c r="E4" s="6"/>
      <c r="F4" s="7" t="s">
        <v>23</v>
      </c>
      <c r="G4" s="7" t="s">
        <v>3</v>
      </c>
      <c r="H4" s="7" t="s">
        <v>4</v>
      </c>
      <c r="I4" s="7" t="s">
        <v>5</v>
      </c>
      <c r="J4" s="7" t="s">
        <v>6</v>
      </c>
      <c r="K4" s="7" t="s">
        <v>48</v>
      </c>
      <c r="M4" s="4"/>
      <c r="N4" s="4" t="s">
        <v>0</v>
      </c>
      <c r="O4" s="5"/>
      <c r="P4" s="6"/>
      <c r="Q4" s="7" t="s">
        <v>23</v>
      </c>
      <c r="R4" s="7" t="s">
        <v>3</v>
      </c>
      <c r="S4" s="7" t="s">
        <v>4</v>
      </c>
      <c r="T4" s="7" t="s">
        <v>5</v>
      </c>
      <c r="U4" s="7" t="s">
        <v>6</v>
      </c>
      <c r="V4" s="2" t="s">
        <v>48</v>
      </c>
    </row>
    <row r="5" spans="1:22" x14ac:dyDescent="0.2">
      <c r="A5" s="4"/>
      <c r="B5" s="5"/>
      <c r="C5" s="5"/>
      <c r="D5" s="4"/>
      <c r="E5" s="8"/>
      <c r="F5" s="7"/>
      <c r="G5" s="7"/>
      <c r="H5" s="7"/>
      <c r="I5" s="7"/>
      <c r="J5" s="7"/>
      <c r="K5" s="7"/>
      <c r="L5" s="4"/>
      <c r="M5" s="4"/>
      <c r="N5" s="4" t="s">
        <v>49</v>
      </c>
      <c r="O5" s="5"/>
      <c r="P5" s="8"/>
      <c r="Q5" s="7"/>
      <c r="R5" s="7"/>
      <c r="S5" s="7"/>
      <c r="T5" s="7"/>
      <c r="U5" s="7"/>
      <c r="V5" s="2"/>
    </row>
    <row r="6" spans="1:22" x14ac:dyDescent="0.2">
      <c r="A6" s="4" t="s">
        <v>7</v>
      </c>
      <c r="B6" s="4"/>
      <c r="C6" s="5"/>
      <c r="D6" s="5"/>
      <c r="E6" s="5"/>
      <c r="F6" s="5"/>
      <c r="G6" s="5"/>
      <c r="H6" s="5"/>
      <c r="I6" s="5"/>
      <c r="J6" s="5"/>
      <c r="K6" s="5"/>
      <c r="L6" s="5"/>
      <c r="M6" s="5"/>
      <c r="O6" s="5"/>
      <c r="P6" s="5"/>
      <c r="Q6" s="2"/>
      <c r="R6" s="2"/>
      <c r="S6" s="2"/>
      <c r="T6" s="2"/>
      <c r="U6" s="2"/>
      <c r="V6" s="2"/>
    </row>
    <row r="7" spans="1:22" x14ac:dyDescent="0.2">
      <c r="A7" s="5"/>
      <c r="B7" s="4" t="s">
        <v>8</v>
      </c>
      <c r="C7" s="4"/>
      <c r="D7" s="5"/>
      <c r="E7" s="5"/>
      <c r="F7" s="5"/>
      <c r="G7" s="5"/>
      <c r="H7" s="5"/>
      <c r="I7" s="5"/>
      <c r="J7" s="5"/>
      <c r="K7" s="5"/>
      <c r="L7" s="5"/>
      <c r="M7" s="5"/>
      <c r="N7" s="4"/>
      <c r="O7" s="5" t="s">
        <v>50</v>
      </c>
      <c r="P7" s="9"/>
      <c r="Q7" s="10">
        <f>E43</f>
        <v>300000</v>
      </c>
      <c r="R7" s="11">
        <f>Q7*(1+F43)</f>
        <v>360000</v>
      </c>
      <c r="S7" s="11">
        <f>R7*(1+G43)</f>
        <v>413999.99999999994</v>
      </c>
      <c r="T7" s="11">
        <f>S7*(1+H43)</f>
        <v>476099.99999999988</v>
      </c>
      <c r="U7" s="11">
        <f>T7*(1+I43)</f>
        <v>547514.99999999977</v>
      </c>
      <c r="V7" s="11">
        <f>U7*(1+J43)</f>
        <v>613216.79999999981</v>
      </c>
    </row>
    <row r="8" spans="1:22" x14ac:dyDescent="0.2">
      <c r="A8" s="5"/>
      <c r="B8" s="4"/>
      <c r="C8" s="5" t="s">
        <v>10</v>
      </c>
      <c r="D8" s="5"/>
      <c r="E8" s="12"/>
      <c r="F8" s="10">
        <f>Q55</f>
        <v>213839.12400000001</v>
      </c>
      <c r="G8" s="13">
        <f t="shared" ref="G8:K8" si="0">R55</f>
        <v>193511.7162</v>
      </c>
      <c r="H8" s="13">
        <f t="shared" si="0"/>
        <v>180234.26551</v>
      </c>
      <c r="I8" s="13">
        <f t="shared" si="0"/>
        <v>171457.06216049998</v>
      </c>
      <c r="J8" s="13">
        <f t="shared" si="0"/>
        <v>168877.33108102489</v>
      </c>
      <c r="K8" s="13">
        <f t="shared" si="0"/>
        <v>188954.72380507604</v>
      </c>
      <c r="L8" s="5"/>
      <c r="M8" s="5"/>
      <c r="N8" s="4"/>
      <c r="O8" s="4" t="s">
        <v>51</v>
      </c>
      <c r="P8" s="9"/>
      <c r="Q8" s="14">
        <f>SUM(Q6:Q7)</f>
        <v>300000</v>
      </c>
      <c r="R8" s="15">
        <f t="shared" ref="R8:V8" si="1">SUM(R6:R7)</f>
        <v>360000</v>
      </c>
      <c r="S8" s="15">
        <f t="shared" si="1"/>
        <v>413999.99999999994</v>
      </c>
      <c r="T8" s="15">
        <f t="shared" si="1"/>
        <v>476099.99999999988</v>
      </c>
      <c r="U8" s="15">
        <f t="shared" si="1"/>
        <v>547514.99999999977</v>
      </c>
      <c r="V8" s="15">
        <f t="shared" si="1"/>
        <v>613216.79999999981</v>
      </c>
    </row>
    <row r="9" spans="1:22" x14ac:dyDescent="0.2">
      <c r="A9" s="5"/>
      <c r="B9" s="5"/>
      <c r="C9" s="5" t="s">
        <v>52</v>
      </c>
      <c r="D9" s="5"/>
      <c r="E9" s="12"/>
      <c r="F9" s="10">
        <f t="shared" ref="F9:K9" si="2">Q8*E50</f>
        <v>15000</v>
      </c>
      <c r="G9" s="13">
        <f t="shared" si="2"/>
        <v>18000</v>
      </c>
      <c r="H9" s="13">
        <f t="shared" si="2"/>
        <v>31049.999999999993</v>
      </c>
      <c r="I9" s="13">
        <f t="shared" si="2"/>
        <v>47609.999999999993</v>
      </c>
      <c r="J9" s="13">
        <f t="shared" si="2"/>
        <v>68439.374999999971</v>
      </c>
      <c r="K9" s="13">
        <f t="shared" si="2"/>
        <v>76652.099999999977</v>
      </c>
      <c r="L9" s="5"/>
      <c r="M9" s="5"/>
      <c r="N9" s="4" t="s">
        <v>53</v>
      </c>
      <c r="O9" s="4"/>
      <c r="P9" s="9"/>
      <c r="Q9" s="16"/>
      <c r="R9" s="17"/>
      <c r="S9" s="17"/>
      <c r="T9" s="17"/>
      <c r="U9" s="17"/>
      <c r="V9" s="2"/>
    </row>
    <row r="10" spans="1:22" x14ac:dyDescent="0.2">
      <c r="A10" s="5"/>
      <c r="B10" s="5"/>
      <c r="C10" s="5" t="s">
        <v>24</v>
      </c>
      <c r="D10" s="5"/>
      <c r="E10" s="12"/>
      <c r="F10" s="18">
        <f t="shared" ref="F10:K10" si="3">Q8*E51</f>
        <v>45000</v>
      </c>
      <c r="G10" s="19">
        <f t="shared" si="3"/>
        <v>50400.000000000007</v>
      </c>
      <c r="H10" s="19">
        <f t="shared" si="3"/>
        <v>49679.999999999993</v>
      </c>
      <c r="I10" s="19">
        <f t="shared" si="3"/>
        <v>47609.999999999993</v>
      </c>
      <c r="J10" s="19">
        <f t="shared" si="3"/>
        <v>54751.499999999978</v>
      </c>
      <c r="K10" s="19">
        <f t="shared" si="3"/>
        <v>49057.343999999983</v>
      </c>
      <c r="L10" s="5"/>
      <c r="M10" s="5"/>
      <c r="N10" s="5"/>
      <c r="O10" s="5" t="s">
        <v>54</v>
      </c>
      <c r="P10" s="9"/>
      <c r="Q10" s="10">
        <v>150000</v>
      </c>
      <c r="R10" s="11">
        <f>R8*F44</f>
        <v>162000</v>
      </c>
      <c r="S10" s="11">
        <f>S8*G44</f>
        <v>174914.99999999997</v>
      </c>
      <c r="T10" s="11">
        <f>T8*H44</f>
        <v>201152.24999999994</v>
      </c>
      <c r="U10" s="11">
        <f>U8*I44</f>
        <v>219005.99999999991</v>
      </c>
      <c r="V10" s="11">
        <f>V8*J44</f>
        <v>245286.71999999994</v>
      </c>
    </row>
    <row r="11" spans="1:22" x14ac:dyDescent="0.2">
      <c r="A11" s="5"/>
      <c r="B11" s="5"/>
      <c r="C11" s="4" t="s">
        <v>55</v>
      </c>
      <c r="D11" s="4"/>
      <c r="E11" s="20"/>
      <c r="F11" s="14">
        <f t="shared" ref="F11:K11" si="4">SUM(F8:F10)</f>
        <v>273839.12400000001</v>
      </c>
      <c r="G11" s="15">
        <f t="shared" si="4"/>
        <v>261911.7162</v>
      </c>
      <c r="H11" s="15">
        <f t="shared" si="4"/>
        <v>260964.26551</v>
      </c>
      <c r="I11" s="15">
        <f t="shared" si="4"/>
        <v>266677.06216049998</v>
      </c>
      <c r="J11" s="15">
        <f t="shared" si="4"/>
        <v>292068.20608102484</v>
      </c>
      <c r="K11" s="15">
        <f t="shared" si="4"/>
        <v>314664.16780507599</v>
      </c>
      <c r="L11" s="5"/>
      <c r="M11" s="5"/>
      <c r="N11" s="5"/>
      <c r="O11" s="4" t="s">
        <v>12</v>
      </c>
      <c r="P11" s="9"/>
      <c r="Q11" s="14">
        <f>Q8-Q10</f>
        <v>150000</v>
      </c>
      <c r="R11" s="15">
        <f t="shared" ref="R11:V11" si="5">R8-R10</f>
        <v>198000</v>
      </c>
      <c r="S11" s="15">
        <f t="shared" si="5"/>
        <v>239084.99999999997</v>
      </c>
      <c r="T11" s="15">
        <f t="shared" si="5"/>
        <v>274947.74999999994</v>
      </c>
      <c r="U11" s="15">
        <f t="shared" si="5"/>
        <v>328508.99999999988</v>
      </c>
      <c r="V11" s="15">
        <f t="shared" si="5"/>
        <v>367930.07999999984</v>
      </c>
    </row>
    <row r="12" spans="1:22" x14ac:dyDescent="0.2">
      <c r="A12" s="5"/>
      <c r="B12" s="4" t="s">
        <v>56</v>
      </c>
      <c r="C12" s="4"/>
      <c r="D12" s="5"/>
      <c r="E12" s="21"/>
      <c r="F12" s="16"/>
      <c r="G12" s="17"/>
      <c r="H12" s="17"/>
      <c r="I12" s="17"/>
      <c r="J12" s="17"/>
      <c r="K12" s="17"/>
      <c r="L12" s="5"/>
      <c r="M12" s="5"/>
      <c r="O12" s="4"/>
      <c r="P12" s="9"/>
      <c r="Q12" s="14"/>
      <c r="R12" s="17"/>
      <c r="S12" s="17"/>
      <c r="T12" s="17"/>
      <c r="U12" s="17"/>
      <c r="V12" s="22"/>
    </row>
    <row r="13" spans="1:22" x14ac:dyDescent="0.2">
      <c r="A13" s="5"/>
      <c r="B13" s="5"/>
      <c r="C13" s="5" t="s">
        <v>11</v>
      </c>
      <c r="D13" s="5"/>
      <c r="E13" s="12"/>
      <c r="F13" s="23">
        <f>E58</f>
        <v>10000</v>
      </c>
      <c r="G13" s="13">
        <f>F13+F58</f>
        <v>10000</v>
      </c>
      <c r="H13" s="13">
        <f>G13+G58</f>
        <v>10000</v>
      </c>
      <c r="I13" s="13">
        <f>H13+H58</f>
        <v>10000</v>
      </c>
      <c r="J13" s="13">
        <f>I13+I58</f>
        <v>10000</v>
      </c>
      <c r="K13" s="13">
        <f>J13+J58</f>
        <v>10000</v>
      </c>
      <c r="L13" s="5"/>
      <c r="M13" s="5"/>
      <c r="N13" s="4" t="s">
        <v>57</v>
      </c>
      <c r="O13" s="5"/>
      <c r="P13" s="9"/>
      <c r="Q13" s="24"/>
      <c r="R13" s="17"/>
      <c r="S13" s="17"/>
      <c r="T13" s="17"/>
      <c r="U13" s="17"/>
      <c r="V13" s="2"/>
    </row>
    <row r="14" spans="1:22" x14ac:dyDescent="0.2">
      <c r="A14" s="5"/>
      <c r="B14" s="5"/>
      <c r="C14" s="5" t="s">
        <v>58</v>
      </c>
      <c r="D14" s="5"/>
      <c r="E14" s="12"/>
      <c r="F14" s="25">
        <f>-F59</f>
        <v>-2000</v>
      </c>
      <c r="G14" s="11">
        <f>F14-G59</f>
        <v>-4000</v>
      </c>
      <c r="H14" s="11">
        <f>G14-H59</f>
        <v>-6000</v>
      </c>
      <c r="I14" s="11">
        <f>H14-I59</f>
        <v>-8000</v>
      </c>
      <c r="J14" s="11">
        <f>I14-J59</f>
        <v>-10000</v>
      </c>
      <c r="K14" s="11">
        <f>0</f>
        <v>0</v>
      </c>
      <c r="L14" s="5"/>
      <c r="M14" s="5"/>
      <c r="N14" s="5"/>
      <c r="O14" s="5" t="s">
        <v>59</v>
      </c>
      <c r="P14" s="9"/>
      <c r="Q14" s="26">
        <f t="shared" ref="Q14:V15" si="6">F45</f>
        <v>43006.700000000004</v>
      </c>
      <c r="R14" s="13">
        <f t="shared" si="6"/>
        <v>45157.035000000003</v>
      </c>
      <c r="S14" s="13">
        <f t="shared" si="6"/>
        <v>47414.886750000005</v>
      </c>
      <c r="T14" s="13">
        <f t="shared" si="6"/>
        <v>49785.631087500005</v>
      </c>
      <c r="U14" s="13">
        <f t="shared" si="6"/>
        <v>52274.912641875009</v>
      </c>
      <c r="V14" s="13">
        <f t="shared" si="6"/>
        <v>54888.658273968766</v>
      </c>
    </row>
    <row r="15" spans="1:22" x14ac:dyDescent="0.2">
      <c r="A15" s="5"/>
      <c r="B15" s="5"/>
      <c r="C15" s="4" t="s">
        <v>60</v>
      </c>
      <c r="D15" s="4"/>
      <c r="E15" s="20"/>
      <c r="F15" s="14">
        <f>SUM(F13:F14)</f>
        <v>8000</v>
      </c>
      <c r="G15" s="15">
        <f t="shared" ref="G15:K15" si="7">SUM(G13:G14)</f>
        <v>6000</v>
      </c>
      <c r="H15" s="15">
        <f t="shared" si="7"/>
        <v>4000</v>
      </c>
      <c r="I15" s="15">
        <f t="shared" si="7"/>
        <v>2000</v>
      </c>
      <c r="J15" s="15">
        <f t="shared" si="7"/>
        <v>0</v>
      </c>
      <c r="K15" s="15">
        <f t="shared" si="7"/>
        <v>10000</v>
      </c>
      <c r="L15" s="5"/>
      <c r="M15" s="5"/>
      <c r="N15" s="5"/>
      <c r="O15" s="5" t="s">
        <v>61</v>
      </c>
      <c r="P15" s="9"/>
      <c r="Q15" s="26">
        <f t="shared" si="6"/>
        <v>35316</v>
      </c>
      <c r="R15" s="13">
        <f t="shared" si="6"/>
        <v>37081.800000000003</v>
      </c>
      <c r="S15" s="13">
        <f t="shared" si="6"/>
        <v>38935.890000000007</v>
      </c>
      <c r="T15" s="13">
        <f t="shared" si="6"/>
        <v>40882.68450000001</v>
      </c>
      <c r="U15" s="13">
        <f t="shared" si="6"/>
        <v>42926.818725000012</v>
      </c>
      <c r="V15" s="13">
        <f t="shared" si="6"/>
        <v>45073.159661250014</v>
      </c>
    </row>
    <row r="16" spans="1:22" x14ac:dyDescent="0.2">
      <c r="A16" s="5"/>
      <c r="B16" s="5"/>
      <c r="C16" s="5"/>
      <c r="D16" s="5"/>
      <c r="E16" s="21"/>
      <c r="F16" s="16"/>
      <c r="G16" s="17"/>
      <c r="H16" s="17"/>
      <c r="I16" s="17"/>
      <c r="J16" s="17"/>
      <c r="K16" s="17"/>
      <c r="L16" s="5"/>
      <c r="M16" s="5"/>
      <c r="N16" s="5"/>
      <c r="O16" s="5" t="s">
        <v>62</v>
      </c>
      <c r="P16" s="9"/>
      <c r="Q16" s="26">
        <f>E47</f>
        <v>37958</v>
      </c>
      <c r="R16" s="13">
        <f>R8*F47</f>
        <v>22500</v>
      </c>
      <c r="S16" s="13">
        <f>S8*G47</f>
        <v>31049.999999999993</v>
      </c>
      <c r="T16" s="13">
        <f>T8*H47</f>
        <v>41658.749999999985</v>
      </c>
      <c r="U16" s="13">
        <f>U8*I47</f>
        <v>49276.349999999977</v>
      </c>
      <c r="V16" s="13">
        <f>V8*J47</f>
        <v>61321.679999999986</v>
      </c>
    </row>
    <row r="17" spans="1:22" x14ac:dyDescent="0.2">
      <c r="A17" s="5"/>
      <c r="B17" s="4" t="s">
        <v>13</v>
      </c>
      <c r="C17" s="4"/>
      <c r="D17" s="5"/>
      <c r="E17" s="20"/>
      <c r="F17" s="14">
        <f>F11+F15</f>
        <v>281839.12400000001</v>
      </c>
      <c r="G17" s="15">
        <f t="shared" ref="G17:K17" si="8">G11+G15</f>
        <v>267911.71620000002</v>
      </c>
      <c r="H17" s="15">
        <f t="shared" si="8"/>
        <v>264964.26551</v>
      </c>
      <c r="I17" s="15">
        <f t="shared" si="8"/>
        <v>268677.06216049998</v>
      </c>
      <c r="J17" s="15">
        <f t="shared" si="8"/>
        <v>292068.20608102484</v>
      </c>
      <c r="K17" s="15">
        <f t="shared" si="8"/>
        <v>324664.16780507599</v>
      </c>
      <c r="L17" s="5"/>
      <c r="M17" s="5"/>
      <c r="N17" s="5"/>
      <c r="O17" s="5" t="s">
        <v>63</v>
      </c>
      <c r="P17" s="9"/>
      <c r="Q17" s="27">
        <f>F59</f>
        <v>2000</v>
      </c>
      <c r="R17" s="19">
        <f>G59</f>
        <v>2000</v>
      </c>
      <c r="S17" s="19">
        <f>H59</f>
        <v>2000</v>
      </c>
      <c r="T17" s="19">
        <f>I59</f>
        <v>2000</v>
      </c>
      <c r="U17" s="19">
        <f>J59</f>
        <v>2000</v>
      </c>
      <c r="V17" s="19">
        <f>0</f>
        <v>0</v>
      </c>
    </row>
    <row r="18" spans="1:22" x14ac:dyDescent="0.2">
      <c r="A18" s="5"/>
      <c r="B18" s="5"/>
      <c r="C18" s="5"/>
      <c r="D18" s="5"/>
      <c r="E18" s="21"/>
      <c r="F18" s="16"/>
      <c r="G18" s="17"/>
      <c r="H18" s="17"/>
      <c r="I18" s="17"/>
      <c r="J18" s="17"/>
      <c r="K18" s="17"/>
      <c r="L18" s="5"/>
      <c r="M18" s="28"/>
      <c r="N18" s="5"/>
      <c r="O18" s="4" t="s">
        <v>64</v>
      </c>
      <c r="P18" s="9"/>
      <c r="Q18" s="14">
        <f>SUM(Q14:Q17)</f>
        <v>118280.70000000001</v>
      </c>
      <c r="R18" s="15">
        <f t="shared" ref="R18:V18" si="9">SUM(R14:R17)</f>
        <v>106738.83500000001</v>
      </c>
      <c r="S18" s="15">
        <f t="shared" si="9"/>
        <v>119400.77675000002</v>
      </c>
      <c r="T18" s="15">
        <f t="shared" si="9"/>
        <v>134327.06558749999</v>
      </c>
      <c r="U18" s="15">
        <f t="shared" si="9"/>
        <v>146478.08136687501</v>
      </c>
      <c r="V18" s="15">
        <f t="shared" si="9"/>
        <v>161283.49793521877</v>
      </c>
    </row>
    <row r="19" spans="1:22" x14ac:dyDescent="0.2">
      <c r="A19" s="4" t="s">
        <v>65</v>
      </c>
      <c r="B19" s="4"/>
      <c r="C19" s="4"/>
      <c r="D19" s="5"/>
      <c r="E19" s="21"/>
      <c r="F19" s="16"/>
      <c r="G19" s="17"/>
      <c r="H19" s="17"/>
      <c r="I19" s="17"/>
      <c r="J19" s="17"/>
      <c r="K19" s="17"/>
      <c r="L19" s="17"/>
      <c r="M19" s="5"/>
      <c r="N19" s="5"/>
      <c r="O19" s="5"/>
      <c r="P19" s="9"/>
      <c r="Q19" s="16"/>
      <c r="R19" s="17"/>
      <c r="S19" s="17"/>
      <c r="T19" s="17"/>
      <c r="U19" s="17"/>
      <c r="V19" s="2"/>
    </row>
    <row r="20" spans="1:22" x14ac:dyDescent="0.2">
      <c r="A20" s="2"/>
      <c r="B20" s="4" t="s">
        <v>66</v>
      </c>
      <c r="C20" s="4"/>
      <c r="D20" s="5"/>
      <c r="E20" s="21"/>
      <c r="F20" s="16"/>
      <c r="G20" s="17"/>
      <c r="H20" s="17"/>
      <c r="I20" s="17"/>
      <c r="J20" s="17"/>
      <c r="K20" s="17"/>
      <c r="L20" s="5"/>
      <c r="M20" s="5"/>
      <c r="N20" s="4" t="s">
        <v>15</v>
      </c>
      <c r="O20" s="4"/>
      <c r="P20" s="9"/>
      <c r="Q20" s="14">
        <f>Q11-Q18</f>
        <v>31719.299999999988</v>
      </c>
      <c r="R20" s="15">
        <f t="shared" ref="R20:V20" si="10">R11-R18</f>
        <v>91261.164999999994</v>
      </c>
      <c r="S20" s="15">
        <f t="shared" si="10"/>
        <v>119684.22324999995</v>
      </c>
      <c r="T20" s="15">
        <f t="shared" si="10"/>
        <v>140620.68441249995</v>
      </c>
      <c r="U20" s="15">
        <f t="shared" si="10"/>
        <v>182030.91863312488</v>
      </c>
      <c r="V20" s="15">
        <f t="shared" si="10"/>
        <v>206646.58206478108</v>
      </c>
    </row>
    <row r="21" spans="1:22" x14ac:dyDescent="0.2">
      <c r="A21" s="5"/>
      <c r="B21" s="4"/>
      <c r="C21" s="5" t="s">
        <v>67</v>
      </c>
      <c r="D21" s="5"/>
      <c r="E21" s="12"/>
      <c r="F21" s="23">
        <f t="shared" ref="F21:K21" si="11">Q10*E52</f>
        <v>13650</v>
      </c>
      <c r="G21" s="13">
        <f t="shared" si="11"/>
        <v>15957</v>
      </c>
      <c r="H21" s="13">
        <f t="shared" si="11"/>
        <v>18978.277499999997</v>
      </c>
      <c r="I21" s="13">
        <f t="shared" si="11"/>
        <v>23132.508749999994</v>
      </c>
      <c r="J21" s="13">
        <f t="shared" si="11"/>
        <v>27485.25299999999</v>
      </c>
      <c r="K21" s="13">
        <f t="shared" si="11"/>
        <v>33358.993919999994</v>
      </c>
      <c r="L21" s="5"/>
      <c r="M21" s="5"/>
      <c r="N21" s="4"/>
      <c r="O21" s="5"/>
      <c r="P21" s="9"/>
      <c r="Q21" s="16"/>
      <c r="R21" s="17"/>
      <c r="S21" s="17"/>
      <c r="T21" s="17"/>
      <c r="U21" s="17"/>
      <c r="V21" s="2"/>
    </row>
    <row r="22" spans="1:22" x14ac:dyDescent="0.2">
      <c r="A22" s="5"/>
      <c r="B22" s="5"/>
      <c r="C22" s="5" t="s">
        <v>68</v>
      </c>
      <c r="D22" s="5"/>
      <c r="E22" s="12"/>
      <c r="F22" s="25">
        <f t="shared" ref="F22:K22" si="12">Q8*E53</f>
        <v>7500</v>
      </c>
      <c r="G22" s="19">
        <f t="shared" si="12"/>
        <v>9000</v>
      </c>
      <c r="H22" s="19">
        <f t="shared" si="12"/>
        <v>10350</v>
      </c>
      <c r="I22" s="19">
        <f t="shared" si="12"/>
        <v>11902.499999999998</v>
      </c>
      <c r="J22" s="19">
        <f t="shared" si="12"/>
        <v>13687.874999999995</v>
      </c>
      <c r="K22" s="19">
        <f t="shared" si="12"/>
        <v>15330.419999999996</v>
      </c>
      <c r="L22" s="5"/>
      <c r="M22" s="5"/>
      <c r="N22" s="4" t="s">
        <v>69</v>
      </c>
      <c r="O22" s="4"/>
      <c r="P22" s="9"/>
      <c r="Q22" s="16"/>
      <c r="R22" s="17"/>
      <c r="S22" s="17"/>
      <c r="T22" s="17"/>
      <c r="U22" s="17"/>
      <c r="V22" s="2"/>
    </row>
    <row r="23" spans="1:22" x14ac:dyDescent="0.2">
      <c r="A23" s="5"/>
      <c r="B23" s="4"/>
      <c r="C23" s="4" t="s">
        <v>70</v>
      </c>
      <c r="D23" s="4"/>
      <c r="E23" s="20"/>
      <c r="F23" s="14">
        <f>SUM(F21:F22)</f>
        <v>21150</v>
      </c>
      <c r="G23" s="15">
        <f t="shared" ref="G23:K23" si="13">SUM(G21:G22)</f>
        <v>24957</v>
      </c>
      <c r="H23" s="15">
        <f t="shared" si="13"/>
        <v>29328.277499999997</v>
      </c>
      <c r="I23" s="15">
        <f t="shared" si="13"/>
        <v>35035.008749999994</v>
      </c>
      <c r="J23" s="15">
        <f t="shared" si="13"/>
        <v>41173.127999999982</v>
      </c>
      <c r="K23" s="15">
        <f t="shared" si="13"/>
        <v>48689.413919999992</v>
      </c>
      <c r="L23" s="5"/>
      <c r="M23" s="5"/>
      <c r="N23" s="5"/>
      <c r="O23" s="5" t="s">
        <v>17</v>
      </c>
      <c r="P23" s="9"/>
      <c r="Q23" s="26">
        <f>F26*E48</f>
        <v>16000</v>
      </c>
      <c r="R23" s="13">
        <f>G28*F48</f>
        <v>14400</v>
      </c>
      <c r="S23" s="13">
        <f>H28*G48</f>
        <v>12800</v>
      </c>
      <c r="T23" s="13">
        <f>I28*H48</f>
        <v>11200</v>
      </c>
      <c r="U23" s="13">
        <f>J28*I48</f>
        <v>9600</v>
      </c>
      <c r="V23" s="13">
        <f>K28*J48</f>
        <v>8000</v>
      </c>
    </row>
    <row r="24" spans="1:22" x14ac:dyDescent="0.2">
      <c r="A24" s="5"/>
      <c r="B24" s="4"/>
      <c r="C24" s="4"/>
      <c r="D24" s="4"/>
      <c r="E24" s="21"/>
      <c r="F24" s="16"/>
      <c r="G24" s="17"/>
      <c r="H24" s="17"/>
      <c r="I24" s="17"/>
      <c r="J24" s="17"/>
      <c r="K24" s="17"/>
      <c r="L24" s="5"/>
      <c r="M24" s="5"/>
      <c r="N24" s="5"/>
      <c r="O24" s="5" t="s">
        <v>18</v>
      </c>
      <c r="P24" s="9"/>
      <c r="Q24" s="14">
        <f>Q23</f>
        <v>16000</v>
      </c>
      <c r="R24" s="15">
        <f t="shared" ref="R24:V24" si="14">R23</f>
        <v>14400</v>
      </c>
      <c r="S24" s="15">
        <f t="shared" si="14"/>
        <v>12800</v>
      </c>
      <c r="T24" s="15">
        <f t="shared" si="14"/>
        <v>11200</v>
      </c>
      <c r="U24" s="15">
        <f t="shared" si="14"/>
        <v>9600</v>
      </c>
      <c r="V24" s="15">
        <f t="shared" si="14"/>
        <v>8000</v>
      </c>
    </row>
    <row r="25" spans="1:22" x14ac:dyDescent="0.2">
      <c r="A25" s="5"/>
      <c r="B25" s="4" t="s">
        <v>71</v>
      </c>
      <c r="C25" s="4"/>
      <c r="D25" s="4"/>
      <c r="E25" s="21"/>
      <c r="F25" s="16"/>
      <c r="G25" s="17"/>
      <c r="H25" s="17"/>
      <c r="I25" s="17"/>
      <c r="J25" s="17"/>
      <c r="K25" s="17"/>
      <c r="L25" s="5"/>
      <c r="M25" s="5"/>
      <c r="N25" s="5"/>
      <c r="O25" s="5"/>
      <c r="P25" s="9"/>
      <c r="Q25" s="16"/>
      <c r="R25" s="17"/>
      <c r="S25" s="17"/>
      <c r="T25" s="17"/>
      <c r="U25" s="17"/>
      <c r="V25" s="2"/>
    </row>
    <row r="26" spans="1:22" x14ac:dyDescent="0.2">
      <c r="A26" s="5"/>
      <c r="B26" s="2"/>
      <c r="C26" s="5" t="s">
        <v>9</v>
      </c>
      <c r="D26" s="5"/>
      <c r="E26" s="12"/>
      <c r="F26" s="23">
        <v>200000</v>
      </c>
      <c r="G26" s="13">
        <f>F26+F55</f>
        <v>180000</v>
      </c>
      <c r="H26" s="13">
        <f>G26+G55</f>
        <v>160000</v>
      </c>
      <c r="I26" s="13">
        <f>H26+H55</f>
        <v>140000</v>
      </c>
      <c r="J26" s="13">
        <f>I26+I55</f>
        <v>120000</v>
      </c>
      <c r="K26" s="13">
        <f>J26+J55</f>
        <v>100000</v>
      </c>
      <c r="L26" s="5"/>
      <c r="M26" s="5"/>
      <c r="N26" s="4" t="s">
        <v>19</v>
      </c>
      <c r="O26" s="4"/>
      <c r="P26" s="9"/>
      <c r="Q26" s="14">
        <f>Q20-Q24</f>
        <v>15719.299999999988</v>
      </c>
      <c r="R26" s="15">
        <f t="shared" ref="R26:V26" si="15">R20-R24</f>
        <v>76861.164999999994</v>
      </c>
      <c r="S26" s="15">
        <f t="shared" si="15"/>
        <v>106884.22324999995</v>
      </c>
      <c r="T26" s="15">
        <f t="shared" si="15"/>
        <v>129420.68441249995</v>
      </c>
      <c r="U26" s="15">
        <f t="shared" si="15"/>
        <v>172430.91863312488</v>
      </c>
      <c r="V26" s="15">
        <f t="shared" si="15"/>
        <v>198646.58206478108</v>
      </c>
    </row>
    <row r="27" spans="1:22" x14ac:dyDescent="0.2">
      <c r="A27" s="5"/>
      <c r="B27" s="4"/>
      <c r="C27" s="5" t="s">
        <v>16</v>
      </c>
      <c r="D27" s="5"/>
      <c r="E27" s="12"/>
      <c r="F27" s="25">
        <f>0</f>
        <v>0</v>
      </c>
      <c r="G27" s="19">
        <f>0</f>
        <v>0</v>
      </c>
      <c r="H27" s="19">
        <f>0</f>
        <v>0</v>
      </c>
      <c r="I27" s="19">
        <f>0</f>
        <v>0</v>
      </c>
      <c r="J27" s="19">
        <f>0</f>
        <v>0</v>
      </c>
      <c r="K27" s="19">
        <f>0</f>
        <v>0</v>
      </c>
      <c r="L27" s="5"/>
      <c r="M27" s="5"/>
      <c r="N27" s="5"/>
      <c r="O27" s="5" t="s">
        <v>20</v>
      </c>
      <c r="P27" s="9"/>
      <c r="Q27" s="29">
        <f t="shared" ref="Q27:V27" si="16">-Q26*$C$62</f>
        <v>-5030.1759999999967</v>
      </c>
      <c r="R27" s="30">
        <f t="shared" si="16"/>
        <v>-24595.572799999998</v>
      </c>
      <c r="S27" s="31">
        <f t="shared" si="16"/>
        <v>-34202.951439999983</v>
      </c>
      <c r="T27" s="31">
        <f t="shared" si="16"/>
        <v>-41414.619011999981</v>
      </c>
      <c r="U27" s="31">
        <f t="shared" si="16"/>
        <v>-55177.893962599963</v>
      </c>
      <c r="V27" s="31">
        <f t="shared" si="16"/>
        <v>-63566.906260729949</v>
      </c>
    </row>
    <row r="28" spans="1:22" x14ac:dyDescent="0.2">
      <c r="A28" s="5"/>
      <c r="B28" s="4"/>
      <c r="C28" s="4" t="s">
        <v>72</v>
      </c>
      <c r="D28" s="5"/>
      <c r="E28" s="20"/>
      <c r="F28" s="14">
        <f>SUM(F26:F27)</f>
        <v>200000</v>
      </c>
      <c r="G28" s="15">
        <f t="shared" ref="G28:K28" si="17">SUM(G26:G27)</f>
        <v>180000</v>
      </c>
      <c r="H28" s="15">
        <f t="shared" si="17"/>
        <v>160000</v>
      </c>
      <c r="I28" s="15">
        <f t="shared" si="17"/>
        <v>140000</v>
      </c>
      <c r="J28" s="15">
        <f t="shared" si="17"/>
        <v>120000</v>
      </c>
      <c r="K28" s="15">
        <f t="shared" si="17"/>
        <v>100000</v>
      </c>
      <c r="L28" s="2"/>
      <c r="M28" s="2"/>
      <c r="N28" s="4" t="s">
        <v>22</v>
      </c>
      <c r="O28" s="4"/>
      <c r="P28" s="9"/>
      <c r="Q28" s="14">
        <f>Q26+Q27</f>
        <v>10689.123999999993</v>
      </c>
      <c r="R28" s="15">
        <f>R26+R27</f>
        <v>52265.592199999999</v>
      </c>
      <c r="S28" s="15">
        <f t="shared" ref="S28:V28" si="18">S26+S27</f>
        <v>72681.271809999977</v>
      </c>
      <c r="T28" s="15">
        <f t="shared" si="18"/>
        <v>88006.065400499967</v>
      </c>
      <c r="U28" s="15">
        <f t="shared" si="18"/>
        <v>117253.02467052492</v>
      </c>
      <c r="V28" s="15">
        <f t="shared" si="18"/>
        <v>135079.67580405113</v>
      </c>
    </row>
    <row r="29" spans="1:22" x14ac:dyDescent="0.2">
      <c r="A29" s="5"/>
      <c r="B29" s="4"/>
      <c r="C29" s="4"/>
      <c r="D29" s="5"/>
      <c r="E29" s="20"/>
      <c r="F29" s="14"/>
      <c r="G29" s="17"/>
      <c r="H29" s="17"/>
      <c r="I29" s="17"/>
      <c r="J29" s="17"/>
      <c r="K29" s="17"/>
      <c r="L29" s="5"/>
      <c r="M29" s="5"/>
      <c r="N29" s="5"/>
      <c r="O29" s="5"/>
      <c r="P29" s="32"/>
      <c r="Q29" s="33"/>
      <c r="R29" s="17"/>
      <c r="S29" s="17"/>
      <c r="T29" s="17"/>
      <c r="U29" s="2"/>
      <c r="V29" s="22"/>
    </row>
    <row r="30" spans="1:22" x14ac:dyDescent="0.2">
      <c r="A30" s="5"/>
      <c r="B30" s="5"/>
      <c r="C30" s="4" t="s">
        <v>21</v>
      </c>
      <c r="D30" s="4"/>
      <c r="E30" s="20"/>
      <c r="F30" s="14">
        <f>F23+F28</f>
        <v>221150</v>
      </c>
      <c r="G30" s="15">
        <f t="shared" ref="G30:K30" si="19">G23+G28</f>
        <v>204957</v>
      </c>
      <c r="H30" s="15">
        <f t="shared" si="19"/>
        <v>189328.2775</v>
      </c>
      <c r="I30" s="15">
        <f t="shared" si="19"/>
        <v>175035.00874999998</v>
      </c>
      <c r="J30" s="15">
        <f t="shared" si="19"/>
        <v>161173.12799999997</v>
      </c>
      <c r="K30" s="15">
        <f t="shared" si="19"/>
        <v>148689.41391999999</v>
      </c>
      <c r="N30" s="4" t="s">
        <v>73</v>
      </c>
      <c r="Q30" s="4"/>
      <c r="R30" s="4"/>
      <c r="S30" s="4"/>
      <c r="T30" s="34"/>
      <c r="U30" s="2"/>
      <c r="V30" s="2"/>
    </row>
    <row r="31" spans="1:22" x14ac:dyDescent="0.2">
      <c r="A31" s="5"/>
      <c r="B31" s="5"/>
      <c r="C31" s="4"/>
      <c r="D31" s="4"/>
      <c r="E31" s="21"/>
      <c r="F31" s="16"/>
      <c r="G31" s="17"/>
      <c r="H31" s="17"/>
      <c r="I31" s="17"/>
      <c r="J31" s="17"/>
      <c r="K31" s="17"/>
      <c r="L31" s="4"/>
      <c r="M31" s="4"/>
      <c r="N31" s="5"/>
      <c r="O31" s="5"/>
      <c r="P31" s="35"/>
      <c r="Q31" s="35"/>
      <c r="R31" s="7"/>
      <c r="S31" s="7"/>
      <c r="T31" s="7"/>
      <c r="U31" s="2"/>
      <c r="V31" s="2"/>
    </row>
    <row r="32" spans="1:22" x14ac:dyDescent="0.2">
      <c r="A32" s="5"/>
      <c r="B32" s="4" t="s">
        <v>74</v>
      </c>
      <c r="C32" s="4"/>
      <c r="D32" s="5"/>
      <c r="E32" s="21"/>
      <c r="F32" s="16"/>
      <c r="G32" s="17"/>
      <c r="H32" s="17"/>
      <c r="I32" s="17"/>
      <c r="J32" s="17"/>
      <c r="K32" s="17"/>
      <c r="L32" s="5"/>
      <c r="M32" s="5"/>
      <c r="N32" s="4" t="s">
        <v>25</v>
      </c>
      <c r="O32" s="4"/>
      <c r="P32" s="32"/>
      <c r="Q32" s="33"/>
      <c r="R32" s="17"/>
      <c r="S32" s="17"/>
      <c r="T32" s="17"/>
      <c r="U32" s="2"/>
      <c r="V32" s="2"/>
    </row>
    <row r="33" spans="1:22" x14ac:dyDescent="0.2">
      <c r="A33" s="5"/>
      <c r="B33" s="5" t="s">
        <v>41</v>
      </c>
      <c r="C33" s="5" t="s">
        <v>75</v>
      </c>
      <c r="D33" s="5"/>
      <c r="E33" s="12"/>
      <c r="F33" s="23">
        <v>50000</v>
      </c>
      <c r="G33" s="17">
        <v>50000</v>
      </c>
      <c r="H33" s="17">
        <v>50000</v>
      </c>
      <c r="I33" s="17">
        <v>50000</v>
      </c>
      <c r="J33" s="17">
        <v>50000</v>
      </c>
      <c r="K33" s="17">
        <v>50000</v>
      </c>
      <c r="L33" s="5"/>
      <c r="M33" s="5"/>
      <c r="N33" s="5" t="s">
        <v>22</v>
      </c>
      <c r="O33" s="5"/>
      <c r="P33" s="21" t="s">
        <v>45</v>
      </c>
      <c r="Q33" s="36">
        <f>Q28</f>
        <v>10689.123999999993</v>
      </c>
      <c r="R33" s="17">
        <f t="shared" ref="R33:V33" si="20">R28</f>
        <v>52265.592199999999</v>
      </c>
      <c r="S33" s="17">
        <f t="shared" si="20"/>
        <v>72681.271809999977</v>
      </c>
      <c r="T33" s="17">
        <f t="shared" si="20"/>
        <v>88006.065400499967</v>
      </c>
      <c r="U33" s="17">
        <f t="shared" si="20"/>
        <v>117253.02467052492</v>
      </c>
      <c r="V33" s="17">
        <f t="shared" si="20"/>
        <v>135079.67580405113</v>
      </c>
    </row>
    <row r="34" spans="1:22" x14ac:dyDescent="0.2">
      <c r="A34" s="5"/>
      <c r="B34" s="5"/>
      <c r="C34" s="5" t="s">
        <v>76</v>
      </c>
      <c r="D34" s="5"/>
      <c r="E34" s="12"/>
      <c r="F34" s="25">
        <f>Q28</f>
        <v>10689.123999999993</v>
      </c>
      <c r="G34" s="11">
        <f>F34+R28-F61</f>
        <v>12954.716199999995</v>
      </c>
      <c r="H34" s="11">
        <f>G34+S28-G61</f>
        <v>25635.988009999972</v>
      </c>
      <c r="I34" s="11">
        <f>H34+T28-H61</f>
        <v>43642.053410499939</v>
      </c>
      <c r="J34" s="11">
        <f>I34+U28-I61</f>
        <v>80895.078081024869</v>
      </c>
      <c r="K34" s="11">
        <f>J34+V28-J61</f>
        <v>125974.753885076</v>
      </c>
      <c r="L34" s="5"/>
      <c r="M34" s="5"/>
      <c r="N34" s="5" t="s">
        <v>26</v>
      </c>
      <c r="O34" s="5"/>
      <c r="P34" s="21" t="s">
        <v>45</v>
      </c>
      <c r="Q34" s="36">
        <f>Q17</f>
        <v>2000</v>
      </c>
      <c r="R34" s="17">
        <f t="shared" ref="R34:V34" si="21">R17</f>
        <v>2000</v>
      </c>
      <c r="S34" s="17">
        <f t="shared" si="21"/>
        <v>2000</v>
      </c>
      <c r="T34" s="17">
        <f t="shared" si="21"/>
        <v>2000</v>
      </c>
      <c r="U34" s="17">
        <f t="shared" si="21"/>
        <v>2000</v>
      </c>
      <c r="V34" s="17">
        <f t="shared" si="21"/>
        <v>0</v>
      </c>
    </row>
    <row r="35" spans="1:22" x14ac:dyDescent="0.2">
      <c r="A35" s="5"/>
      <c r="B35" s="5"/>
      <c r="C35" s="4" t="s">
        <v>77</v>
      </c>
      <c r="D35" s="4"/>
      <c r="E35" s="20"/>
      <c r="F35" s="14">
        <f>SUM(F33:F34)</f>
        <v>60689.123999999996</v>
      </c>
      <c r="G35" s="15">
        <f t="shared" ref="G35:K35" si="22">SUM(G33:G34)</f>
        <v>62954.716199999995</v>
      </c>
      <c r="H35" s="15">
        <f t="shared" si="22"/>
        <v>75635.988009999972</v>
      </c>
      <c r="I35" s="15">
        <f t="shared" si="22"/>
        <v>93642.053410499939</v>
      </c>
      <c r="J35" s="15">
        <f t="shared" si="22"/>
        <v>130895.07808102487</v>
      </c>
      <c r="K35" s="15">
        <f t="shared" si="22"/>
        <v>175974.753885076</v>
      </c>
      <c r="L35" s="5"/>
      <c r="M35" s="5"/>
      <c r="N35" s="5" t="s">
        <v>27</v>
      </c>
      <c r="O35" s="5"/>
      <c r="P35" s="21"/>
      <c r="Q35" s="16"/>
      <c r="R35" s="17"/>
      <c r="S35" s="17"/>
      <c r="T35" s="17"/>
      <c r="U35" s="17"/>
      <c r="V35" s="2"/>
    </row>
    <row r="36" spans="1:22" x14ac:dyDescent="0.2">
      <c r="A36" s="5"/>
      <c r="B36" s="4"/>
      <c r="C36" s="5"/>
      <c r="D36" s="5"/>
      <c r="E36" s="20"/>
      <c r="F36" s="14"/>
      <c r="G36" s="17"/>
      <c r="H36" s="17"/>
      <c r="I36" s="17"/>
      <c r="J36" s="17"/>
      <c r="K36" s="17"/>
      <c r="L36" s="5"/>
      <c r="M36" s="5"/>
      <c r="N36" s="5"/>
      <c r="O36" s="5" t="s">
        <v>28</v>
      </c>
      <c r="P36" s="21" t="s">
        <v>45</v>
      </c>
      <c r="Q36" s="36">
        <f>E9-F9</f>
        <v>-15000</v>
      </c>
      <c r="R36" s="17">
        <f t="shared" ref="R36:V36" si="23">F9-G9</f>
        <v>-3000</v>
      </c>
      <c r="S36" s="17">
        <f t="shared" si="23"/>
        <v>-13049.999999999993</v>
      </c>
      <c r="T36" s="17">
        <f t="shared" si="23"/>
        <v>-16560</v>
      </c>
      <c r="U36" s="17">
        <f t="shared" si="23"/>
        <v>-20829.374999999978</v>
      </c>
      <c r="V36" s="17">
        <f t="shared" si="23"/>
        <v>-8212.7250000000058</v>
      </c>
    </row>
    <row r="37" spans="1:22" x14ac:dyDescent="0.2">
      <c r="A37" s="5"/>
      <c r="B37" s="4" t="s">
        <v>78</v>
      </c>
      <c r="C37" s="4"/>
      <c r="D37" s="5"/>
      <c r="E37" s="20"/>
      <c r="F37" s="14">
        <f>F30+F35</f>
        <v>281839.12400000001</v>
      </c>
      <c r="G37" s="15">
        <f t="shared" ref="G37:K37" si="24">G30+G35</f>
        <v>267911.71620000002</v>
      </c>
      <c r="H37" s="15">
        <f t="shared" si="24"/>
        <v>264964.26550999994</v>
      </c>
      <c r="I37" s="15">
        <f t="shared" si="24"/>
        <v>268677.06216049992</v>
      </c>
      <c r="J37" s="15">
        <f t="shared" si="24"/>
        <v>292068.20608102484</v>
      </c>
      <c r="K37" s="15">
        <f t="shared" si="24"/>
        <v>324664.16780507599</v>
      </c>
      <c r="L37" s="5"/>
      <c r="M37" s="5"/>
      <c r="N37" s="5"/>
      <c r="O37" s="5" t="s">
        <v>29</v>
      </c>
      <c r="P37" s="21" t="s">
        <v>45</v>
      </c>
      <c r="Q37" s="36">
        <f>E10-F10</f>
        <v>-45000</v>
      </c>
      <c r="R37" s="17">
        <f t="shared" ref="R37:V37" si="25">F10-G10</f>
        <v>-5400.0000000000073</v>
      </c>
      <c r="S37" s="17">
        <f t="shared" si="25"/>
        <v>720.00000000001455</v>
      </c>
      <c r="T37" s="17">
        <f t="shared" si="25"/>
        <v>2070</v>
      </c>
      <c r="U37" s="17">
        <f t="shared" si="25"/>
        <v>-7141.4999999999854</v>
      </c>
      <c r="V37" s="17">
        <f t="shared" si="25"/>
        <v>5694.1559999999954</v>
      </c>
    </row>
    <row r="38" spans="1:22" x14ac:dyDescent="0.2">
      <c r="A38" s="5"/>
      <c r="B38" s="4"/>
      <c r="C38" s="5"/>
      <c r="D38" s="5"/>
      <c r="E38" s="37" t="s">
        <v>79</v>
      </c>
      <c r="M38" s="5"/>
      <c r="N38" s="5"/>
      <c r="O38" s="5" t="s">
        <v>30</v>
      </c>
      <c r="P38" s="38" t="s">
        <v>45</v>
      </c>
      <c r="Q38" s="39">
        <f>F23-E23</f>
        <v>21150</v>
      </c>
      <c r="R38" s="11">
        <f t="shared" ref="R38:V38" si="26">G23-F23</f>
        <v>3807</v>
      </c>
      <c r="S38" s="11">
        <f t="shared" si="26"/>
        <v>4371.2774999999965</v>
      </c>
      <c r="T38" s="11">
        <f t="shared" si="26"/>
        <v>5706.7312499999971</v>
      </c>
      <c r="U38" s="11">
        <f t="shared" si="26"/>
        <v>6138.1192499999888</v>
      </c>
      <c r="V38" s="11">
        <f t="shared" si="26"/>
        <v>7516.2859200000094</v>
      </c>
    </row>
    <row r="39" spans="1:22" x14ac:dyDescent="0.2">
      <c r="B39" s="4"/>
      <c r="C39" s="4"/>
      <c r="D39" s="4"/>
      <c r="E39" s="4"/>
      <c r="F39" s="37">
        <f t="shared" ref="F39:K39" si="27">F17-F37</f>
        <v>0</v>
      </c>
      <c r="G39" s="37">
        <f t="shared" si="27"/>
        <v>0</v>
      </c>
      <c r="H39" s="37">
        <f t="shared" si="27"/>
        <v>0</v>
      </c>
      <c r="I39" s="37">
        <f t="shared" si="27"/>
        <v>0</v>
      </c>
      <c r="J39" s="37">
        <f t="shared" si="27"/>
        <v>0</v>
      </c>
      <c r="K39" s="37">
        <f t="shared" si="27"/>
        <v>0</v>
      </c>
      <c r="L39" s="5" t="s">
        <v>80</v>
      </c>
      <c r="M39" s="5"/>
      <c r="N39" s="5"/>
      <c r="O39" s="4" t="s">
        <v>25</v>
      </c>
      <c r="P39" s="21" t="s">
        <v>45</v>
      </c>
      <c r="Q39" s="14">
        <f>SUM(Q33:Q38)</f>
        <v>-26160.876000000004</v>
      </c>
      <c r="R39" s="15">
        <f t="shared" ref="R39:V39" si="28">SUM(R33:R38)</f>
        <v>49672.592199999992</v>
      </c>
      <c r="S39" s="15">
        <f t="shared" si="28"/>
        <v>66722.549310000002</v>
      </c>
      <c r="T39" s="15">
        <f t="shared" si="28"/>
        <v>81222.796650499964</v>
      </c>
      <c r="U39" s="15">
        <f t="shared" si="28"/>
        <v>97420.268920524933</v>
      </c>
      <c r="V39" s="15">
        <f t="shared" si="28"/>
        <v>140077.39272405114</v>
      </c>
    </row>
    <row r="40" spans="1:22" x14ac:dyDescent="0.2">
      <c r="A40" s="5"/>
      <c r="B40" s="4"/>
      <c r="M40" s="5"/>
      <c r="N40" s="5"/>
      <c r="O40" s="4"/>
      <c r="P40" s="21"/>
      <c r="Q40" s="16"/>
      <c r="R40" s="17"/>
      <c r="S40" s="17"/>
      <c r="T40" s="17"/>
      <c r="U40" s="17"/>
      <c r="V40" s="2"/>
    </row>
    <row r="41" spans="1:22" x14ac:dyDescent="0.2">
      <c r="A41" s="4" t="s">
        <v>81</v>
      </c>
      <c r="B41" s="4"/>
      <c r="M41" s="5"/>
      <c r="N41" s="4" t="s">
        <v>31</v>
      </c>
      <c r="O41" s="4"/>
      <c r="P41" s="21"/>
      <c r="Q41" s="16"/>
      <c r="R41" s="17"/>
      <c r="S41" s="17"/>
      <c r="T41" s="17"/>
      <c r="U41" s="17"/>
      <c r="V41" s="2"/>
    </row>
    <row r="42" spans="1:22" x14ac:dyDescent="0.2">
      <c r="A42" s="4"/>
      <c r="B42" s="4" t="s">
        <v>82</v>
      </c>
      <c r="C42" s="4"/>
      <c r="D42" s="40"/>
      <c r="E42" s="32"/>
      <c r="F42" s="32"/>
      <c r="G42" s="41"/>
      <c r="H42" s="41"/>
      <c r="I42" s="41"/>
      <c r="J42" s="42"/>
      <c r="K42" s="5"/>
      <c r="M42" s="5"/>
      <c r="N42" s="2"/>
      <c r="O42" s="5" t="s">
        <v>32</v>
      </c>
      <c r="P42" s="43"/>
      <c r="Q42" s="14">
        <f>-F13</f>
        <v>-10000</v>
      </c>
      <c r="R42" s="17">
        <f>0</f>
        <v>0</v>
      </c>
      <c r="S42" s="17">
        <f>0</f>
        <v>0</v>
      </c>
      <c r="T42" s="17">
        <f>0</f>
        <v>0</v>
      </c>
      <c r="U42" s="17">
        <f>0</f>
        <v>0</v>
      </c>
      <c r="V42" s="17">
        <f>-K58</f>
        <v>-10000</v>
      </c>
    </row>
    <row r="43" spans="1:22" x14ac:dyDescent="0.2">
      <c r="A43" s="4"/>
      <c r="B43" s="4" t="s">
        <v>83</v>
      </c>
      <c r="C43" s="44"/>
      <c r="D43" s="45"/>
      <c r="E43" s="46">
        <v>300000</v>
      </c>
      <c r="F43" s="47">
        <v>0.2</v>
      </c>
      <c r="G43" s="47">
        <v>0.15</v>
      </c>
      <c r="H43" s="47">
        <v>0.15</v>
      </c>
      <c r="I43" s="47">
        <v>0.15</v>
      </c>
      <c r="J43" s="47">
        <v>0.12</v>
      </c>
      <c r="K43" s="44"/>
      <c r="M43" s="48"/>
      <c r="N43" s="2"/>
      <c r="O43" s="5" t="s">
        <v>33</v>
      </c>
      <c r="P43" s="49"/>
      <c r="Q43" s="39" t="s">
        <v>34</v>
      </c>
      <c r="R43" s="11" t="s">
        <v>34</v>
      </c>
      <c r="S43" s="11" t="s">
        <v>85</v>
      </c>
      <c r="T43" s="11" t="s">
        <v>85</v>
      </c>
      <c r="U43" s="11" t="s">
        <v>34</v>
      </c>
      <c r="V43" s="50"/>
    </row>
    <row r="44" spans="1:22" x14ac:dyDescent="0.2">
      <c r="A44" s="4"/>
      <c r="B44" s="4" t="s">
        <v>84</v>
      </c>
      <c r="C44" s="44"/>
      <c r="D44" s="44"/>
      <c r="E44" s="47">
        <f>Q10/Q7</f>
        <v>0.5</v>
      </c>
      <c r="F44" s="47">
        <v>0.45</v>
      </c>
      <c r="G44" s="45">
        <v>0.42249999999999999</v>
      </c>
      <c r="H44" s="45">
        <v>0.42249999999999999</v>
      </c>
      <c r="I44" s="45">
        <v>0.4</v>
      </c>
      <c r="J44" s="45">
        <v>0.4</v>
      </c>
      <c r="K44" s="45">
        <v>0.39500000000000002</v>
      </c>
      <c r="M44" s="48"/>
      <c r="N44" s="5"/>
      <c r="O44" s="4" t="s">
        <v>31</v>
      </c>
      <c r="P44" s="20"/>
      <c r="Q44" s="14">
        <f>SUM(Q42:Q43)</f>
        <v>-10000</v>
      </c>
      <c r="R44" s="15">
        <f t="shared" ref="R44:V44" si="29">SUM(R42:R43)</f>
        <v>0</v>
      </c>
      <c r="S44" s="15">
        <f t="shared" si="29"/>
        <v>0</v>
      </c>
      <c r="T44" s="15">
        <f t="shared" si="29"/>
        <v>0</v>
      </c>
      <c r="U44" s="15">
        <f t="shared" si="29"/>
        <v>0</v>
      </c>
      <c r="V44" s="15">
        <f t="shared" si="29"/>
        <v>-10000</v>
      </c>
    </row>
    <row r="45" spans="1:22" x14ac:dyDescent="0.2">
      <c r="A45" s="4"/>
      <c r="B45" s="4" t="s">
        <v>59</v>
      </c>
      <c r="C45" s="47">
        <v>0.05</v>
      </c>
      <c r="D45" s="47"/>
      <c r="E45" s="51"/>
      <c r="F45" s="51">
        <f>39097*(1+10%)</f>
        <v>43006.700000000004</v>
      </c>
      <c r="G45" s="51">
        <f>F45*(1+$C$45)</f>
        <v>45157.035000000003</v>
      </c>
      <c r="H45" s="51">
        <f>G45*(1+$C$45)</f>
        <v>47414.886750000005</v>
      </c>
      <c r="I45" s="51">
        <f>H45*(1+$C$45)</f>
        <v>49785.631087500005</v>
      </c>
      <c r="J45" s="51">
        <f>I45*(1+$C$45)</f>
        <v>52274.912641875009</v>
      </c>
      <c r="K45" s="51">
        <f>J45*(1+$C$45)</f>
        <v>54888.658273968766</v>
      </c>
      <c r="M45" s="2"/>
      <c r="N45" s="5"/>
      <c r="O45" s="4"/>
      <c r="P45" s="21"/>
      <c r="Q45" s="16"/>
      <c r="R45" s="17"/>
      <c r="S45" s="17"/>
      <c r="T45" s="17"/>
      <c r="U45" s="17"/>
      <c r="V45" s="2"/>
    </row>
    <row r="46" spans="1:22" x14ac:dyDescent="0.2">
      <c r="A46" s="4"/>
      <c r="B46" s="4" t="s">
        <v>61</v>
      </c>
      <c r="C46" s="47">
        <v>0.05</v>
      </c>
      <c r="D46" s="44"/>
      <c r="E46" s="51"/>
      <c r="F46" s="51">
        <f>2943*12</f>
        <v>35316</v>
      </c>
      <c r="G46" s="51">
        <f>F46*(1+$C$46)</f>
        <v>37081.800000000003</v>
      </c>
      <c r="H46" s="51">
        <f>G46*(1+$C$46)</f>
        <v>38935.890000000007</v>
      </c>
      <c r="I46" s="51">
        <f>H46*(1+$C$46)</f>
        <v>40882.68450000001</v>
      </c>
      <c r="J46" s="51">
        <f>I46*(1+$C$46)</f>
        <v>42926.818725000012</v>
      </c>
      <c r="K46" s="51">
        <f>J46*(1+$C$46)</f>
        <v>45073.159661250014</v>
      </c>
      <c r="M46" s="5"/>
      <c r="N46" s="4" t="s">
        <v>35</v>
      </c>
      <c r="O46" s="4"/>
      <c r="P46" s="21"/>
      <c r="Q46" s="16"/>
      <c r="R46" s="17"/>
      <c r="S46" s="17"/>
      <c r="T46" s="17"/>
      <c r="U46" s="17"/>
      <c r="V46" s="2"/>
    </row>
    <row r="47" spans="1:22" x14ac:dyDescent="0.2">
      <c r="A47" s="4"/>
      <c r="B47" s="4" t="s">
        <v>86</v>
      </c>
      <c r="C47" s="44"/>
      <c r="D47" s="44"/>
      <c r="E47" s="52">
        <f>15000+4248+8710+10000</f>
        <v>37958</v>
      </c>
      <c r="F47" s="45">
        <v>6.25E-2</v>
      </c>
      <c r="G47" s="45">
        <v>7.4999999999999997E-2</v>
      </c>
      <c r="H47" s="45">
        <v>8.7499999999999994E-2</v>
      </c>
      <c r="I47" s="45">
        <v>0.09</v>
      </c>
      <c r="J47" s="45">
        <v>0.1</v>
      </c>
      <c r="K47" s="44"/>
      <c r="M47" s="2"/>
      <c r="N47" s="5"/>
      <c r="O47" s="5" t="s">
        <v>36</v>
      </c>
      <c r="P47" s="43"/>
      <c r="Q47" s="36">
        <f>F28</f>
        <v>200000</v>
      </c>
      <c r="R47" s="17">
        <f>G28-F28</f>
        <v>-20000</v>
      </c>
      <c r="S47" s="17">
        <f t="shared" ref="S47:V47" si="30">H28-G28</f>
        <v>-20000</v>
      </c>
      <c r="T47" s="17">
        <f t="shared" si="30"/>
        <v>-20000</v>
      </c>
      <c r="U47" s="17">
        <f t="shared" si="30"/>
        <v>-20000</v>
      </c>
      <c r="V47" s="17">
        <f t="shared" si="30"/>
        <v>-20000</v>
      </c>
    </row>
    <row r="48" spans="1:22" x14ac:dyDescent="0.2">
      <c r="A48" s="4"/>
      <c r="B48" s="4" t="s">
        <v>87</v>
      </c>
      <c r="C48" s="44"/>
      <c r="D48" s="44"/>
      <c r="E48" s="47">
        <v>0.08</v>
      </c>
      <c r="F48" s="47">
        <v>0.08</v>
      </c>
      <c r="G48" s="47">
        <v>0.08</v>
      </c>
      <c r="H48" s="47">
        <v>0.08</v>
      </c>
      <c r="I48" s="47">
        <v>0.08</v>
      </c>
      <c r="J48" s="47">
        <v>0.08</v>
      </c>
      <c r="K48" s="44"/>
      <c r="M48" s="5"/>
      <c r="N48" s="5"/>
      <c r="O48" s="5" t="s">
        <v>37</v>
      </c>
      <c r="P48" s="43"/>
      <c r="Q48" s="36">
        <f>E54</f>
        <v>50000</v>
      </c>
      <c r="R48" s="17" t="s">
        <v>34</v>
      </c>
      <c r="S48" s="17" t="s">
        <v>85</v>
      </c>
      <c r="T48" s="17" t="s">
        <v>85</v>
      </c>
      <c r="U48" s="17" t="s">
        <v>34</v>
      </c>
      <c r="V48" s="2"/>
    </row>
    <row r="49" spans="1:22" x14ac:dyDescent="0.2">
      <c r="A49" s="4"/>
      <c r="B49" s="4" t="s">
        <v>88</v>
      </c>
      <c r="C49" s="44"/>
      <c r="D49" s="44"/>
      <c r="E49" s="47"/>
      <c r="F49" s="47">
        <v>0.32</v>
      </c>
      <c r="G49" s="47">
        <v>0.32</v>
      </c>
      <c r="H49" s="47">
        <v>0.32</v>
      </c>
      <c r="I49" s="47">
        <v>0.32</v>
      </c>
      <c r="J49" s="47">
        <v>0.32</v>
      </c>
      <c r="K49" s="44"/>
      <c r="M49" s="5"/>
      <c r="N49" s="2"/>
      <c r="O49" s="5" t="s">
        <v>38</v>
      </c>
      <c r="P49" s="49"/>
      <c r="Q49" s="39" t="s">
        <v>34</v>
      </c>
      <c r="R49" s="11">
        <f>-F61</f>
        <v>-50000</v>
      </c>
      <c r="S49" s="11">
        <f>-G61</f>
        <v>-60000</v>
      </c>
      <c r="T49" s="11">
        <f>-H61</f>
        <v>-70000</v>
      </c>
      <c r="U49" s="11">
        <f>-I61</f>
        <v>-80000</v>
      </c>
      <c r="V49" s="11">
        <f>-J61</f>
        <v>-90000</v>
      </c>
    </row>
    <row r="50" spans="1:22" x14ac:dyDescent="0.2">
      <c r="A50" s="4"/>
      <c r="B50" s="4" t="s">
        <v>89</v>
      </c>
      <c r="C50" s="44"/>
      <c r="D50" s="44"/>
      <c r="E50" s="47">
        <v>0.05</v>
      </c>
      <c r="F50" s="45">
        <v>0.05</v>
      </c>
      <c r="G50" s="45">
        <v>7.4999999999999997E-2</v>
      </c>
      <c r="H50" s="45">
        <v>0.1</v>
      </c>
      <c r="I50" s="45">
        <v>0.125</v>
      </c>
      <c r="J50" s="45">
        <v>0.125</v>
      </c>
      <c r="K50" s="44"/>
      <c r="M50" s="5"/>
      <c r="N50" s="5"/>
      <c r="O50" s="4" t="s">
        <v>39</v>
      </c>
      <c r="P50" s="20"/>
      <c r="Q50" s="14">
        <f>SUM(Q47:Q49)</f>
        <v>250000</v>
      </c>
      <c r="R50" s="15">
        <f t="shared" ref="R50:V50" si="31">SUM(R47:R49)</f>
        <v>-70000</v>
      </c>
      <c r="S50" s="15">
        <f t="shared" si="31"/>
        <v>-80000</v>
      </c>
      <c r="T50" s="15">
        <f t="shared" si="31"/>
        <v>-90000</v>
      </c>
      <c r="U50" s="15">
        <f t="shared" si="31"/>
        <v>-100000</v>
      </c>
      <c r="V50" s="15">
        <f t="shared" si="31"/>
        <v>-110000</v>
      </c>
    </row>
    <row r="51" spans="1:22" x14ac:dyDescent="0.2">
      <c r="A51" s="4"/>
      <c r="B51" s="4" t="s">
        <v>90</v>
      </c>
      <c r="C51" s="44"/>
      <c r="D51" s="46"/>
      <c r="E51" s="47">
        <v>0.15</v>
      </c>
      <c r="F51" s="45">
        <v>0.14000000000000001</v>
      </c>
      <c r="G51" s="45">
        <v>0.12</v>
      </c>
      <c r="H51" s="45">
        <v>0.1</v>
      </c>
      <c r="I51" s="45">
        <v>0.1</v>
      </c>
      <c r="J51" s="53">
        <v>0.08</v>
      </c>
      <c r="K51" s="44"/>
      <c r="M51" s="5"/>
      <c r="N51" s="4" t="s">
        <v>40</v>
      </c>
      <c r="O51" s="4"/>
      <c r="P51" s="20"/>
      <c r="Q51" s="14">
        <f>Q39+Q44+Q50</f>
        <v>213839.12400000001</v>
      </c>
      <c r="R51" s="15">
        <f t="shared" ref="R51:V51" si="32">R39+R44+R50</f>
        <v>-20327.407800000008</v>
      </c>
      <c r="S51" s="15">
        <f t="shared" si="32"/>
        <v>-13277.450689999998</v>
      </c>
      <c r="T51" s="15">
        <f t="shared" si="32"/>
        <v>-8777.203349500036</v>
      </c>
      <c r="U51" s="15">
        <f t="shared" si="32"/>
        <v>-2579.7310794750665</v>
      </c>
      <c r="V51" s="15">
        <f t="shared" si="32"/>
        <v>20077.39272405114</v>
      </c>
    </row>
    <row r="52" spans="1:22" x14ac:dyDescent="0.2">
      <c r="A52" s="4"/>
      <c r="B52" s="4" t="s">
        <v>91</v>
      </c>
      <c r="C52" s="44"/>
      <c r="D52" s="44"/>
      <c r="E52" s="53">
        <v>9.0999999999999998E-2</v>
      </c>
      <c r="F52" s="45">
        <f>E52+0.75%</f>
        <v>9.8500000000000004E-2</v>
      </c>
      <c r="G52" s="45">
        <f>F52+1%</f>
        <v>0.1085</v>
      </c>
      <c r="H52" s="45">
        <f>G52+0.65%</f>
        <v>0.115</v>
      </c>
      <c r="I52" s="45">
        <f>H52+1.05%</f>
        <v>0.1255</v>
      </c>
      <c r="J52" s="45">
        <f>I52+1.05%</f>
        <v>0.13600000000000001</v>
      </c>
      <c r="K52" s="44"/>
      <c r="M52" s="5"/>
      <c r="N52" s="4" t="s">
        <v>41</v>
      </c>
      <c r="O52" s="5"/>
      <c r="P52" s="43"/>
      <c r="Q52" s="54"/>
      <c r="R52" s="17"/>
      <c r="S52" s="17"/>
      <c r="T52" s="5"/>
      <c r="U52" s="5"/>
      <c r="V52" s="2"/>
    </row>
    <row r="53" spans="1:22" x14ac:dyDescent="0.2">
      <c r="A53" s="4"/>
      <c r="B53" s="4" t="s">
        <v>92</v>
      </c>
      <c r="C53" s="44"/>
      <c r="D53" s="44"/>
      <c r="E53" s="53">
        <v>2.5000000000000001E-2</v>
      </c>
      <c r="F53" s="53">
        <v>2.5000000000000001E-2</v>
      </c>
      <c r="G53" s="53">
        <v>2.5000000000000001E-2</v>
      </c>
      <c r="H53" s="53">
        <v>2.5000000000000001E-2</v>
      </c>
      <c r="I53" s="53">
        <v>2.5000000000000001E-2</v>
      </c>
      <c r="J53" s="53">
        <v>2.5000000000000001E-2</v>
      </c>
      <c r="K53" s="44"/>
      <c r="M53" s="5"/>
      <c r="N53" s="55" t="s">
        <v>42</v>
      </c>
      <c r="O53" s="55"/>
      <c r="P53" s="56"/>
      <c r="Q53" s="36">
        <v>0</v>
      </c>
      <c r="R53" s="17">
        <f>Q55</f>
        <v>213839.12400000001</v>
      </c>
      <c r="S53" s="17">
        <f t="shared" ref="S53:V53" si="33">R55</f>
        <v>193511.7162</v>
      </c>
      <c r="T53" s="17">
        <f t="shared" si="33"/>
        <v>180234.26551</v>
      </c>
      <c r="U53" s="17">
        <f t="shared" si="33"/>
        <v>171457.06216049998</v>
      </c>
      <c r="V53" s="17">
        <f t="shared" si="33"/>
        <v>168877.33108102489</v>
      </c>
    </row>
    <row r="54" spans="1:22" x14ac:dyDescent="0.2">
      <c r="A54" s="4"/>
      <c r="B54" s="4" t="s">
        <v>93</v>
      </c>
      <c r="C54" s="44"/>
      <c r="D54" s="46"/>
      <c r="E54" s="46">
        <v>50000</v>
      </c>
      <c r="F54" s="46" t="s">
        <v>94</v>
      </c>
      <c r="G54" s="46" t="s">
        <v>94</v>
      </c>
      <c r="H54" s="46" t="s">
        <v>94</v>
      </c>
      <c r="I54" s="46" t="s">
        <v>94</v>
      </c>
      <c r="J54" s="47"/>
      <c r="K54" s="44"/>
      <c r="M54" s="5"/>
      <c r="N54" s="5" t="s">
        <v>43</v>
      </c>
      <c r="O54" s="5"/>
      <c r="P54" s="49"/>
      <c r="Q54" s="39">
        <f>Q51</f>
        <v>213839.12400000001</v>
      </c>
      <c r="R54" s="11">
        <f t="shared" ref="R54:V54" si="34">R51</f>
        <v>-20327.407800000008</v>
      </c>
      <c r="S54" s="11">
        <f t="shared" si="34"/>
        <v>-13277.450689999998</v>
      </c>
      <c r="T54" s="11">
        <f t="shared" si="34"/>
        <v>-8777.203349500036</v>
      </c>
      <c r="U54" s="11">
        <f t="shared" si="34"/>
        <v>-2579.7310794750665</v>
      </c>
      <c r="V54" s="11">
        <f t="shared" si="34"/>
        <v>20077.39272405114</v>
      </c>
    </row>
    <row r="55" spans="1:22" x14ac:dyDescent="0.2">
      <c r="A55" s="4"/>
      <c r="B55" s="4" t="s">
        <v>95</v>
      </c>
      <c r="C55" s="44"/>
      <c r="D55" s="46"/>
      <c r="E55" s="46"/>
      <c r="F55" s="46">
        <v>-20000</v>
      </c>
      <c r="G55" s="46">
        <v>-20000</v>
      </c>
      <c r="H55" s="46">
        <v>-20000</v>
      </c>
      <c r="I55" s="46">
        <v>-20000</v>
      </c>
      <c r="J55" s="46">
        <v>-20000</v>
      </c>
      <c r="K55" s="44"/>
      <c r="M55" s="5"/>
      <c r="N55" s="4" t="s">
        <v>44</v>
      </c>
      <c r="O55" s="4"/>
      <c r="P55" s="20"/>
      <c r="Q55" s="14">
        <f>SUM(Q53:Q54)</f>
        <v>213839.12400000001</v>
      </c>
      <c r="R55" s="15">
        <f t="shared" ref="R55:V55" si="35">SUM(R53:R54)</f>
        <v>193511.7162</v>
      </c>
      <c r="S55" s="15">
        <f t="shared" si="35"/>
        <v>180234.26551</v>
      </c>
      <c r="T55" s="15">
        <f t="shared" si="35"/>
        <v>171457.06216049998</v>
      </c>
      <c r="U55" s="15">
        <f t="shared" si="35"/>
        <v>168877.33108102489</v>
      </c>
      <c r="V55" s="15">
        <f t="shared" si="35"/>
        <v>188954.72380507604</v>
      </c>
    </row>
    <row r="56" spans="1:22" x14ac:dyDescent="0.2">
      <c r="A56" s="5"/>
      <c r="B56" s="4" t="s">
        <v>96</v>
      </c>
      <c r="C56" s="44"/>
      <c r="D56" s="46"/>
      <c r="E56" s="46">
        <f>60000</f>
        <v>60000</v>
      </c>
      <c r="F56" s="46">
        <v>-10000</v>
      </c>
      <c r="G56" s="46">
        <v>-10000</v>
      </c>
      <c r="H56" s="46">
        <v>-10000</v>
      </c>
      <c r="I56" s="46">
        <v>-10000</v>
      </c>
      <c r="J56" s="46">
        <v>-10000</v>
      </c>
      <c r="K56" s="44"/>
      <c r="M56" s="5"/>
      <c r="N56" s="57"/>
      <c r="O56" s="4"/>
      <c r="P56" s="17" t="s">
        <v>45</v>
      </c>
      <c r="Q56" s="58" t="s">
        <v>46</v>
      </c>
      <c r="R56" s="58" t="s">
        <v>46</v>
      </c>
      <c r="S56" s="58" t="s">
        <v>99</v>
      </c>
      <c r="T56" s="58" t="s">
        <v>99</v>
      </c>
      <c r="U56" s="58" t="s">
        <v>46</v>
      </c>
      <c r="V56" s="59" t="s">
        <v>100</v>
      </c>
    </row>
    <row r="57" spans="1:22" x14ac:dyDescent="0.2">
      <c r="A57" s="5"/>
      <c r="B57" s="4" t="s">
        <v>97</v>
      </c>
      <c r="C57" s="44"/>
      <c r="D57" s="46"/>
      <c r="E57" s="46"/>
      <c r="F57" s="46" t="s">
        <v>94</v>
      </c>
      <c r="G57" s="46" t="s">
        <v>94</v>
      </c>
      <c r="H57" s="46" t="s">
        <v>94</v>
      </c>
      <c r="I57" s="46"/>
      <c r="J57" s="46"/>
      <c r="K57" s="44"/>
      <c r="M57" s="48"/>
      <c r="N57" s="5"/>
      <c r="O57" s="4"/>
      <c r="P57" s="5"/>
      <c r="Q57" s="17"/>
      <c r="R57" s="17"/>
      <c r="S57" s="17"/>
      <c r="T57" s="17"/>
      <c r="U57" s="2"/>
      <c r="V57" s="2"/>
    </row>
    <row r="58" spans="1:22" x14ac:dyDescent="0.2">
      <c r="A58" s="5"/>
      <c r="B58" s="4" t="s">
        <v>98</v>
      </c>
      <c r="C58" s="44"/>
      <c r="D58" s="46"/>
      <c r="E58" s="46">
        <v>10000</v>
      </c>
      <c r="F58" s="46">
        <f>0</f>
        <v>0</v>
      </c>
      <c r="G58" s="46">
        <f>0</f>
        <v>0</v>
      </c>
      <c r="H58" s="46">
        <f>0</f>
        <v>0</v>
      </c>
      <c r="I58" s="46">
        <f>0</f>
        <v>0</v>
      </c>
      <c r="J58" s="46">
        <f>0</f>
        <v>0</v>
      </c>
      <c r="K58" s="51">
        <v>10000</v>
      </c>
      <c r="M58" s="5"/>
      <c r="N58" s="57"/>
      <c r="O58" s="4"/>
      <c r="P58" s="5"/>
      <c r="Q58" s="15"/>
      <c r="R58" s="15"/>
      <c r="S58" s="15"/>
      <c r="T58" s="15"/>
      <c r="U58" s="2"/>
      <c r="V58" s="2"/>
    </row>
    <row r="59" spans="1:22" x14ac:dyDescent="0.2">
      <c r="A59" s="5"/>
      <c r="B59" s="4" t="s">
        <v>101</v>
      </c>
      <c r="C59" s="44"/>
      <c r="D59" s="46"/>
      <c r="E59" s="51">
        <v>10000</v>
      </c>
      <c r="F59" s="51">
        <f>E59/5</f>
        <v>2000</v>
      </c>
      <c r="G59" s="51">
        <f>F59</f>
        <v>2000</v>
      </c>
      <c r="H59" s="51">
        <f t="shared" ref="H59:I59" si="36">G59</f>
        <v>2000</v>
      </c>
      <c r="I59" s="51">
        <f t="shared" si="36"/>
        <v>2000</v>
      </c>
      <c r="J59" s="51">
        <f>I59</f>
        <v>2000</v>
      </c>
      <c r="K59" s="51">
        <f>J59</f>
        <v>2000</v>
      </c>
      <c r="M59" s="5"/>
      <c r="N59" s="57"/>
      <c r="O59" s="4"/>
      <c r="P59" s="5"/>
      <c r="Q59" s="15"/>
      <c r="R59" s="15"/>
      <c r="S59" s="15"/>
      <c r="T59" s="15"/>
      <c r="U59" s="2"/>
      <c r="V59" s="2"/>
    </row>
    <row r="60" spans="1:22" x14ac:dyDescent="0.2">
      <c r="A60" s="5"/>
      <c r="B60" s="4" t="s">
        <v>33</v>
      </c>
      <c r="C60" s="44"/>
      <c r="D60" s="46"/>
      <c r="E60" s="60"/>
      <c r="F60" s="60" t="s">
        <v>79</v>
      </c>
      <c r="G60" s="60" t="s">
        <v>79</v>
      </c>
      <c r="H60" s="60" t="s">
        <v>79</v>
      </c>
      <c r="I60" s="60"/>
      <c r="J60" s="51"/>
      <c r="K60" s="44"/>
      <c r="M60" s="5"/>
      <c r="N60" s="57"/>
      <c r="O60" s="4"/>
      <c r="P60" s="5"/>
      <c r="Q60" s="15"/>
      <c r="R60" s="15"/>
      <c r="S60" s="15"/>
      <c r="T60" s="15"/>
      <c r="U60" s="2"/>
      <c r="V60" s="2"/>
    </row>
    <row r="61" spans="1:22" x14ac:dyDescent="0.2">
      <c r="A61" s="5"/>
      <c r="B61" s="4" t="s">
        <v>38</v>
      </c>
      <c r="C61" s="44"/>
      <c r="D61" s="46"/>
      <c r="E61" s="60"/>
      <c r="F61" s="51">
        <v>50000</v>
      </c>
      <c r="G61" s="51">
        <v>60000</v>
      </c>
      <c r="H61" s="51">
        <v>70000</v>
      </c>
      <c r="I61" s="51">
        <v>80000</v>
      </c>
      <c r="J61" s="51">
        <f>90000</f>
        <v>90000</v>
      </c>
      <c r="K61" s="44"/>
      <c r="L61" s="5"/>
      <c r="M61" s="5"/>
      <c r="N61" s="57"/>
      <c r="O61" s="4"/>
      <c r="P61" s="5"/>
      <c r="Q61" s="2"/>
      <c r="R61" s="15"/>
      <c r="S61" s="15"/>
      <c r="T61" s="15"/>
      <c r="U61" s="2"/>
      <c r="V61" s="2"/>
    </row>
    <row r="62" spans="1:22" x14ac:dyDescent="0.2">
      <c r="A62" s="61"/>
      <c r="B62" s="62" t="s">
        <v>20</v>
      </c>
      <c r="C62" s="63">
        <v>0.32</v>
      </c>
      <c r="D62" s="64"/>
      <c r="E62" s="2"/>
      <c r="F62" s="2"/>
      <c r="G62" s="2"/>
      <c r="H62" s="2"/>
      <c r="I62" s="2"/>
      <c r="J62" s="15"/>
      <c r="K62" s="5"/>
      <c r="L62" s="5"/>
      <c r="M62" s="5"/>
      <c r="N62" s="57"/>
      <c r="O62" s="4"/>
      <c r="P62" s="5"/>
      <c r="Q62" s="15"/>
      <c r="R62" s="15"/>
      <c r="S62" s="15"/>
      <c r="T62" s="15"/>
      <c r="U62" s="2"/>
      <c r="V62" s="2"/>
    </row>
    <row r="63" spans="1:22" x14ac:dyDescent="0.2">
      <c r="A63" s="61"/>
      <c r="B63" s="61"/>
      <c r="C63" s="2"/>
      <c r="D63" s="2"/>
      <c r="E63" s="2"/>
      <c r="F63" s="65"/>
      <c r="G63" s="66"/>
      <c r="H63" s="2"/>
      <c r="I63" s="2"/>
      <c r="J63" s="2"/>
      <c r="K63" s="2"/>
      <c r="L63" s="61"/>
      <c r="M63" s="61"/>
      <c r="N63" s="2"/>
      <c r="O63" s="62"/>
      <c r="P63" s="61"/>
      <c r="Q63" s="67"/>
      <c r="R63" s="67"/>
      <c r="S63" s="67"/>
      <c r="T63" s="67"/>
      <c r="U63" s="2"/>
      <c r="V63" s="2"/>
    </row>
    <row r="64" spans="1:22" x14ac:dyDescent="0.2">
      <c r="A64" s="2"/>
      <c r="B64" s="61"/>
      <c r="C64" s="2"/>
      <c r="D64" s="2"/>
      <c r="E64" s="2"/>
      <c r="F64" s="2"/>
      <c r="G64" s="2"/>
      <c r="H64" s="2"/>
      <c r="I64" s="2"/>
      <c r="J64" s="2"/>
      <c r="K64" s="2"/>
      <c r="L64" s="61"/>
      <c r="M64" s="61"/>
      <c r="N64" s="2"/>
      <c r="O64" s="2"/>
      <c r="P64" s="2"/>
      <c r="Q64" s="2"/>
      <c r="R64" s="2"/>
      <c r="S64" s="2"/>
      <c r="T64" s="2"/>
      <c r="U64" s="2"/>
      <c r="V64" s="2"/>
    </row>
    <row r="65" spans="1:22" x14ac:dyDescent="0.2">
      <c r="A65" s="2"/>
      <c r="B65" s="61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</row>
    <row r="66" spans="1:22" x14ac:dyDescent="0.2">
      <c r="A66" s="2"/>
      <c r="B66" s="61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</row>
    <row r="67" spans="1:22" x14ac:dyDescent="0.2">
      <c r="A67" s="2"/>
      <c r="B67" s="61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</row>
    <row r="68" spans="1:22" x14ac:dyDescent="0.2">
      <c r="A68" s="2"/>
      <c r="B68" s="61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</row>
    <row r="69" spans="1:22" x14ac:dyDescent="0.2">
      <c r="A69" s="2"/>
      <c r="B69" s="61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</row>
    <row r="70" spans="1:22" x14ac:dyDescent="0.2">
      <c r="A70" s="2"/>
      <c r="B70" s="61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</row>
    <row r="71" spans="1:22" x14ac:dyDescent="0.2">
      <c r="A71" s="2"/>
      <c r="B71" s="61"/>
      <c r="N71" s="2"/>
      <c r="O71" s="2"/>
      <c r="P71" s="2"/>
      <c r="Q71" s="2"/>
      <c r="R71" s="2"/>
      <c r="S71" s="2"/>
      <c r="T71" s="2"/>
      <c r="U71" s="2"/>
      <c r="V71" s="2"/>
    </row>
  </sheetData>
  <mergeCells count="3">
    <mergeCell ref="A1:U1"/>
    <mergeCell ref="E3:E4"/>
    <mergeCell ref="P3:P4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A22480-155D-F54C-BCF9-CE48586D0EE0}">
  <dimension ref="A1:C16"/>
  <sheetViews>
    <sheetView workbookViewId="0">
      <selection sqref="A1:XFD1048576"/>
    </sheetView>
  </sheetViews>
  <sheetFormatPr baseColWidth="10" defaultColWidth="10.83203125" defaultRowHeight="14" x14ac:dyDescent="0.2"/>
  <cols>
    <col min="1" max="1" width="33.5" style="3" bestFit="1" customWidth="1"/>
    <col min="2" max="2" width="11" style="3" customWidth="1"/>
    <col min="3" max="3" width="61.83203125" style="3" customWidth="1"/>
    <col min="4" max="16384" width="10.83203125" style="3"/>
  </cols>
  <sheetData>
    <row r="1" spans="1:3" x14ac:dyDescent="0.2">
      <c r="A1" s="7" t="s">
        <v>102</v>
      </c>
      <c r="B1" s="7" t="s">
        <v>103</v>
      </c>
      <c r="C1" s="7" t="s">
        <v>104</v>
      </c>
    </row>
    <row r="2" spans="1:3" x14ac:dyDescent="0.2">
      <c r="A2" s="68" t="s">
        <v>105</v>
      </c>
      <c r="B2" s="69">
        <v>4.6199999999999998E-2</v>
      </c>
      <c r="C2" s="68" t="s">
        <v>106</v>
      </c>
    </row>
    <row r="3" spans="1:3" x14ac:dyDescent="0.2">
      <c r="A3" s="68" t="s">
        <v>107</v>
      </c>
      <c r="B3" s="69">
        <v>6.9400000000000003E-2</v>
      </c>
      <c r="C3" s="68" t="s">
        <v>108</v>
      </c>
    </row>
    <row r="4" spans="1:3" x14ac:dyDescent="0.2">
      <c r="A4" s="68" t="s">
        <v>109</v>
      </c>
      <c r="B4" s="69">
        <v>3.5700000000000003E-2</v>
      </c>
      <c r="C4" s="68" t="s">
        <v>110</v>
      </c>
    </row>
    <row r="5" spans="1:3" x14ac:dyDescent="0.2">
      <c r="A5" s="68" t="s">
        <v>111</v>
      </c>
      <c r="B5" s="2"/>
      <c r="C5" s="68"/>
    </row>
    <row r="6" spans="1:3" x14ac:dyDescent="0.2">
      <c r="A6" s="68" t="s">
        <v>112</v>
      </c>
      <c r="B6" s="69">
        <v>7.6E-3</v>
      </c>
      <c r="C6" s="68" t="s">
        <v>113</v>
      </c>
    </row>
    <row r="7" spans="1:3" x14ac:dyDescent="0.2">
      <c r="A7" s="68" t="s">
        <v>114</v>
      </c>
      <c r="B7" s="2"/>
      <c r="C7" s="68"/>
    </row>
    <row r="8" spans="1:3" x14ac:dyDescent="0.2">
      <c r="A8" s="2"/>
      <c r="B8" s="2"/>
      <c r="C8" s="2"/>
    </row>
    <row r="9" spans="1:3" x14ac:dyDescent="0.2">
      <c r="A9" s="7" t="s">
        <v>115</v>
      </c>
      <c r="B9" s="70">
        <v>0.15890000000000001</v>
      </c>
      <c r="C9" s="2"/>
    </row>
    <row r="10" spans="1:3" x14ac:dyDescent="0.2">
      <c r="A10" s="2"/>
      <c r="B10" s="2"/>
      <c r="C10" s="2"/>
    </row>
    <row r="11" spans="1:3" x14ac:dyDescent="0.2">
      <c r="A11" s="68" t="s">
        <v>116</v>
      </c>
      <c r="B11" s="69">
        <v>0.8</v>
      </c>
      <c r="C11" s="68"/>
    </row>
    <row r="12" spans="1:3" x14ac:dyDescent="0.2">
      <c r="A12" s="68" t="s">
        <v>117</v>
      </c>
      <c r="B12" s="69">
        <v>0.2</v>
      </c>
      <c r="C12" s="68"/>
    </row>
    <row r="13" spans="1:3" x14ac:dyDescent="0.2">
      <c r="A13" s="68" t="s">
        <v>118</v>
      </c>
      <c r="B13" s="69">
        <v>0.08</v>
      </c>
      <c r="C13" s="68"/>
    </row>
    <row r="14" spans="1:3" x14ac:dyDescent="0.2">
      <c r="A14" s="68" t="s">
        <v>119</v>
      </c>
      <c r="B14" s="69">
        <v>0.32</v>
      </c>
      <c r="C14" s="68"/>
    </row>
    <row r="15" spans="1:3" x14ac:dyDescent="0.2">
      <c r="A15" s="2"/>
      <c r="B15" s="2"/>
      <c r="C15" s="2"/>
    </row>
    <row r="16" spans="1:3" x14ac:dyDescent="0.2">
      <c r="A16" s="7" t="s">
        <v>120</v>
      </c>
      <c r="B16" s="70">
        <v>0.13800000000000001</v>
      </c>
      <c r="C16" s="7" t="s">
        <v>121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5E7BE8-7944-AB4A-B607-D087023395A2}">
  <dimension ref="A1:J122"/>
  <sheetViews>
    <sheetView showGridLines="0" topLeftCell="A33" workbookViewId="0">
      <selection activeCell="A33" sqref="A1:XFD1048576"/>
    </sheetView>
  </sheetViews>
  <sheetFormatPr baseColWidth="10" defaultColWidth="10.83203125" defaultRowHeight="14" x14ac:dyDescent="0.2"/>
  <cols>
    <col min="1" max="1" width="44.33203125" style="3" bestFit="1" customWidth="1"/>
    <col min="2" max="2" width="12" style="3" customWidth="1"/>
    <col min="3" max="3" width="13.1640625" style="3" customWidth="1"/>
    <col min="4" max="4" width="10.83203125" style="3"/>
    <col min="5" max="5" width="9" style="3" bestFit="1" customWidth="1"/>
    <col min="6" max="16384" width="10.83203125" style="3"/>
  </cols>
  <sheetData>
    <row r="1" spans="1:9" x14ac:dyDescent="0.2">
      <c r="A1" s="71" t="s">
        <v>122</v>
      </c>
    </row>
    <row r="4" spans="1:9" x14ac:dyDescent="0.2">
      <c r="A4" s="72" t="s">
        <v>123</v>
      </c>
      <c r="B4" s="72"/>
      <c r="C4" s="72"/>
      <c r="D4" s="72"/>
      <c r="E4" s="72"/>
      <c r="F4" s="72"/>
      <c r="G4" s="72"/>
      <c r="H4" s="73"/>
      <c r="I4" s="73"/>
    </row>
    <row r="5" spans="1:9" x14ac:dyDescent="0.2">
      <c r="A5" s="2"/>
      <c r="B5" s="74"/>
      <c r="C5" s="2"/>
      <c r="D5" s="2"/>
      <c r="E5" s="2"/>
      <c r="F5" s="2"/>
      <c r="G5" s="2"/>
      <c r="H5" s="2"/>
      <c r="I5" s="2"/>
    </row>
    <row r="6" spans="1:9" x14ac:dyDescent="0.2">
      <c r="A6" s="5"/>
      <c r="B6" s="75" t="s">
        <v>23</v>
      </c>
      <c r="C6" s="76" t="s">
        <v>3</v>
      </c>
      <c r="D6" s="76" t="s">
        <v>4</v>
      </c>
      <c r="E6" s="76" t="s">
        <v>5</v>
      </c>
      <c r="F6" s="76" t="s">
        <v>6</v>
      </c>
      <c r="G6" s="76" t="s">
        <v>48</v>
      </c>
      <c r="H6" s="2"/>
      <c r="I6" s="5"/>
    </row>
    <row r="7" spans="1:9" x14ac:dyDescent="0.2">
      <c r="A7" s="4" t="s">
        <v>51</v>
      </c>
      <c r="B7" s="77">
        <f>'Financial Statements'!Q8</f>
        <v>300000</v>
      </c>
      <c r="C7" s="13">
        <f>'Financial Statements'!R8</f>
        <v>360000</v>
      </c>
      <c r="D7" s="13">
        <f>'Financial Statements'!S8</f>
        <v>413999.99999999994</v>
      </c>
      <c r="E7" s="13">
        <f>'Financial Statements'!T8</f>
        <v>476099.99999999988</v>
      </c>
      <c r="F7" s="13">
        <f>'Financial Statements'!U8</f>
        <v>547514.99999999977</v>
      </c>
      <c r="G7" s="13">
        <f>'Financial Statements'!V8</f>
        <v>613216.79999999981</v>
      </c>
      <c r="H7" s="2"/>
      <c r="I7" s="5"/>
    </row>
    <row r="8" spans="1:9" x14ac:dyDescent="0.2">
      <c r="A8" s="78" t="s">
        <v>124</v>
      </c>
      <c r="B8" s="79"/>
      <c r="C8" s="80">
        <f>'Financial Statements'!F43</f>
        <v>0.2</v>
      </c>
      <c r="D8" s="80">
        <f>'Financial Statements'!G43</f>
        <v>0.15</v>
      </c>
      <c r="E8" s="80">
        <f>'Financial Statements'!H43</f>
        <v>0.15</v>
      </c>
      <c r="F8" s="80">
        <f>'Financial Statements'!I43</f>
        <v>0.15</v>
      </c>
      <c r="G8" s="80">
        <f>'Financial Statements'!J43</f>
        <v>0.12</v>
      </c>
      <c r="H8" s="2"/>
      <c r="I8" s="5"/>
    </row>
    <row r="9" spans="1:9" x14ac:dyDescent="0.2">
      <c r="A9" s="5"/>
      <c r="B9" s="81"/>
      <c r="C9" s="82"/>
      <c r="D9" s="82"/>
      <c r="E9" s="82"/>
      <c r="F9" s="82"/>
      <c r="G9" s="82"/>
      <c r="H9" s="2"/>
      <c r="I9" s="5"/>
    </row>
    <row r="10" spans="1:9" x14ac:dyDescent="0.2">
      <c r="A10" s="5" t="s">
        <v>125</v>
      </c>
      <c r="B10" s="83">
        <f>'Financial Statements'!Q10</f>
        <v>150000</v>
      </c>
      <c r="C10" s="84">
        <f>'Financial Statements'!R10</f>
        <v>162000</v>
      </c>
      <c r="D10" s="85">
        <f>'Financial Statements'!S10</f>
        <v>174914.99999999997</v>
      </c>
      <c r="E10" s="85">
        <f>'Financial Statements'!T10</f>
        <v>201152.24999999994</v>
      </c>
      <c r="F10" s="85">
        <f>'Financial Statements'!U10</f>
        <v>219005.99999999991</v>
      </c>
      <c r="G10" s="85">
        <f>'Financial Statements'!V10</f>
        <v>245286.71999999994</v>
      </c>
      <c r="H10" s="2"/>
      <c r="I10" s="5"/>
    </row>
    <row r="11" spans="1:9" x14ac:dyDescent="0.2">
      <c r="A11" s="4" t="s">
        <v>12</v>
      </c>
      <c r="B11" s="86">
        <f>B7-B10</f>
        <v>150000</v>
      </c>
      <c r="C11" s="87">
        <f t="shared" ref="C11:G11" si="0">C7-C10</f>
        <v>198000</v>
      </c>
      <c r="D11" s="87">
        <f t="shared" si="0"/>
        <v>239084.99999999997</v>
      </c>
      <c r="E11" s="87">
        <f t="shared" si="0"/>
        <v>274947.74999999994</v>
      </c>
      <c r="F11" s="87">
        <f t="shared" si="0"/>
        <v>328508.99999999988</v>
      </c>
      <c r="G11" s="87">
        <f t="shared" si="0"/>
        <v>367930.07999999984</v>
      </c>
      <c r="H11" s="2"/>
      <c r="I11" s="5"/>
    </row>
    <row r="12" spans="1:9" x14ac:dyDescent="0.2">
      <c r="A12" s="78" t="s">
        <v>126</v>
      </c>
      <c r="B12" s="88">
        <f>B11/B7</f>
        <v>0.5</v>
      </c>
      <c r="C12" s="89">
        <f t="shared" ref="C12:G12" si="1">C11/C7</f>
        <v>0.55000000000000004</v>
      </c>
      <c r="D12" s="89">
        <f t="shared" si="1"/>
        <v>0.57750000000000001</v>
      </c>
      <c r="E12" s="89">
        <f t="shared" si="1"/>
        <v>0.57750000000000001</v>
      </c>
      <c r="F12" s="89">
        <f t="shared" si="1"/>
        <v>0.60000000000000009</v>
      </c>
      <c r="G12" s="89">
        <f t="shared" si="1"/>
        <v>0.6</v>
      </c>
      <c r="H12" s="2"/>
      <c r="I12" s="5"/>
    </row>
    <row r="13" spans="1:9" x14ac:dyDescent="0.2">
      <c r="A13" s="5"/>
      <c r="B13" s="81"/>
      <c r="C13" s="90"/>
      <c r="D13" s="90"/>
      <c r="E13" s="82"/>
      <c r="F13" s="82"/>
      <c r="G13" s="82"/>
      <c r="H13" s="2"/>
      <c r="I13" s="5"/>
    </row>
    <row r="14" spans="1:9" x14ac:dyDescent="0.2">
      <c r="A14" s="5"/>
      <c r="B14" s="81"/>
      <c r="C14" s="90"/>
      <c r="D14" s="90"/>
      <c r="E14" s="82"/>
      <c r="F14" s="82"/>
      <c r="G14" s="82"/>
      <c r="H14" s="2"/>
      <c r="I14" s="5"/>
    </row>
    <row r="15" spans="1:9" x14ac:dyDescent="0.2">
      <c r="A15" s="5" t="s">
        <v>59</v>
      </c>
      <c r="B15" s="91">
        <f>'Financial Statements'!Q14</f>
        <v>43006.700000000004</v>
      </c>
      <c r="C15" s="92">
        <f>'Financial Statements'!R14</f>
        <v>45157.035000000003</v>
      </c>
      <c r="D15" s="92">
        <f>'Financial Statements'!S14</f>
        <v>47414.886750000005</v>
      </c>
      <c r="E15" s="92">
        <f>'Financial Statements'!T14</f>
        <v>49785.631087500005</v>
      </c>
      <c r="F15" s="92">
        <f>'Financial Statements'!U14</f>
        <v>52274.912641875009</v>
      </c>
      <c r="G15" s="92">
        <f>'Financial Statements'!V14</f>
        <v>54888.658273968766</v>
      </c>
      <c r="H15" s="2"/>
      <c r="I15" s="5"/>
    </row>
    <row r="16" spans="1:9" x14ac:dyDescent="0.2">
      <c r="A16" s="5" t="s">
        <v>61</v>
      </c>
      <c r="B16" s="91">
        <f>'Financial Statements'!Q15</f>
        <v>35316</v>
      </c>
      <c r="C16" s="92">
        <f>'Financial Statements'!R15</f>
        <v>37081.800000000003</v>
      </c>
      <c r="D16" s="92">
        <f>'Financial Statements'!S15</f>
        <v>38935.890000000007</v>
      </c>
      <c r="E16" s="92">
        <f>'Financial Statements'!T15</f>
        <v>40882.68450000001</v>
      </c>
      <c r="F16" s="92">
        <f>'Financial Statements'!U15</f>
        <v>42926.818725000012</v>
      </c>
      <c r="G16" s="92">
        <f>'Financial Statements'!V15</f>
        <v>45073.159661250014</v>
      </c>
      <c r="H16" s="2"/>
      <c r="I16" s="5"/>
    </row>
    <row r="17" spans="1:9" x14ac:dyDescent="0.2">
      <c r="A17" s="5" t="s">
        <v>62</v>
      </c>
      <c r="B17" s="91">
        <f>'Financial Statements'!Q16</f>
        <v>37958</v>
      </c>
      <c r="C17" s="93">
        <f>'Financial Statements'!R16</f>
        <v>22500</v>
      </c>
      <c r="D17" s="94">
        <f>'Financial Statements'!S16</f>
        <v>31049.999999999993</v>
      </c>
      <c r="E17" s="94">
        <f>'Financial Statements'!T16</f>
        <v>41658.749999999985</v>
      </c>
      <c r="F17" s="94">
        <f>'Financial Statements'!U16</f>
        <v>49276.349999999977</v>
      </c>
      <c r="G17" s="94">
        <f>'Financial Statements'!V16</f>
        <v>61321.679999999986</v>
      </c>
      <c r="H17" s="2"/>
      <c r="I17" s="5"/>
    </row>
    <row r="18" spans="1:9" x14ac:dyDescent="0.2">
      <c r="A18" s="2" t="s">
        <v>14</v>
      </c>
      <c r="B18" s="95">
        <f t="shared" ref="B18:G18" si="2">SUM(B15:B17)</f>
        <v>116280.70000000001</v>
      </c>
      <c r="C18" s="92">
        <f t="shared" si="2"/>
        <v>104738.83500000001</v>
      </c>
      <c r="D18" s="92">
        <f t="shared" si="2"/>
        <v>117400.77675000002</v>
      </c>
      <c r="E18" s="92">
        <f t="shared" si="2"/>
        <v>132327.06558749999</v>
      </c>
      <c r="F18" s="92">
        <f t="shared" si="2"/>
        <v>144478.08136687501</v>
      </c>
      <c r="G18" s="92">
        <f t="shared" si="2"/>
        <v>161283.49793521877</v>
      </c>
      <c r="H18" s="2"/>
      <c r="I18" s="5"/>
    </row>
    <row r="19" spans="1:9" x14ac:dyDescent="0.2">
      <c r="A19" s="2"/>
      <c r="B19" s="96"/>
      <c r="C19" s="97"/>
      <c r="D19" s="97"/>
      <c r="E19" s="97"/>
      <c r="F19" s="97"/>
      <c r="G19" s="97"/>
      <c r="H19" s="2"/>
      <c r="I19" s="5"/>
    </row>
    <row r="20" spans="1:9" x14ac:dyDescent="0.2">
      <c r="A20" s="4" t="s">
        <v>127</v>
      </c>
      <c r="B20" s="98">
        <f t="shared" ref="B20:G20" si="3">B11-B18</f>
        <v>33719.299999999988</v>
      </c>
      <c r="C20" s="99">
        <f t="shared" si="3"/>
        <v>93261.164999999994</v>
      </c>
      <c r="D20" s="99">
        <f t="shared" si="3"/>
        <v>121684.22324999995</v>
      </c>
      <c r="E20" s="99">
        <f t="shared" si="3"/>
        <v>142620.68441249995</v>
      </c>
      <c r="F20" s="99">
        <f t="shared" si="3"/>
        <v>184030.91863312488</v>
      </c>
      <c r="G20" s="99">
        <f t="shared" si="3"/>
        <v>206646.58206478108</v>
      </c>
      <c r="H20" s="2"/>
      <c r="I20" s="5"/>
    </row>
    <row r="21" spans="1:9" x14ac:dyDescent="0.2">
      <c r="A21" s="78" t="s">
        <v>128</v>
      </c>
      <c r="B21" s="88">
        <f t="shared" ref="B21:G21" si="4">B20/B7</f>
        <v>0.11239766666666663</v>
      </c>
      <c r="C21" s="89">
        <f t="shared" si="4"/>
        <v>0.25905879166666662</v>
      </c>
      <c r="D21" s="89">
        <f t="shared" si="4"/>
        <v>0.29392324456521729</v>
      </c>
      <c r="E21" s="89">
        <f t="shared" si="4"/>
        <v>0.29956035373345929</v>
      </c>
      <c r="F21" s="89">
        <f t="shared" si="4"/>
        <v>0.33612032297402805</v>
      </c>
      <c r="G21" s="89">
        <f t="shared" si="4"/>
        <v>0.33698780278815116</v>
      </c>
      <c r="H21" s="2"/>
      <c r="I21" s="5"/>
    </row>
    <row r="22" spans="1:9" x14ac:dyDescent="0.2">
      <c r="A22" s="2"/>
      <c r="B22" s="100"/>
      <c r="C22" s="2"/>
      <c r="D22" s="2"/>
      <c r="E22" s="2"/>
      <c r="F22" s="2"/>
      <c r="G22" s="2"/>
      <c r="H22" s="2"/>
      <c r="I22" s="5"/>
    </row>
    <row r="23" spans="1:9" x14ac:dyDescent="0.2">
      <c r="A23" s="5" t="s">
        <v>129</v>
      </c>
      <c r="B23" s="83">
        <f>'Financial Statements'!Q17</f>
        <v>2000</v>
      </c>
      <c r="C23" s="101">
        <f>'Financial Statements'!R17</f>
        <v>2000</v>
      </c>
      <c r="D23" s="101">
        <f>'Financial Statements'!S17</f>
        <v>2000</v>
      </c>
      <c r="E23" s="101">
        <f>'Financial Statements'!T17</f>
        <v>2000</v>
      </c>
      <c r="F23" s="101">
        <f>'Financial Statements'!U17</f>
        <v>2000</v>
      </c>
      <c r="G23" s="101">
        <f>'Financial Statements'!V17</f>
        <v>0</v>
      </c>
      <c r="H23" s="2"/>
      <c r="I23" s="5"/>
    </row>
    <row r="24" spans="1:9" x14ac:dyDescent="0.2">
      <c r="A24" s="4" t="s">
        <v>15</v>
      </c>
      <c r="B24" s="98">
        <f>B20-B23</f>
        <v>31719.299999999988</v>
      </c>
      <c r="C24" s="99">
        <f t="shared" ref="C24:G24" si="5">C20-C23</f>
        <v>91261.164999999994</v>
      </c>
      <c r="D24" s="99">
        <f t="shared" si="5"/>
        <v>119684.22324999995</v>
      </c>
      <c r="E24" s="99">
        <f t="shared" si="5"/>
        <v>140620.68441249995</v>
      </c>
      <c r="F24" s="99">
        <f t="shared" si="5"/>
        <v>182030.91863312488</v>
      </c>
      <c r="G24" s="99">
        <f t="shared" si="5"/>
        <v>206646.58206478108</v>
      </c>
      <c r="H24" s="2"/>
      <c r="I24" s="5"/>
    </row>
    <row r="25" spans="1:9" x14ac:dyDescent="0.2">
      <c r="A25" s="5" t="s">
        <v>88</v>
      </c>
      <c r="B25" s="102">
        <v>0.32</v>
      </c>
      <c r="C25" s="103">
        <v>0.32</v>
      </c>
      <c r="D25" s="103">
        <v>0.32</v>
      </c>
      <c r="E25" s="103">
        <v>0.32</v>
      </c>
      <c r="F25" s="103">
        <v>0.32</v>
      </c>
      <c r="G25" s="103">
        <v>0.32</v>
      </c>
      <c r="H25" s="2"/>
      <c r="I25" s="5"/>
    </row>
    <row r="26" spans="1:9" x14ac:dyDescent="0.2">
      <c r="A26" s="4" t="s">
        <v>130</v>
      </c>
      <c r="B26" s="104">
        <f>B24*(1-B25)</f>
        <v>21569.123999999989</v>
      </c>
      <c r="C26" s="105">
        <f>C24</f>
        <v>91261.164999999994</v>
      </c>
      <c r="D26" s="105">
        <f>D24</f>
        <v>119684.22324999995</v>
      </c>
      <c r="E26" s="105">
        <f>E24</f>
        <v>140620.68441249995</v>
      </c>
      <c r="F26" s="105">
        <f>F24</f>
        <v>182030.91863312488</v>
      </c>
      <c r="G26" s="105">
        <f>G24*(1-G25)</f>
        <v>140519.6758040511</v>
      </c>
      <c r="H26" s="2"/>
      <c r="I26" s="5"/>
    </row>
    <row r="27" spans="1:9" x14ac:dyDescent="0.2">
      <c r="A27" s="5" t="s">
        <v>131</v>
      </c>
      <c r="B27" s="106">
        <f>B23</f>
        <v>2000</v>
      </c>
      <c r="C27" s="107">
        <f>C23</f>
        <v>2000</v>
      </c>
      <c r="D27" s="107">
        <f t="shared" ref="D27:G27" si="6">D23</f>
        <v>2000</v>
      </c>
      <c r="E27" s="107">
        <f t="shared" si="6"/>
        <v>2000</v>
      </c>
      <c r="F27" s="107">
        <f t="shared" si="6"/>
        <v>2000</v>
      </c>
      <c r="G27" s="107">
        <f t="shared" si="6"/>
        <v>0</v>
      </c>
      <c r="H27" s="2"/>
      <c r="I27" s="5"/>
    </row>
    <row r="28" spans="1:9" x14ac:dyDescent="0.2">
      <c r="A28" s="5"/>
      <c r="B28" s="96"/>
      <c r="C28" s="97"/>
      <c r="D28" s="97"/>
      <c r="E28" s="97"/>
      <c r="F28" s="97"/>
      <c r="G28" s="97"/>
      <c r="H28" s="2"/>
      <c r="I28" s="5"/>
    </row>
    <row r="29" spans="1:9" x14ac:dyDescent="0.2">
      <c r="A29" s="4" t="s">
        <v>132</v>
      </c>
      <c r="B29" s="98">
        <f t="shared" ref="B29:G29" si="7">SUM(B26:B27)</f>
        <v>23569.123999999989</v>
      </c>
      <c r="C29" s="99">
        <f t="shared" si="7"/>
        <v>93261.164999999994</v>
      </c>
      <c r="D29" s="99">
        <f t="shared" si="7"/>
        <v>121684.22324999995</v>
      </c>
      <c r="E29" s="99">
        <f t="shared" si="7"/>
        <v>142620.68441249995</v>
      </c>
      <c r="F29" s="99">
        <f t="shared" si="7"/>
        <v>184030.91863312488</v>
      </c>
      <c r="G29" s="99">
        <f t="shared" si="7"/>
        <v>140519.6758040511</v>
      </c>
      <c r="H29" s="2"/>
      <c r="I29" s="5"/>
    </row>
    <row r="30" spans="1:9" x14ac:dyDescent="0.2">
      <c r="A30" s="5"/>
      <c r="B30" s="81"/>
      <c r="C30" s="90"/>
      <c r="D30" s="90"/>
      <c r="E30" s="90"/>
      <c r="F30" s="90"/>
      <c r="G30" s="90"/>
      <c r="H30" s="2"/>
      <c r="I30" s="5"/>
    </row>
    <row r="31" spans="1:9" x14ac:dyDescent="0.2">
      <c r="A31" s="5" t="s">
        <v>133</v>
      </c>
      <c r="B31" s="100">
        <f>'Financial Statements'!F13</f>
        <v>10000</v>
      </c>
      <c r="C31" s="108">
        <f>'Financial Statements'!G13-'Financial Statements'!F13-'Financial Statements'!G14</f>
        <v>4000</v>
      </c>
      <c r="D31" s="108">
        <f>'Financial Statements'!H13-'Financial Statements'!G13-'Financial Statements'!H14</f>
        <v>6000</v>
      </c>
      <c r="E31" s="108">
        <f>'Financial Statements'!I13-'Financial Statements'!H13-'Financial Statements'!I14</f>
        <v>8000</v>
      </c>
      <c r="F31" s="108">
        <f>'Financial Statements'!J13-'Financial Statements'!I13-'Financial Statements'!J14</f>
        <v>10000</v>
      </c>
      <c r="G31" s="108">
        <f>'Financial Statements'!K13-'Financial Statements'!J13-'Financial Statements'!K14</f>
        <v>0</v>
      </c>
      <c r="H31" s="2"/>
      <c r="I31" s="5"/>
    </row>
    <row r="32" spans="1:9" x14ac:dyDescent="0.2">
      <c r="A32" s="5" t="s">
        <v>134</v>
      </c>
      <c r="B32" s="83">
        <f>('Financial Statements'!F11-'Financial Statements'!F23)-'Financial Statements'!F8</f>
        <v>38850</v>
      </c>
      <c r="C32" s="84">
        <f>('Financial Statements'!G11-'Financial Statements'!G23-'Financial Statements'!G8)-B32</f>
        <v>4593</v>
      </c>
      <c r="D32" s="85">
        <f>('Financial Statements'!H11-'Financial Statements'!H23-'Financial Statements'!H8)-C32</f>
        <v>46808.722500000003</v>
      </c>
      <c r="E32" s="85">
        <f>('Financial Statements'!I11-'Financial Statements'!I23-'Financial Statements'!I8)-D32</f>
        <v>13376.268750000017</v>
      </c>
      <c r="F32" s="85">
        <f>('Financial Statements'!J11-'Financial Statements'!J23-'Financial Statements'!J8)-E32</f>
        <v>68641.478249999956</v>
      </c>
      <c r="G32" s="85">
        <f>('Financial Statements'!K11-'Financial Statements'!K23-'Financial Statements'!K8)-F32</f>
        <v>8378.5518300000404</v>
      </c>
      <c r="H32" s="2"/>
      <c r="I32" s="5"/>
    </row>
    <row r="33" spans="1:9" x14ac:dyDescent="0.2">
      <c r="A33" s="4" t="s">
        <v>135</v>
      </c>
      <c r="B33" s="98">
        <f>B29-B31-B32</f>
        <v>-25280.876000000011</v>
      </c>
      <c r="C33" s="99">
        <f t="shared" ref="C33:G33" si="8">C29-C31-C32</f>
        <v>84668.164999999994</v>
      </c>
      <c r="D33" s="99">
        <f t="shared" si="8"/>
        <v>68875.500749999948</v>
      </c>
      <c r="E33" s="99">
        <f t="shared" si="8"/>
        <v>121244.41566249993</v>
      </c>
      <c r="F33" s="99">
        <f t="shared" si="8"/>
        <v>105389.44038312492</v>
      </c>
      <c r="G33" s="99">
        <f t="shared" si="8"/>
        <v>132141.12397405106</v>
      </c>
      <c r="H33" s="2"/>
      <c r="I33" s="5"/>
    </row>
    <row r="34" spans="1:9" x14ac:dyDescent="0.2">
      <c r="A34" s="4"/>
      <c r="B34" s="98"/>
      <c r="C34" s="99"/>
      <c r="D34" s="99"/>
      <c r="E34" s="99"/>
      <c r="F34" s="99"/>
      <c r="G34" s="99"/>
      <c r="H34" s="2"/>
      <c r="I34" s="5"/>
    </row>
    <row r="35" spans="1:9" x14ac:dyDescent="0.2">
      <c r="A35" s="5"/>
      <c r="B35" s="81"/>
      <c r="C35" s="82"/>
      <c r="D35" s="82"/>
      <c r="E35" s="82"/>
      <c r="F35" s="82"/>
      <c r="G35" s="82"/>
      <c r="H35" s="2"/>
      <c r="I35" s="5"/>
    </row>
    <row r="36" spans="1:9" x14ac:dyDescent="0.2">
      <c r="A36" s="5" t="s">
        <v>136</v>
      </c>
      <c r="B36" s="109">
        <v>1</v>
      </c>
      <c r="C36" s="65">
        <f>B36+1</f>
        <v>2</v>
      </c>
      <c r="D36" s="65">
        <f>C36+1</f>
        <v>3</v>
      </c>
      <c r="E36" s="65">
        <f>D36+1</f>
        <v>4</v>
      </c>
      <c r="F36" s="65">
        <f>E36+1</f>
        <v>5</v>
      </c>
      <c r="G36" s="65">
        <f>F36+1</f>
        <v>6</v>
      </c>
      <c r="H36" s="2"/>
      <c r="I36" s="5"/>
    </row>
    <row r="37" spans="1:9" x14ac:dyDescent="0.2">
      <c r="A37" s="5" t="s">
        <v>137</v>
      </c>
      <c r="B37" s="110">
        <f>1/(1+$B$44)^DCF!B36</f>
        <v>0.87873462214411258</v>
      </c>
      <c r="C37" s="110">
        <f>1/(1+$B$44)^DCF!C36</f>
        <v>0.77217453615475617</v>
      </c>
      <c r="D37" s="110">
        <f>1/(1+$B$44)^DCF!D36</f>
        <v>0.67853649925725512</v>
      </c>
      <c r="E37" s="110">
        <f>1/(1+$B$44)^DCF!E36</f>
        <v>0.59625351428581297</v>
      </c>
      <c r="F37" s="110">
        <f>1/(1+$B$44)^DCF!F36</f>
        <v>0.5239486065780431</v>
      </c>
      <c r="G37" s="110">
        <f>1/(1+$B$44)^DCF!G36</f>
        <v>0.46041178082429096</v>
      </c>
      <c r="H37" s="2"/>
      <c r="I37" s="5"/>
    </row>
    <row r="38" spans="1:9" x14ac:dyDescent="0.2">
      <c r="A38" s="4" t="s">
        <v>138</v>
      </c>
      <c r="B38" s="111">
        <f>B33*B37</f>
        <v>-22215.181019332173</v>
      </c>
      <c r="C38" s="99">
        <f>C33*C37</f>
        <v>65378.601035949359</v>
      </c>
      <c r="D38" s="99">
        <f t="shared" ref="D38:G38" si="9">D33*D37</f>
        <v>46734.541163495414</v>
      </c>
      <c r="E38" s="99">
        <f t="shared" si="9"/>
        <v>72292.408926295451</v>
      </c>
      <c r="F38" s="99">
        <f t="shared" si="9"/>
        <v>55218.650436778051</v>
      </c>
      <c r="G38" s="99">
        <f t="shared" si="9"/>
        <v>60839.330209016262</v>
      </c>
      <c r="H38" s="2"/>
      <c r="I38" s="5"/>
    </row>
    <row r="39" spans="1:9" x14ac:dyDescent="0.2">
      <c r="A39" s="4"/>
      <c r="B39" s="82"/>
      <c r="C39" s="99"/>
      <c r="D39" s="99"/>
      <c r="E39" s="99"/>
      <c r="F39" s="99"/>
      <c r="G39" s="99"/>
      <c r="H39" s="2"/>
      <c r="I39" s="5"/>
    </row>
    <row r="40" spans="1:9" x14ac:dyDescent="0.2">
      <c r="A40" s="4" t="s">
        <v>139</v>
      </c>
      <c r="B40" s="82"/>
      <c r="C40" s="99"/>
      <c r="D40" s="99"/>
      <c r="E40" s="99"/>
      <c r="F40" s="99"/>
      <c r="G40" s="99"/>
      <c r="H40" s="2"/>
      <c r="I40" s="5"/>
    </row>
    <row r="41" spans="1:9" x14ac:dyDescent="0.2">
      <c r="A41" s="4"/>
      <c r="B41" s="82"/>
      <c r="C41" s="112"/>
      <c r="D41" s="112"/>
      <c r="E41" s="112"/>
      <c r="F41" s="112"/>
      <c r="G41" s="112"/>
      <c r="H41" s="113"/>
      <c r="I41" s="5"/>
    </row>
    <row r="42" spans="1:9" x14ac:dyDescent="0.2">
      <c r="A42" s="4" t="s">
        <v>140</v>
      </c>
      <c r="B42" s="87">
        <f>SUM(B38:G38)</f>
        <v>278248.35075220239</v>
      </c>
      <c r="C42" s="112"/>
      <c r="D42" s="112"/>
      <c r="E42" s="112"/>
      <c r="F42" s="112"/>
      <c r="G42" s="112"/>
      <c r="H42" s="113"/>
      <c r="I42" s="5"/>
    </row>
    <row r="43" spans="1:9" x14ac:dyDescent="0.2">
      <c r="A43" s="114"/>
      <c r="B43" s="65"/>
      <c r="C43" s="112"/>
      <c r="D43" s="112"/>
      <c r="E43" s="112"/>
      <c r="F43" s="112"/>
      <c r="G43" s="112"/>
      <c r="H43" s="113"/>
      <c r="I43" s="5"/>
    </row>
    <row r="44" spans="1:9" x14ac:dyDescent="0.2">
      <c r="A44" s="115" t="s">
        <v>141</v>
      </c>
      <c r="B44" s="116">
        <f>13.8%</f>
        <v>0.13800000000000001</v>
      </c>
      <c r="C44" s="117"/>
      <c r="D44" s="117"/>
      <c r="E44" s="5"/>
      <c r="F44" s="5"/>
      <c r="G44" s="5"/>
      <c r="H44" s="5"/>
      <c r="I44" s="113"/>
    </row>
    <row r="47" spans="1:9" x14ac:dyDescent="0.2">
      <c r="A47" s="118" t="s">
        <v>142</v>
      </c>
      <c r="B47" s="118"/>
      <c r="C47" s="118"/>
      <c r="D47" s="118"/>
      <c r="E47" s="118"/>
      <c r="F47" s="118"/>
      <c r="G47" s="118"/>
      <c r="H47" s="119"/>
      <c r="I47" s="119"/>
    </row>
    <row r="48" spans="1:9" ht="30" x14ac:dyDescent="0.2">
      <c r="B48" s="120" t="s">
        <v>48</v>
      </c>
      <c r="C48" s="121" t="s">
        <v>143</v>
      </c>
      <c r="D48" s="121" t="s">
        <v>144</v>
      </c>
    </row>
    <row r="49" spans="1:4" x14ac:dyDescent="0.2">
      <c r="A49" s="4" t="s">
        <v>51</v>
      </c>
      <c r="B49" s="122">
        <f>G7</f>
        <v>613216.79999999981</v>
      </c>
      <c r="C49" s="123">
        <f>B49*(1+D49)</f>
        <v>640811.55599999975</v>
      </c>
      <c r="D49" s="45">
        <v>4.4999999999999998E-2</v>
      </c>
    </row>
    <row r="50" spans="1:4" x14ac:dyDescent="0.2">
      <c r="A50" s="5"/>
      <c r="B50" s="124"/>
    </row>
    <row r="51" spans="1:4" x14ac:dyDescent="0.2">
      <c r="A51" s="5" t="s">
        <v>125</v>
      </c>
      <c r="B51" s="125">
        <f>G10</f>
        <v>245286.71999999994</v>
      </c>
      <c r="C51" s="126">
        <f>C49*55%</f>
        <v>352446.3557999999</v>
      </c>
    </row>
    <row r="52" spans="1:4" x14ac:dyDescent="0.2">
      <c r="A52" s="4" t="s">
        <v>12</v>
      </c>
      <c r="B52" s="122">
        <f>B49-B51</f>
        <v>367930.07999999984</v>
      </c>
      <c r="C52" s="123">
        <f>C49-C51</f>
        <v>288365.20019999985</v>
      </c>
    </row>
    <row r="53" spans="1:4" x14ac:dyDescent="0.2">
      <c r="A53" s="78" t="s">
        <v>126</v>
      </c>
      <c r="B53" s="127">
        <f>B52/B49</f>
        <v>0.6</v>
      </c>
      <c r="C53" s="128">
        <f>C52/C49</f>
        <v>0.44999999999999996</v>
      </c>
    </row>
    <row r="54" spans="1:4" x14ac:dyDescent="0.2">
      <c r="A54" s="5"/>
      <c r="B54" s="124"/>
    </row>
    <row r="55" spans="1:4" x14ac:dyDescent="0.2">
      <c r="A55" s="5"/>
      <c r="B55" s="124"/>
    </row>
    <row r="56" spans="1:4" x14ac:dyDescent="0.2">
      <c r="A56" s="5" t="s">
        <v>59</v>
      </c>
      <c r="B56" s="125">
        <f>G15</f>
        <v>54888.658273968766</v>
      </c>
      <c r="C56" s="126">
        <f>B56*(1+$D$49)</f>
        <v>57358.647896297356</v>
      </c>
    </row>
    <row r="57" spans="1:4" x14ac:dyDescent="0.2">
      <c r="A57" s="5" t="s">
        <v>61</v>
      </c>
      <c r="B57" s="125">
        <f t="shared" ref="B57:B58" si="10">G16</f>
        <v>45073.159661250014</v>
      </c>
      <c r="C57" s="126">
        <f t="shared" ref="C57:C58" si="11">B57*(1+$D$49)</f>
        <v>47101.451846006261</v>
      </c>
    </row>
    <row r="58" spans="1:4" x14ac:dyDescent="0.2">
      <c r="A58" s="5" t="s">
        <v>62</v>
      </c>
      <c r="B58" s="125">
        <f t="shared" si="10"/>
        <v>61321.679999999986</v>
      </c>
      <c r="C58" s="126">
        <f t="shared" si="11"/>
        <v>64081.155599999984</v>
      </c>
    </row>
    <row r="59" spans="1:4" x14ac:dyDescent="0.2">
      <c r="A59" s="2" t="s">
        <v>14</v>
      </c>
      <c r="B59" s="98">
        <f>SUM(B56:B58)</f>
        <v>161283.49793521877</v>
      </c>
      <c r="C59" s="123">
        <f>SUM(C56:C58)</f>
        <v>168541.2553423036</v>
      </c>
    </row>
    <row r="60" spans="1:4" x14ac:dyDescent="0.2">
      <c r="A60" s="2"/>
      <c r="B60" s="124"/>
    </row>
    <row r="61" spans="1:4" x14ac:dyDescent="0.2">
      <c r="A61" s="4" t="s">
        <v>127</v>
      </c>
      <c r="B61" s="122">
        <f>B52-B59</f>
        <v>206646.58206478108</v>
      </c>
      <c r="C61" s="123">
        <f>C52-C59</f>
        <v>119823.94485769625</v>
      </c>
    </row>
    <row r="62" spans="1:4" x14ac:dyDescent="0.2">
      <c r="A62" s="78" t="s">
        <v>128</v>
      </c>
      <c r="B62" s="127">
        <f>B61/B49</f>
        <v>0.33698780278815116</v>
      </c>
      <c r="C62" s="129">
        <f>C61/C49</f>
        <v>0.18698780278815116</v>
      </c>
    </row>
    <row r="63" spans="1:4" x14ac:dyDescent="0.2">
      <c r="A63" s="2"/>
      <c r="B63" s="124"/>
    </row>
    <row r="64" spans="1:4" x14ac:dyDescent="0.2">
      <c r="A64" s="5" t="s">
        <v>129</v>
      </c>
      <c r="B64" s="124">
        <v>0</v>
      </c>
      <c r="C64" s="3">
        <f>0</f>
        <v>0</v>
      </c>
    </row>
    <row r="65" spans="1:3" x14ac:dyDescent="0.2">
      <c r="A65" s="4" t="s">
        <v>15</v>
      </c>
      <c r="B65" s="98">
        <v>29415.713215622702</v>
      </c>
      <c r="C65" s="123">
        <f>C61-C64</f>
        <v>119823.94485769625</v>
      </c>
    </row>
    <row r="66" spans="1:3" x14ac:dyDescent="0.2">
      <c r="A66" s="5" t="s">
        <v>88</v>
      </c>
      <c r="B66" s="130">
        <v>0.32</v>
      </c>
      <c r="C66" s="131">
        <f>32%</f>
        <v>0.32</v>
      </c>
    </row>
    <row r="67" spans="1:3" x14ac:dyDescent="0.2">
      <c r="A67" s="4" t="s">
        <v>130</v>
      </c>
      <c r="B67" s="98">
        <f>B65*(1-B66)</f>
        <v>20002.684986623437</v>
      </c>
      <c r="C67" s="123">
        <f>C65*(1-C66)</f>
        <v>81480.282503233437</v>
      </c>
    </row>
    <row r="68" spans="1:3" x14ac:dyDescent="0.2">
      <c r="A68" s="5" t="s">
        <v>131</v>
      </c>
      <c r="B68" s="124">
        <v>0</v>
      </c>
      <c r="C68" s="3">
        <f>0</f>
        <v>0</v>
      </c>
    </row>
    <row r="69" spans="1:3" x14ac:dyDescent="0.2">
      <c r="A69" s="5"/>
      <c r="B69" s="124"/>
    </row>
    <row r="70" spans="1:3" x14ac:dyDescent="0.2">
      <c r="A70" s="4" t="s">
        <v>132</v>
      </c>
      <c r="B70" s="98">
        <f>B67+B68</f>
        <v>20002.684986623437</v>
      </c>
      <c r="C70" s="126">
        <f>C67</f>
        <v>81480.282503233437</v>
      </c>
    </row>
    <row r="71" spans="1:3" x14ac:dyDescent="0.2">
      <c r="A71" s="5"/>
      <c r="B71" s="124"/>
    </row>
    <row r="72" spans="1:3" x14ac:dyDescent="0.2">
      <c r="A72" s="5" t="s">
        <v>133</v>
      </c>
      <c r="B72" s="124">
        <v>0</v>
      </c>
      <c r="C72" s="3">
        <f>0</f>
        <v>0</v>
      </c>
    </row>
    <row r="73" spans="1:3" x14ac:dyDescent="0.2">
      <c r="A73" s="5" t="s">
        <v>134</v>
      </c>
      <c r="B73" s="125">
        <f>G32</f>
        <v>8378.5518300000404</v>
      </c>
      <c r="C73" s="126">
        <f>B73*(1+D49)</f>
        <v>8755.5866623500424</v>
      </c>
    </row>
    <row r="74" spans="1:3" x14ac:dyDescent="0.2">
      <c r="A74" s="4" t="s">
        <v>145</v>
      </c>
      <c r="B74" s="98">
        <f>B70+B72-B73</f>
        <v>11624.133156623397</v>
      </c>
      <c r="C74" s="123">
        <f>C70-C72-C73</f>
        <v>72724.695840883389</v>
      </c>
    </row>
    <row r="75" spans="1:3" x14ac:dyDescent="0.2">
      <c r="B75" s="124"/>
    </row>
    <row r="76" spans="1:3" x14ac:dyDescent="0.2">
      <c r="A76" s="5" t="s">
        <v>136</v>
      </c>
      <c r="B76" s="132">
        <f>G36</f>
        <v>6</v>
      </c>
      <c r="C76" s="3">
        <v>7</v>
      </c>
    </row>
    <row r="77" spans="1:3" x14ac:dyDescent="0.2">
      <c r="A77" s="5" t="s">
        <v>137</v>
      </c>
      <c r="B77" s="133">
        <f>1/(1+B44)^C76</f>
        <v>0.40457977225333125</v>
      </c>
    </row>
    <row r="78" spans="1:3" x14ac:dyDescent="0.2">
      <c r="A78" s="4" t="s">
        <v>138</v>
      </c>
      <c r="B78" s="124"/>
    </row>
    <row r="79" spans="1:3" x14ac:dyDescent="0.2">
      <c r="B79" s="124"/>
    </row>
    <row r="80" spans="1:3" x14ac:dyDescent="0.2">
      <c r="A80" s="4" t="s">
        <v>146</v>
      </c>
      <c r="B80" s="124"/>
      <c r="C80" s="123">
        <f>C74/(B44-D49)</f>
        <v>781985.97678369225</v>
      </c>
    </row>
    <row r="81" spans="1:7" x14ac:dyDescent="0.2">
      <c r="A81" s="4" t="s">
        <v>147</v>
      </c>
      <c r="B81" s="124"/>
      <c r="C81" s="123">
        <f>C80*B77</f>
        <v>316375.708392445</v>
      </c>
    </row>
    <row r="84" spans="1:7" x14ac:dyDescent="0.2">
      <c r="C84" s="134" t="s">
        <v>148</v>
      </c>
      <c r="D84" s="135"/>
      <c r="E84" s="136"/>
      <c r="F84" s="136"/>
      <c r="G84" s="136"/>
    </row>
    <row r="85" spans="1:7" x14ac:dyDescent="0.2">
      <c r="A85" s="137" t="str">
        <f>A42</f>
        <v>NPV of FY25 - FY29 Free Cash Flow</v>
      </c>
      <c r="B85" s="98">
        <f>B42</f>
        <v>278248.35075220239</v>
      </c>
      <c r="C85" s="138">
        <f>B85/$B$87</f>
        <v>0.46793994705235453</v>
      </c>
      <c r="D85" s="135"/>
      <c r="E85" s="136"/>
      <c r="F85" s="136"/>
      <c r="G85" s="136"/>
    </row>
    <row r="86" spans="1:7" x14ac:dyDescent="0.2">
      <c r="A86" s="137" t="str">
        <f>A81</f>
        <v>PV of Terminal Value today</v>
      </c>
      <c r="B86" s="139">
        <f>C81</f>
        <v>316375.708392445</v>
      </c>
      <c r="C86" s="140">
        <f>B86/$B$87</f>
        <v>0.53206005294764558</v>
      </c>
      <c r="D86" s="136"/>
      <c r="E86" s="136"/>
      <c r="F86" s="136"/>
      <c r="G86" s="136"/>
    </row>
    <row r="87" spans="1:7" x14ac:dyDescent="0.2">
      <c r="A87" s="141" t="s">
        <v>149</v>
      </c>
      <c r="B87" s="142">
        <f>SUM(B85:B86)</f>
        <v>594624.05914464733</v>
      </c>
      <c r="C87" s="138">
        <f>SUM(C85:C86)</f>
        <v>1</v>
      </c>
      <c r="D87" s="135"/>
      <c r="E87" s="136"/>
      <c r="F87" s="136"/>
      <c r="G87" s="136"/>
    </row>
    <row r="88" spans="1:7" x14ac:dyDescent="0.2">
      <c r="A88" s="143" t="s">
        <v>150</v>
      </c>
      <c r="B88" s="144">
        <f>B87/C20</f>
        <v>6.3759021147188903</v>
      </c>
      <c r="C88" s="135"/>
      <c r="D88" s="135"/>
      <c r="E88" s="136"/>
      <c r="F88" s="136"/>
      <c r="G88" s="136"/>
    </row>
    <row r="89" spans="1:7" x14ac:dyDescent="0.2">
      <c r="A89" s="143" t="s">
        <v>151</v>
      </c>
      <c r="B89" s="145">
        <f>B87/G20</f>
        <v>2.8774928343999431</v>
      </c>
      <c r="C89" s="135"/>
      <c r="D89" s="135"/>
      <c r="E89" s="136"/>
      <c r="F89" s="136"/>
      <c r="G89" s="136"/>
    </row>
    <row r="91" spans="1:7" x14ac:dyDescent="0.2">
      <c r="A91" s="143" t="s">
        <v>152</v>
      </c>
      <c r="B91" s="144">
        <f>B87/C33</f>
        <v>7.0229945239116418</v>
      </c>
    </row>
    <row r="92" spans="1:7" x14ac:dyDescent="0.2">
      <c r="A92" s="143" t="s">
        <v>153</v>
      </c>
      <c r="B92" s="144">
        <f>B87/G33</f>
        <v>4.499916765210922</v>
      </c>
    </row>
    <row r="93" spans="1:7" x14ac:dyDescent="0.2">
      <c r="A93" s="143"/>
      <c r="B93" s="144"/>
    </row>
    <row r="94" spans="1:7" x14ac:dyDescent="0.2">
      <c r="A94" s="143" t="s">
        <v>173</v>
      </c>
      <c r="B94" s="144">
        <f>B87/B7</f>
        <v>1.9820801971488244</v>
      </c>
    </row>
    <row r="95" spans="1:7" x14ac:dyDescent="0.2">
      <c r="A95" s="143" t="s">
        <v>174</v>
      </c>
      <c r="B95" s="144">
        <f>B87/G7</f>
        <v>0.96967998780308617</v>
      </c>
    </row>
    <row r="98" spans="1:10" x14ac:dyDescent="0.2">
      <c r="A98" s="146" t="s">
        <v>154</v>
      </c>
      <c r="B98" s="146"/>
      <c r="C98" s="146"/>
      <c r="D98" s="146"/>
      <c r="E98" s="146"/>
      <c r="F98" s="146"/>
      <c r="G98" s="146"/>
      <c r="H98" s="146"/>
      <c r="I98" s="146"/>
    </row>
    <row r="100" spans="1:10" x14ac:dyDescent="0.2">
      <c r="A100" s="147" t="s">
        <v>155</v>
      </c>
      <c r="B100" s="148" t="s">
        <v>144</v>
      </c>
      <c r="C100" s="148"/>
      <c r="D100" s="148"/>
      <c r="E100" s="148"/>
      <c r="F100" s="148"/>
      <c r="G100" s="148"/>
    </row>
    <row r="101" spans="1:10" x14ac:dyDescent="0.2">
      <c r="B101" s="149">
        <f>B87</f>
        <v>594624.05914464733</v>
      </c>
      <c r="C101" s="150">
        <v>3.5000000000000003E-2</v>
      </c>
      <c r="D101" s="150">
        <v>0.04</v>
      </c>
      <c r="E101" s="151">
        <v>4.4999999999999998E-2</v>
      </c>
      <c r="F101" s="150">
        <v>0.05</v>
      </c>
      <c r="G101" s="150">
        <v>5.5E-2</v>
      </c>
      <c r="J101" s="152"/>
    </row>
    <row r="102" spans="1:10" x14ac:dyDescent="0.2">
      <c r="B102" s="153">
        <f>B103-0.5%</f>
        <v>0.128</v>
      </c>
      <c r="C102" s="154">
        <f t="dataTable" ref="C102:G106" dt2D="1" dtr="1" r1="D49" r2="B44"/>
        <v>622186.1446302596</v>
      </c>
      <c r="D102" s="154">
        <v>642826.41628238163</v>
      </c>
      <c r="E102" s="154">
        <v>665953.46765162633</v>
      </c>
      <c r="F102" s="154">
        <v>692045.52560667181</v>
      </c>
      <c r="G102" s="154">
        <v>721711.83807610767</v>
      </c>
    </row>
    <row r="103" spans="1:10" x14ac:dyDescent="0.2">
      <c r="B103" s="153">
        <f>B104-0.5%</f>
        <v>0.13300000000000001</v>
      </c>
      <c r="C103" s="154">
        <v>590162.16710941028</v>
      </c>
      <c r="D103" s="155">
        <v>608210.91771677055</v>
      </c>
      <c r="E103" s="155">
        <v>628310.66271133046</v>
      </c>
      <c r="F103" s="155">
        <v>650832.06372933171</v>
      </c>
      <c r="G103" s="154">
        <v>676240.82385220518</v>
      </c>
    </row>
    <row r="104" spans="1:10" x14ac:dyDescent="0.2">
      <c r="B104" s="156">
        <f>'Cost Of Capital'!B16</f>
        <v>0.13800000000000001</v>
      </c>
      <c r="C104" s="154">
        <v>561174.38606891921</v>
      </c>
      <c r="D104" s="155">
        <v>577045.9146201578</v>
      </c>
      <c r="E104" s="157">
        <v>594624.05914464733</v>
      </c>
      <c r="F104" s="155">
        <v>614199.72009237472</v>
      </c>
      <c r="G104" s="154">
        <v>636133.89440729853</v>
      </c>
    </row>
    <row r="105" spans="1:10" x14ac:dyDescent="0.2">
      <c r="B105" s="153">
        <f>B104+0.5%</f>
        <v>0.14300000000000002</v>
      </c>
      <c r="C105" s="154">
        <v>534803.57787164557</v>
      </c>
      <c r="D105" s="155">
        <v>548831.62657057191</v>
      </c>
      <c r="E105" s="155">
        <v>564291.10881020478</v>
      </c>
      <c r="F105" s="155">
        <v>581412.90096807783</v>
      </c>
      <c r="G105" s="154">
        <v>600480.35132570949</v>
      </c>
    </row>
    <row r="106" spans="1:10" x14ac:dyDescent="0.2">
      <c r="B106" s="153">
        <f>B105+0.5%</f>
        <v>0.14800000000000002</v>
      </c>
      <c r="C106" s="154">
        <v>510704.65012614231</v>
      </c>
      <c r="D106" s="154">
        <v>523160.75052565534</v>
      </c>
      <c r="E106" s="154">
        <v>536826.18106104317</v>
      </c>
      <c r="F106" s="154">
        <v>551886.04328371549</v>
      </c>
      <c r="G106" s="154">
        <v>568565.24553033151</v>
      </c>
    </row>
    <row r="108" spans="1:10" x14ac:dyDescent="0.2">
      <c r="A108" s="147" t="s">
        <v>156</v>
      </c>
    </row>
    <row r="109" spans="1:10" x14ac:dyDescent="0.2">
      <c r="B109" s="148" t="s">
        <v>144</v>
      </c>
      <c r="C109" s="148"/>
      <c r="D109" s="148"/>
      <c r="E109" s="148"/>
      <c r="F109" s="148"/>
      <c r="G109" s="148"/>
    </row>
    <row r="110" spans="1:10" x14ac:dyDescent="0.2">
      <c r="B110" s="158">
        <f>B89</f>
        <v>2.8774928343999431</v>
      </c>
      <c r="C110" s="150">
        <v>3.5000000000000003E-2</v>
      </c>
      <c r="D110" s="150">
        <v>0.04</v>
      </c>
      <c r="E110" s="151">
        <v>4.4999999999999998E-2</v>
      </c>
      <c r="F110" s="150">
        <v>0.05</v>
      </c>
      <c r="G110" s="150">
        <v>5.5E-2</v>
      </c>
    </row>
    <row r="111" spans="1:10" x14ac:dyDescent="0.2">
      <c r="B111" s="153">
        <f>B102</f>
        <v>0.128</v>
      </c>
      <c r="C111" s="159">
        <f t="dataTable" ref="C111:G115" dt2D="1" dtr="1" r1="D49" r2="B44" ca="1"/>
        <v>3.0108707263070635</v>
      </c>
      <c r="D111" s="159">
        <v>3.1107527153817802</v>
      </c>
      <c r="E111" s="159">
        <v>3.2226686790438102</v>
      </c>
      <c r="F111" s="159">
        <v>3.3489328431753318</v>
      </c>
      <c r="G111" s="159">
        <v>3.4924934681467907</v>
      </c>
    </row>
    <row r="112" spans="1:10" x14ac:dyDescent="0.2">
      <c r="B112" s="153">
        <f t="shared" ref="B112:B115" si="12">B103</f>
        <v>0.13300000000000001</v>
      </c>
      <c r="C112" s="159">
        <v>2.8559009358519267</v>
      </c>
      <c r="D112" s="160">
        <v>2.9432420882049923</v>
      </c>
      <c r="E112" s="160">
        <v>3.0405083715072676</v>
      </c>
      <c r="F112" s="160">
        <v>3.1494934841230724</v>
      </c>
      <c r="G112" s="159">
        <v>3.2724510470742376</v>
      </c>
    </row>
    <row r="113" spans="1:10" x14ac:dyDescent="0.2">
      <c r="B113" s="156">
        <f t="shared" si="12"/>
        <v>0.13800000000000001</v>
      </c>
      <c r="C113" s="159">
        <v>2.7156238465778166</v>
      </c>
      <c r="D113" s="160">
        <v>2.7924290295750511</v>
      </c>
      <c r="E113" s="161">
        <v>2.8774928343999431</v>
      </c>
      <c r="F113" s="160">
        <v>2.9722229806822109</v>
      </c>
      <c r="G113" s="159">
        <v>3.0783663976008984</v>
      </c>
    </row>
    <row r="114" spans="1:10" x14ac:dyDescent="0.2">
      <c r="B114" s="153">
        <f t="shared" si="12"/>
        <v>0.14300000000000002</v>
      </c>
      <c r="C114" s="159">
        <v>2.5880107598585465</v>
      </c>
      <c r="D114" s="160">
        <v>2.6558950120864817</v>
      </c>
      <c r="E114" s="160">
        <v>2.7307062288274708</v>
      </c>
      <c r="F114" s="160">
        <v>2.8135616624223299</v>
      </c>
      <c r="G114" s="159">
        <v>2.9058324861984244</v>
      </c>
    </row>
    <row r="115" spans="1:10" x14ac:dyDescent="0.2">
      <c r="B115" s="153">
        <f t="shared" si="12"/>
        <v>0.14800000000000002</v>
      </c>
      <c r="C115" s="159">
        <v>2.4713917115069579</v>
      </c>
      <c r="D115" s="159">
        <v>2.5316690230165584</v>
      </c>
      <c r="E115" s="159">
        <v>2.597798500692138</v>
      </c>
      <c r="F115" s="159">
        <v>2.6706758842529816</v>
      </c>
      <c r="G115" s="159">
        <v>2.751389545616068</v>
      </c>
      <c r="J115" s="3" t="s">
        <v>41</v>
      </c>
    </row>
    <row r="121" spans="1:10" x14ac:dyDescent="0.2">
      <c r="A121" s="71"/>
      <c r="B121" s="71"/>
    </row>
    <row r="122" spans="1:10" x14ac:dyDescent="0.2">
      <c r="A122" s="71"/>
      <c r="B122" s="71"/>
    </row>
  </sheetData>
  <mergeCells count="4">
    <mergeCell ref="A4:G4"/>
    <mergeCell ref="A47:G47"/>
    <mergeCell ref="B100:G100"/>
    <mergeCell ref="B109:G109"/>
  </mergeCells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DD969F-23CC-A247-8D23-733A115D7E5D}">
  <dimension ref="A3:H44"/>
  <sheetViews>
    <sheetView showGridLines="0" topLeftCell="A14" workbookViewId="0">
      <selection activeCell="J49" sqref="J49"/>
    </sheetView>
  </sheetViews>
  <sheetFormatPr baseColWidth="10" defaultColWidth="10.83203125" defaultRowHeight="14" x14ac:dyDescent="0.2"/>
  <cols>
    <col min="1" max="1" width="17.83203125" style="3" customWidth="1"/>
    <col min="2" max="16384" width="10.83203125" style="3"/>
  </cols>
  <sheetData>
    <row r="3" spans="1:7" x14ac:dyDescent="0.2">
      <c r="A3" s="71"/>
    </row>
    <row r="4" spans="1:7" x14ac:dyDescent="0.2">
      <c r="A4" s="71" t="s">
        <v>157</v>
      </c>
    </row>
    <row r="5" spans="1:7" x14ac:dyDescent="0.2">
      <c r="B5" s="162" t="s">
        <v>23</v>
      </c>
      <c r="C5" s="163" t="s">
        <v>3</v>
      </c>
      <c r="D5" s="163" t="s">
        <v>4</v>
      </c>
      <c r="E5" s="163" t="s">
        <v>5</v>
      </c>
      <c r="F5" s="163" t="s">
        <v>6</v>
      </c>
      <c r="G5" s="163" t="s">
        <v>48</v>
      </c>
    </row>
    <row r="6" spans="1:7" x14ac:dyDescent="0.2">
      <c r="A6" s="71" t="s">
        <v>158</v>
      </c>
      <c r="B6" s="164">
        <f>'Financial Statements'!Q8/'Financial Statements'!F17</f>
        <v>1.0644370296864816</v>
      </c>
      <c r="C6" s="165">
        <f>'Financial Statements'!R8/'Financial Statements'!G17</f>
        <v>1.3437262285732017</v>
      </c>
      <c r="D6" s="165">
        <f>'Financial Statements'!S8/'Financial Statements'!H17</f>
        <v>1.5624748461953455</v>
      </c>
      <c r="E6" s="165">
        <f>'Financial Statements'!T8/'Financial Statements'!I17</f>
        <v>1.7720158028063868</v>
      </c>
      <c r="F6" s="165">
        <f>'Financial Statements'!U8/'Financial Statements'!J17</f>
        <v>1.8746134930144005</v>
      </c>
      <c r="G6" s="165">
        <f>'Financial Statements'!V8/'Financial Statements'!K17</f>
        <v>1.8887726481974043</v>
      </c>
    </row>
    <row r="7" spans="1:7" x14ac:dyDescent="0.2">
      <c r="A7" s="71"/>
      <c r="B7" s="124"/>
    </row>
    <row r="8" spans="1:7" x14ac:dyDescent="0.2">
      <c r="A8" s="71" t="s">
        <v>159</v>
      </c>
      <c r="B8" s="130">
        <f>'Financial Statements'!Q11/'Financial Statements'!Q8</f>
        <v>0.5</v>
      </c>
      <c r="C8" s="131">
        <f>'Financial Statements'!R11/'Financial Statements'!R8</f>
        <v>0.55000000000000004</v>
      </c>
      <c r="D8" s="131">
        <f>'Financial Statements'!S11/'Financial Statements'!S8</f>
        <v>0.57750000000000001</v>
      </c>
      <c r="E8" s="131">
        <f>'Financial Statements'!T11/'Financial Statements'!T8</f>
        <v>0.57750000000000001</v>
      </c>
      <c r="F8" s="131">
        <f>'Financial Statements'!U11/'Financial Statements'!U8</f>
        <v>0.60000000000000009</v>
      </c>
      <c r="G8" s="131">
        <f>'Financial Statements'!V11/'Financial Statements'!V8</f>
        <v>0.6</v>
      </c>
    </row>
    <row r="9" spans="1:7" x14ac:dyDescent="0.2">
      <c r="A9" s="71"/>
      <c r="B9" s="124"/>
    </row>
    <row r="10" spans="1:7" x14ac:dyDescent="0.2">
      <c r="A10" s="71" t="s">
        <v>160</v>
      </c>
      <c r="B10" s="164">
        <f>'Financial Statements'!Q10/'Financial Statements'!F10</f>
        <v>3.3333333333333335</v>
      </c>
      <c r="C10" s="165">
        <f>'Financial Statements'!R10/'Financial Statements'!G10</f>
        <v>3.214285714285714</v>
      </c>
      <c r="D10" s="165">
        <f>'Financial Statements'!S10/'Financial Statements'!H10</f>
        <v>3.5208333333333335</v>
      </c>
      <c r="E10" s="165">
        <f>'Financial Statements'!T10/'Financial Statements'!I10</f>
        <v>4.2249999999999996</v>
      </c>
      <c r="F10" s="165">
        <f>'Financial Statements'!U10/'Financial Statements'!J10</f>
        <v>4</v>
      </c>
      <c r="G10" s="165">
        <f>'Financial Statements'!V10/'Financial Statements'!K10</f>
        <v>5.0000000000000009</v>
      </c>
    </row>
    <row r="11" spans="1:7" x14ac:dyDescent="0.2">
      <c r="A11" s="71"/>
      <c r="B11" s="124"/>
    </row>
    <row r="12" spans="1:7" x14ac:dyDescent="0.2">
      <c r="A12" s="71" t="s">
        <v>161</v>
      </c>
      <c r="B12" s="164">
        <f>'Financial Statements'!Q8/'Financial Statements'!F9</f>
        <v>20</v>
      </c>
      <c r="C12" s="165">
        <f>'Financial Statements'!R8/'Financial Statements'!G9</f>
        <v>20</v>
      </c>
      <c r="D12" s="165">
        <f>'Financial Statements'!S8/'Financial Statements'!H9</f>
        <v>13.333333333333334</v>
      </c>
      <c r="E12" s="165">
        <f>'Financial Statements'!T8/'Financial Statements'!I9</f>
        <v>9.9999999999999982</v>
      </c>
      <c r="F12" s="165">
        <f>'Financial Statements'!U8/'Financial Statements'!J9</f>
        <v>8</v>
      </c>
      <c r="G12" s="165">
        <f>'Financial Statements'!V8/'Financial Statements'!K9</f>
        <v>8</v>
      </c>
    </row>
    <row r="13" spans="1:7" x14ac:dyDescent="0.2">
      <c r="A13" s="71"/>
      <c r="B13" s="124"/>
    </row>
    <row r="14" spans="1:7" x14ac:dyDescent="0.2">
      <c r="A14" s="71" t="s">
        <v>162</v>
      </c>
      <c r="B14" s="164">
        <f>('Financial Statements'!F9/'Financial Statements'!Q8)*365</f>
        <v>18.25</v>
      </c>
      <c r="C14" s="165">
        <f>('Financial Statements'!G9/'Financial Statements'!R8)*365</f>
        <v>18.25</v>
      </c>
      <c r="D14" s="165">
        <f>('Financial Statements'!H9/'Financial Statements'!S8)*365</f>
        <v>27.375</v>
      </c>
      <c r="E14" s="165">
        <f>('Financial Statements'!I9/'Financial Statements'!T8)*365</f>
        <v>36.5</v>
      </c>
      <c r="F14" s="165">
        <f>('Financial Statements'!J9/'Financial Statements'!U8)*365</f>
        <v>45.625</v>
      </c>
      <c r="G14" s="165">
        <f>('Financial Statements'!K9/'Financial Statements'!V8)*365</f>
        <v>45.625</v>
      </c>
    </row>
    <row r="15" spans="1:7" x14ac:dyDescent="0.2">
      <c r="A15" s="71"/>
      <c r="B15" s="124"/>
    </row>
    <row r="16" spans="1:7" x14ac:dyDescent="0.2">
      <c r="A16" s="71" t="s">
        <v>163</v>
      </c>
      <c r="B16" s="164">
        <f>('Financial Statements'!F10/'Financial Statements'!Q8)*365</f>
        <v>54.75</v>
      </c>
      <c r="C16" s="165">
        <f>('Financial Statements'!G10/'Financial Statements'!R8)*365</f>
        <v>51.1</v>
      </c>
      <c r="D16" s="165">
        <f>('Financial Statements'!H10/'Financial Statements'!S8)*365</f>
        <v>43.8</v>
      </c>
      <c r="E16" s="165">
        <f>('Financial Statements'!I10/'Financial Statements'!T8)*365</f>
        <v>36.5</v>
      </c>
      <c r="F16" s="165">
        <f>('Financial Statements'!J10/'Financial Statements'!U8)*365</f>
        <v>36.5</v>
      </c>
      <c r="G16" s="165">
        <f>('Financial Statements'!K10/'Financial Statements'!V8)*365</f>
        <v>29.2</v>
      </c>
    </row>
    <row r="17" spans="1:7" x14ac:dyDescent="0.2">
      <c r="A17" s="71"/>
      <c r="B17" s="124"/>
    </row>
    <row r="18" spans="1:7" x14ac:dyDescent="0.2">
      <c r="A18" s="71" t="s">
        <v>164</v>
      </c>
      <c r="B18" s="133">
        <f>('Financial Statements'!F21/'Financial Statements'!Q11)*365</f>
        <v>33.214999999999996</v>
      </c>
      <c r="C18" s="166">
        <f>('Financial Statements'!G21/'Financial Statements'!R11)*365</f>
        <v>29.415681818181817</v>
      </c>
      <c r="D18" s="166">
        <f>('Financial Statements'!H21/'Financial Statements'!S11)*365</f>
        <v>28.973257575757572</v>
      </c>
      <c r="E18" s="166">
        <f>('Financial Statements'!I21/'Financial Statements'!T11)*365</f>
        <v>30.708982683982683</v>
      </c>
      <c r="F18" s="166">
        <f>('Financial Statements'!J21/'Financial Statements'!U11)*365</f>
        <v>30.538333333333334</v>
      </c>
      <c r="G18" s="166">
        <f>('Financial Statements'!K21/'Financial Statements'!V11)*365</f>
        <v>33.093333333333341</v>
      </c>
    </row>
    <row r="19" spans="1:7" x14ac:dyDescent="0.2">
      <c r="A19" s="71"/>
      <c r="B19" s="124"/>
    </row>
    <row r="20" spans="1:7" x14ac:dyDescent="0.2">
      <c r="A20" s="71" t="s">
        <v>165</v>
      </c>
      <c r="B20" s="133">
        <f>B16+B14-B18</f>
        <v>39.785000000000004</v>
      </c>
      <c r="C20" s="166">
        <f t="shared" ref="C20:G20" si="0">C16+C14-C18</f>
        <v>39.934318181818178</v>
      </c>
      <c r="D20" s="166">
        <f t="shared" si="0"/>
        <v>42.201742424242425</v>
      </c>
      <c r="E20" s="166">
        <f t="shared" si="0"/>
        <v>42.291017316017317</v>
      </c>
      <c r="F20" s="166">
        <f t="shared" si="0"/>
        <v>51.586666666666666</v>
      </c>
      <c r="G20" s="166">
        <f t="shared" si="0"/>
        <v>41.731666666666662</v>
      </c>
    </row>
    <row r="21" spans="1:7" x14ac:dyDescent="0.2">
      <c r="A21" s="71"/>
      <c r="B21" s="124"/>
    </row>
    <row r="22" spans="1:7" x14ac:dyDescent="0.2">
      <c r="A22" s="71" t="s">
        <v>166</v>
      </c>
      <c r="B22" s="167">
        <f>'Financial Statements'!F11/'Financial Statements'!F23</f>
        <v>12.947476312056738</v>
      </c>
      <c r="C22" s="168">
        <f>'Financial Statements'!G11/'Financial Statements'!G23</f>
        <v>10.494519221060223</v>
      </c>
      <c r="D22" s="168">
        <f>'Financial Statements'!H11/'Financial Statements'!H23</f>
        <v>8.8980426999164894</v>
      </c>
      <c r="E22" s="168">
        <f>'Financial Statements'!I11/'Financial Statements'!I23</f>
        <v>7.6117309992251689</v>
      </c>
      <c r="F22" s="168">
        <f>'Financial Statements'!J11/'Financial Statements'!J23</f>
        <v>7.0936608479449257</v>
      </c>
      <c r="G22" s="168">
        <f>'Financial Statements'!K11/'Financial Statements'!K23</f>
        <v>6.4626813607181752</v>
      </c>
    </row>
    <row r="23" spans="1:7" x14ac:dyDescent="0.2">
      <c r="A23" s="71"/>
      <c r="B23" s="124"/>
    </row>
    <row r="24" spans="1:7" x14ac:dyDescent="0.2">
      <c r="A24" s="71" t="s">
        <v>167</v>
      </c>
      <c r="B24" s="133">
        <f>('Financial Statements'!F8+'Financial Statements'!F9)/'Financial Statements'!F23</f>
        <v>10.819816737588653</v>
      </c>
      <c r="C24" s="166">
        <f>('Financial Statements'!G8+'Financial Statements'!G9)/'Financial Statements'!G23</f>
        <v>8.4750457266498369</v>
      </c>
      <c r="D24" s="166">
        <f>('Financial Statements'!H8+'Financial Statements'!H9)/'Financial Statements'!H23</f>
        <v>7.2041143742587685</v>
      </c>
      <c r="E24" s="166">
        <f>('Financial Statements'!I8+'Financial Statements'!I9)/'Financial Statements'!I23</f>
        <v>6.2528045511191719</v>
      </c>
      <c r="F24" s="166">
        <f>('Financial Statements'!J8+'Financial Statements'!J9)/'Financial Statements'!J23</f>
        <v>5.7638736139023727</v>
      </c>
      <c r="G24" s="166">
        <f>('Financial Statements'!K8+'Financial Statements'!K9)/'Financial Statements'!K23</f>
        <v>5.4551246856552025</v>
      </c>
    </row>
    <row r="25" spans="1:7" x14ac:dyDescent="0.2">
      <c r="A25" s="71"/>
      <c r="B25" s="124"/>
    </row>
    <row r="26" spans="1:7" x14ac:dyDescent="0.2">
      <c r="A26" s="71" t="s">
        <v>168</v>
      </c>
      <c r="B26" s="133">
        <f>'Financial Statements'!F8/'Financial Statements'!F23</f>
        <v>10.110596879432624</v>
      </c>
      <c r="C26" s="166">
        <f>'Financial Statements'!G8/'Financial Statements'!G23</f>
        <v>7.7538051929318428</v>
      </c>
      <c r="D26" s="166">
        <f>'Financial Statements'!H8/'Financial Statements'!H23</f>
        <v>6.1454091707226928</v>
      </c>
      <c r="E26" s="166">
        <f>'Financial Statements'!I8/'Financial Statements'!I23</f>
        <v>4.8938781030131757</v>
      </c>
      <c r="F26" s="166">
        <f>'Financial Statements'!J8/'Financial Statements'!J23</f>
        <v>4.1016395713491809</v>
      </c>
      <c r="G26" s="166">
        <f>'Financial Statements'!K8/'Financial Statements'!K23</f>
        <v>3.8808173808693089</v>
      </c>
    </row>
    <row r="27" spans="1:7" x14ac:dyDescent="0.2">
      <c r="A27" s="71"/>
      <c r="B27" s="124"/>
    </row>
    <row r="28" spans="1:7" x14ac:dyDescent="0.2">
      <c r="A28" s="71" t="s">
        <v>169</v>
      </c>
      <c r="B28" s="169">
        <f>IRR(B44:H44)</f>
        <v>0.16107835963305539</v>
      </c>
    </row>
    <row r="29" spans="1:7" x14ac:dyDescent="0.2">
      <c r="B29" s="124"/>
    </row>
    <row r="30" spans="1:7" x14ac:dyDescent="0.2">
      <c r="A30" s="71" t="s">
        <v>170</v>
      </c>
      <c r="B30" s="170">
        <f>'Financial Statements'!$F$26/DCF!B87</f>
        <v>0.33634696902055272</v>
      </c>
    </row>
    <row r="31" spans="1:7" x14ac:dyDescent="0.2">
      <c r="B31" s="124"/>
    </row>
    <row r="32" spans="1:7" x14ac:dyDescent="0.2">
      <c r="A32" s="71" t="s">
        <v>172</v>
      </c>
      <c r="B32" s="171">
        <f>'Financial Statements'!Q20/'Financial Statements'!Q23</f>
        <v>1.9824562499999994</v>
      </c>
      <c r="C32" s="172">
        <f>'Financial Statements'!R20/'Financial Statements'!R23</f>
        <v>6.337580902777777</v>
      </c>
      <c r="D32" s="172">
        <f>'Financial Statements'!S20/'Financial Statements'!S23</f>
        <v>9.3503299414062457</v>
      </c>
      <c r="E32" s="172">
        <f>'Financial Statements'!T20/'Financial Statements'!T23</f>
        <v>12.555418251116066</v>
      </c>
      <c r="F32" s="172">
        <f>'Financial Statements'!U20/'Financial Statements'!U23</f>
        <v>18.961554024283842</v>
      </c>
      <c r="G32" s="172">
        <f>'Financial Statements'!V20/'Financial Statements'!V23</f>
        <v>25.830822758097636</v>
      </c>
    </row>
    <row r="44" spans="1:8" x14ac:dyDescent="0.2">
      <c r="A44" s="3" t="s">
        <v>171</v>
      </c>
      <c r="B44" s="99">
        <v>-150000</v>
      </c>
      <c r="C44" s="173" cm="1">
        <f t="array" ref="C44:H44">DCF!B38:G38</f>
        <v>-22215.181019332173</v>
      </c>
      <c r="D44" s="99">
        <v>65378.601035949359</v>
      </c>
      <c r="E44" s="99">
        <v>46734.541163495414</v>
      </c>
      <c r="F44" s="99">
        <v>72292.408926295451</v>
      </c>
      <c r="G44" s="99">
        <v>55218.650436778051</v>
      </c>
      <c r="H44" s="99">
        <v>60839.330209016262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Financial Statements</vt:lpstr>
      <vt:lpstr>Cost Of Capital</vt:lpstr>
      <vt:lpstr>DCF</vt:lpstr>
      <vt:lpstr>Risk &amp; Ratios Analysis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Teddy Tenetcha</dc:creator>
  <cp:keywords/>
  <dc:description/>
  <cp:lastModifiedBy>Teddy Tenetcha</cp:lastModifiedBy>
  <cp:revision/>
  <dcterms:created xsi:type="dcterms:W3CDTF">2024-04-08T14:35:11Z</dcterms:created>
  <dcterms:modified xsi:type="dcterms:W3CDTF">2025-06-29T23:16:17Z</dcterms:modified>
  <cp:category/>
  <cp:contentStatus/>
</cp:coreProperties>
</file>