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tables/table1.xml" ContentType="application/vnd.openxmlformats-officedocument.spreadsheetml.table+xml"/>
  <Override PartName="/xl/comments5.xml" ContentType="application/vnd.openxmlformats-officedocument.spreadsheetml.comments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comments6.xml" ContentType="application/vnd.openxmlformats-officedocument.spreadsheetml.comments+xml"/>
  <Override PartName="/xl/tables/table3.xml" ContentType="application/vnd.openxmlformats-officedocument.spreadsheetml.table+xml"/>
  <Override PartName="/xl/comments7.xml" ContentType="application/vnd.openxmlformats-officedocument.spreadsheetml.comments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teddytenetcha/Desktop/"/>
    </mc:Choice>
  </mc:AlternateContent>
  <xr:revisionPtr revIDLastSave="0" documentId="8_{05CF29F2-8C7C-7A4C-BF49-D29E41F94300}" xr6:coauthVersionLast="47" xr6:coauthVersionMax="47" xr10:uidLastSave="{00000000-0000-0000-0000-000000000000}"/>
  <bookViews>
    <workbookView xWindow="0" yWindow="740" windowWidth="30240" windowHeight="18900" firstSheet="2" activeTab="14" xr2:uid="{79452783-D8F8-E54F-AF64-DE5635B45071}"/>
  </bookViews>
  <sheets>
    <sheet name="COOK-US, BS FY'22" sheetId="13" r:id="rId1"/>
    <sheet name="COOK-US, CF FY'22" sheetId="14" r:id="rId2"/>
    <sheet name="COOK-US, IS FY'22" sheetId="12" r:id="rId3"/>
    <sheet name="Income Statement" sheetId="1" r:id="rId4"/>
    <sheet name="Balance Sheet" sheetId="6" r:id="rId5"/>
    <sheet name="Cash Flow" sheetId="7" r:id="rId6"/>
    <sheet name="DCF" sheetId="3" r:id="rId7"/>
    <sheet name="WACC" sheetId="5" r:id="rId8"/>
    <sheet name="Beta" sheetId="11" state="hidden" r:id="rId9"/>
    <sheet name="Debt Schedule" sheetId="2" r:id="rId10"/>
    <sheet name="COOK-USA" sheetId="16" r:id="rId11"/>
    <sheet name="Valuation" sheetId="17" r:id="rId12"/>
    <sheet name="Asset Schedule" sheetId="4" state="hidden" r:id="rId13"/>
    <sheet name="Sensitivity Model" sheetId="18" r:id="rId14"/>
    <sheet name="DCF Sensitivity" sheetId="19" r:id="rId15"/>
    <sheet name="Financial Analysis" sheetId="15" r:id="rId16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6" i="15" l="1"/>
  <c r="G16" i="15"/>
  <c r="H16" i="15"/>
  <c r="I16" i="15"/>
  <c r="J16" i="15"/>
  <c r="C26" i="15"/>
  <c r="D26" i="15"/>
  <c r="E26" i="15"/>
  <c r="F26" i="15"/>
  <c r="G26" i="15"/>
  <c r="H26" i="15"/>
  <c r="I26" i="15"/>
  <c r="J26" i="15"/>
  <c r="B26" i="15"/>
  <c r="D33" i="16"/>
  <c r="D28" i="16"/>
  <c r="D31" i="16"/>
  <c r="D30" i="16"/>
  <c r="D29" i="16"/>
  <c r="Q20" i="16"/>
  <c r="J35" i="16" s="1"/>
  <c r="Q19" i="16"/>
  <c r="J34" i="16" s="1"/>
  <c r="O20" i="16"/>
  <c r="J31" i="16" s="1"/>
  <c r="O19" i="16"/>
  <c r="J30" i="16" s="1"/>
  <c r="C9" i="17"/>
  <c r="J29" i="16" s="1"/>
  <c r="G29" i="16" l="1"/>
  <c r="E29" i="16" s="1"/>
  <c r="C29" i="16" s="1"/>
  <c r="S27" i="16" s="1"/>
  <c r="G31" i="16"/>
  <c r="G34" i="16"/>
  <c r="G35" i="16"/>
  <c r="G30" i="16"/>
  <c r="E30" i="16" s="1"/>
  <c r="C30" i="16" s="1"/>
  <c r="P27" i="16" s="1"/>
  <c r="D8" i="15"/>
  <c r="E8" i="15"/>
  <c r="F8" i="15"/>
  <c r="G8" i="15"/>
  <c r="H8" i="15"/>
  <c r="I8" i="15"/>
  <c r="J8" i="15"/>
  <c r="K8" i="15"/>
  <c r="L8" i="15"/>
  <c r="C8" i="15"/>
  <c r="AD98" i="19"/>
  <c r="W98" i="19"/>
  <c r="P98" i="19"/>
  <c r="I98" i="19"/>
  <c r="B98" i="19"/>
  <c r="AD74" i="19"/>
  <c r="W74" i="19"/>
  <c r="P74" i="19"/>
  <c r="I74" i="19"/>
  <c r="B74" i="19"/>
  <c r="AD50" i="19"/>
  <c r="W50" i="19"/>
  <c r="P50" i="19"/>
  <c r="I50" i="19"/>
  <c r="B50" i="19"/>
  <c r="AD26" i="19"/>
  <c r="W26" i="19"/>
  <c r="AD2" i="19"/>
  <c r="W2" i="19"/>
  <c r="P26" i="19"/>
  <c r="I26" i="19"/>
  <c r="B26" i="19"/>
  <c r="P2" i="19"/>
  <c r="I2" i="19"/>
  <c r="B2" i="19"/>
  <c r="B3" i="18"/>
  <c r="G6" i="18" s="1"/>
  <c r="B21" i="2"/>
  <c r="B18" i="2"/>
  <c r="C6" i="17"/>
  <c r="T18" i="16"/>
  <c r="Q18" i="16"/>
  <c r="O18" i="16"/>
  <c r="J28" i="16" s="1"/>
  <c r="K18" i="16"/>
  <c r="J18" i="16"/>
  <c r="T17" i="16"/>
  <c r="Q17" i="16"/>
  <c r="O17" i="16"/>
  <c r="K17" i="16"/>
  <c r="J17" i="16"/>
  <c r="Z16" i="16"/>
  <c r="Y16" i="16"/>
  <c r="X16" i="16"/>
  <c r="Z15" i="16"/>
  <c r="Y15" i="16"/>
  <c r="X15" i="16"/>
  <c r="Z14" i="16"/>
  <c r="Y14" i="16"/>
  <c r="X14" i="16"/>
  <c r="Z13" i="16"/>
  <c r="Y13" i="16"/>
  <c r="X13" i="16"/>
  <c r="Z12" i="16"/>
  <c r="Y12" i="16"/>
  <c r="X12" i="16"/>
  <c r="Z11" i="16"/>
  <c r="Y11" i="16"/>
  <c r="X11" i="16"/>
  <c r="Z10" i="16"/>
  <c r="Y10" i="16"/>
  <c r="X10" i="16"/>
  <c r="E34" i="16" l="1"/>
  <c r="C34" i="16" s="1"/>
  <c r="P28" i="16" s="1"/>
  <c r="E31" i="16"/>
  <c r="C31" i="16" s="1"/>
  <c r="R27" i="16" s="1"/>
  <c r="E35" i="16"/>
  <c r="C35" i="16" s="1"/>
  <c r="R28" i="16" s="1"/>
  <c r="G28" i="16"/>
  <c r="J33" i="16"/>
  <c r="G33" i="16" s="1"/>
  <c r="E33" i="16" s="1"/>
  <c r="C33" i="16" s="1"/>
  <c r="P3" i="19"/>
  <c r="P27" i="19" s="1"/>
  <c r="P51" i="19" s="1"/>
  <c r="P75" i="19" s="1"/>
  <c r="P99" i="19" s="1"/>
  <c r="H6" i="18"/>
  <c r="F6" i="18"/>
  <c r="B16" i="15"/>
  <c r="C16" i="15"/>
  <c r="D16" i="15"/>
  <c r="E16" i="15"/>
  <c r="J12" i="15"/>
  <c r="C12" i="15"/>
  <c r="D12" i="15"/>
  <c r="E12" i="15"/>
  <c r="F12" i="15"/>
  <c r="G12" i="15"/>
  <c r="H12" i="15"/>
  <c r="I12" i="15"/>
  <c r="B12" i="15"/>
  <c r="H24" i="6"/>
  <c r="I24" i="6" s="1"/>
  <c r="L17" i="1"/>
  <c r="E7" i="6"/>
  <c r="B10" i="5"/>
  <c r="B6" i="5"/>
  <c r="D4" i="5" a="1"/>
  <c r="D4" i="5" s="1"/>
  <c r="B5" i="5" s="1"/>
  <c r="B8" i="5" s="1"/>
  <c r="B2" i="3"/>
  <c r="E3" i="2"/>
  <c r="E2" i="2"/>
  <c r="F32" i="3"/>
  <c r="K13" i="1"/>
  <c r="N13" i="1" s="1"/>
  <c r="J14" i="12"/>
  <c r="P10" i="1"/>
  <c r="N10" i="1"/>
  <c r="E10" i="1"/>
  <c r="D10" i="1"/>
  <c r="C10" i="1"/>
  <c r="B10" i="1"/>
  <c r="L23" i="1"/>
  <c r="L22" i="1"/>
  <c r="P17" i="1"/>
  <c r="J24" i="6" l="1"/>
  <c r="Q28" i="16"/>
  <c r="B4" i="17"/>
  <c r="E28" i="16"/>
  <c r="C28" i="16" s="1"/>
  <c r="I3" i="19"/>
  <c r="I27" i="19" s="1"/>
  <c r="I51" i="19" s="1"/>
  <c r="I75" i="19" s="1"/>
  <c r="I99" i="19" s="1"/>
  <c r="E6" i="18"/>
  <c r="B3" i="19" s="1"/>
  <c r="B27" i="19" s="1"/>
  <c r="B51" i="19" s="1"/>
  <c r="B75" i="19" s="1"/>
  <c r="B99" i="19" s="1"/>
  <c r="W27" i="19"/>
  <c r="W51" i="19" s="1"/>
  <c r="W75" i="19" s="1"/>
  <c r="W99" i="19" s="1"/>
  <c r="W3" i="19"/>
  <c r="I6" i="18"/>
  <c r="AD3" i="19" s="1"/>
  <c r="AD27" i="19" s="1"/>
  <c r="AD51" i="19" s="1"/>
  <c r="AD75" i="19" s="1"/>
  <c r="AD99" i="19" s="1"/>
  <c r="O13" i="1"/>
  <c r="P18" i="1"/>
  <c r="F18" i="1" s="1"/>
  <c r="P16" i="1"/>
  <c r="P8" i="1"/>
  <c r="P7" i="1"/>
  <c r="N17" i="1"/>
  <c r="O17" i="1" s="1"/>
  <c r="F17" i="1" s="1"/>
  <c r="G9" i="7" s="1"/>
  <c r="N16" i="1"/>
  <c r="N18" i="1"/>
  <c r="N14" i="1"/>
  <c r="N8" i="1"/>
  <c r="N7" i="1"/>
  <c r="F26" i="7"/>
  <c r="E26" i="7"/>
  <c r="D26" i="7"/>
  <c r="C26" i="7"/>
  <c r="F27" i="7"/>
  <c r="E27" i="7"/>
  <c r="D27" i="7"/>
  <c r="C27" i="7"/>
  <c r="D33" i="7"/>
  <c r="E33" i="7"/>
  <c r="F33" i="7"/>
  <c r="C33" i="7"/>
  <c r="E14" i="1"/>
  <c r="D14" i="1"/>
  <c r="C14" i="1"/>
  <c r="B14" i="1"/>
  <c r="K25" i="6"/>
  <c r="F25" i="6" s="1"/>
  <c r="K28" i="6"/>
  <c r="K24" i="6"/>
  <c r="K26" i="6" s="1"/>
  <c r="K22" i="6"/>
  <c r="K21" i="6"/>
  <c r="K20" i="6"/>
  <c r="K19" i="6"/>
  <c r="K14" i="6"/>
  <c r="F14" i="6" s="1"/>
  <c r="K13" i="6"/>
  <c r="K12" i="6"/>
  <c r="K11" i="6"/>
  <c r="K9" i="6"/>
  <c r="K8" i="6"/>
  <c r="K7" i="6"/>
  <c r="K6" i="6"/>
  <c r="E28" i="6"/>
  <c r="D28" i="6"/>
  <c r="C28" i="6"/>
  <c r="E25" i="6"/>
  <c r="D25" i="6"/>
  <c r="C25" i="6"/>
  <c r="E24" i="6"/>
  <c r="D24" i="6"/>
  <c r="C24" i="6"/>
  <c r="E22" i="6"/>
  <c r="D22" i="6"/>
  <c r="C22" i="6"/>
  <c r="E21" i="6"/>
  <c r="E54" i="6" s="1"/>
  <c r="D21" i="6"/>
  <c r="C21" i="6"/>
  <c r="E20" i="6"/>
  <c r="D20" i="6"/>
  <c r="C20" i="6"/>
  <c r="E19" i="6"/>
  <c r="D19" i="6"/>
  <c r="D23" i="6" s="1"/>
  <c r="C19" i="6"/>
  <c r="E14" i="6"/>
  <c r="D14" i="6"/>
  <c r="C14" i="6"/>
  <c r="E13" i="6"/>
  <c r="D13" i="6"/>
  <c r="C13" i="6"/>
  <c r="E12" i="6"/>
  <c r="D12" i="6"/>
  <c r="C12" i="6"/>
  <c r="E11" i="6"/>
  <c r="D11" i="6"/>
  <c r="C11" i="6"/>
  <c r="E9" i="6"/>
  <c r="D9" i="6"/>
  <c r="C9" i="6"/>
  <c r="E8" i="6"/>
  <c r="D8" i="6"/>
  <c r="C8" i="6"/>
  <c r="D7" i="6"/>
  <c r="C7" i="6"/>
  <c r="E6" i="6"/>
  <c r="D6" i="6"/>
  <c r="C6" i="6"/>
  <c r="B28" i="6"/>
  <c r="B25" i="6"/>
  <c r="B24" i="6"/>
  <c r="B22" i="6"/>
  <c r="B21" i="6"/>
  <c r="B20" i="6"/>
  <c r="B19" i="6"/>
  <c r="B11" i="6"/>
  <c r="B14" i="6"/>
  <c r="B13" i="6"/>
  <c r="B12" i="6"/>
  <c r="B9" i="6"/>
  <c r="B8" i="6"/>
  <c r="B6" i="6"/>
  <c r="D32" i="7" s="1"/>
  <c r="B7" i="6"/>
  <c r="K16" i="1"/>
  <c r="E18" i="1"/>
  <c r="D18" i="1"/>
  <c r="C18" i="1"/>
  <c r="E17" i="1"/>
  <c r="F9" i="7" s="1"/>
  <c r="D17" i="1"/>
  <c r="E9" i="7" s="1"/>
  <c r="C17" i="1"/>
  <c r="D9" i="7" s="1"/>
  <c r="E16" i="1"/>
  <c r="D16" i="1"/>
  <c r="C16" i="1"/>
  <c r="E13" i="1"/>
  <c r="E11" i="1" s="1"/>
  <c r="D13" i="1"/>
  <c r="D11" i="1" s="1"/>
  <c r="C13" i="1"/>
  <c r="C11" i="1" s="1"/>
  <c r="E8" i="1"/>
  <c r="D8" i="1"/>
  <c r="C8" i="1"/>
  <c r="E7" i="1"/>
  <c r="D7" i="1"/>
  <c r="C7" i="1"/>
  <c r="B13" i="1"/>
  <c r="B18" i="1"/>
  <c r="B17" i="1"/>
  <c r="B16" i="1"/>
  <c r="B8" i="1"/>
  <c r="B7" i="1"/>
  <c r="F14" i="12"/>
  <c r="K7" i="1" s="1"/>
  <c r="L7" i="1" s="1"/>
  <c r="J15" i="12"/>
  <c r="F15" i="12" s="1"/>
  <c r="K8" i="1" s="1"/>
  <c r="J16" i="12"/>
  <c r="F16" i="12" s="1"/>
  <c r="J18" i="12"/>
  <c r="F18" i="12" s="1"/>
  <c r="K10" i="1" s="1"/>
  <c r="J19" i="12"/>
  <c r="F19" i="12" s="1"/>
  <c r="J20" i="12"/>
  <c r="F20" i="12" s="1"/>
  <c r="J21" i="12"/>
  <c r="F21" i="12" s="1"/>
  <c r="J22" i="12"/>
  <c r="F22" i="12" s="1"/>
  <c r="J23" i="12"/>
  <c r="F23" i="12" s="1"/>
  <c r="J24" i="12"/>
  <c r="F24" i="12" s="1"/>
  <c r="J26" i="12"/>
  <c r="F26" i="12" s="1"/>
  <c r="J28" i="12"/>
  <c r="F28" i="12" s="1"/>
  <c r="J30" i="12"/>
  <c r="F30" i="12" s="1"/>
  <c r="K17" i="1" s="1"/>
  <c r="J31" i="12"/>
  <c r="F31" i="12" s="1"/>
  <c r="J33" i="12"/>
  <c r="F33" i="12" s="1"/>
  <c r="J34" i="12"/>
  <c r="F34" i="12" s="1"/>
  <c r="K18" i="1" s="1"/>
  <c r="F35" i="12"/>
  <c r="J35" i="12"/>
  <c r="J36" i="12"/>
  <c r="F36" i="12" s="1"/>
  <c r="J37" i="12"/>
  <c r="F37" i="12" s="1"/>
  <c r="J38" i="12"/>
  <c r="F38" i="12" s="1"/>
  <c r="J39" i="12"/>
  <c r="F39" i="12" s="1"/>
  <c r="J41" i="12"/>
  <c r="F41" i="12" s="1"/>
  <c r="J42" i="12"/>
  <c r="F42" i="12" s="1"/>
  <c r="F43" i="12"/>
  <c r="J44" i="12"/>
  <c r="F44" i="12" s="1"/>
  <c r="J46" i="12"/>
  <c r="F46" i="12" s="1"/>
  <c r="B9" i="5"/>
  <c r="E4" i="11"/>
  <c r="F4" i="11"/>
  <c r="D3" i="2"/>
  <c r="D2" i="2"/>
  <c r="Q27" i="16" l="1"/>
  <c r="B3" i="17"/>
  <c r="C36" i="16"/>
  <c r="E26" i="6"/>
  <c r="E27" i="6" s="1"/>
  <c r="E29" i="6" s="1"/>
  <c r="D22" i="1"/>
  <c r="B4" i="15"/>
  <c r="E20" i="7"/>
  <c r="C23" i="6"/>
  <c r="E23" i="6"/>
  <c r="E10" i="6"/>
  <c r="G32" i="7"/>
  <c r="K11" i="1"/>
  <c r="E41" i="6"/>
  <c r="C15" i="6"/>
  <c r="F13" i="6"/>
  <c r="C26" i="6"/>
  <c r="D15" i="6"/>
  <c r="D26" i="6"/>
  <c r="K23" i="6"/>
  <c r="K27" i="6" s="1"/>
  <c r="K29" i="6" s="1"/>
  <c r="K31" i="6" s="1"/>
  <c r="B11" i="1"/>
  <c r="K53" i="6"/>
  <c r="F53" i="6" s="1"/>
  <c r="E64" i="6"/>
  <c r="E40" i="6"/>
  <c r="C55" i="6"/>
  <c r="B54" i="6"/>
  <c r="C10" i="6"/>
  <c r="E32" i="7"/>
  <c r="D10" i="6"/>
  <c r="F32" i="7"/>
  <c r="E15" i="6"/>
  <c r="C54" i="6"/>
  <c r="D54" i="6"/>
  <c r="D27" i="6"/>
  <c r="D29" i="6" s="1"/>
  <c r="F6" i="6"/>
  <c r="K10" i="6"/>
  <c r="K40" i="6"/>
  <c r="F40" i="6" s="1"/>
  <c r="K64" i="6"/>
  <c r="K27" i="1"/>
  <c r="K15" i="6"/>
  <c r="K16" i="6" s="1"/>
  <c r="K54" i="6"/>
  <c r="F54" i="6" s="1"/>
  <c r="G54" i="6" s="1"/>
  <c r="H54" i="6" s="1"/>
  <c r="I54" i="6" s="1"/>
  <c r="J54" i="6" s="1"/>
  <c r="K52" i="6"/>
  <c r="K23" i="1"/>
  <c r="B53" i="6"/>
  <c r="B25" i="1"/>
  <c r="C53" i="6"/>
  <c r="C25" i="1"/>
  <c r="D53" i="6"/>
  <c r="D25" i="1"/>
  <c r="E53" i="6"/>
  <c r="E25" i="1"/>
  <c r="E65" i="6"/>
  <c r="O7" i="1"/>
  <c r="F7" i="1" s="1"/>
  <c r="D4" i="15" s="1"/>
  <c r="N25" i="1"/>
  <c r="O14" i="1"/>
  <c r="P14" i="1" s="1"/>
  <c r="N11" i="1"/>
  <c r="O11" i="1" s="1"/>
  <c r="K25" i="1"/>
  <c r="P9" i="1"/>
  <c r="P25" i="1"/>
  <c r="O25" i="1" s="1"/>
  <c r="E23" i="1"/>
  <c r="P23" i="1"/>
  <c r="K55" i="6"/>
  <c r="F55" i="6" s="1"/>
  <c r="N23" i="1"/>
  <c r="O23" i="1" s="1"/>
  <c r="E29" i="1"/>
  <c r="K47" i="6"/>
  <c r="F47" i="6" s="1"/>
  <c r="E9" i="1"/>
  <c r="E20" i="15" s="1"/>
  <c r="E22" i="1"/>
  <c r="K42" i="6"/>
  <c r="F42" i="6" s="1"/>
  <c r="L8" i="1"/>
  <c r="N9" i="1"/>
  <c r="K41" i="6"/>
  <c r="K65" i="6"/>
  <c r="F65" i="6" s="1"/>
  <c r="C9" i="1"/>
  <c r="C20" i="15" s="1"/>
  <c r="D9" i="1"/>
  <c r="D20" i="15" s="1"/>
  <c r="C27" i="6"/>
  <c r="C29" i="6" s="1"/>
  <c r="D16" i="6"/>
  <c r="E16" i="6"/>
  <c r="G27" i="7"/>
  <c r="H27" i="7" s="1"/>
  <c r="I27" i="7" s="1"/>
  <c r="J27" i="7" s="1"/>
  <c r="K27" i="7" s="1"/>
  <c r="G26" i="7"/>
  <c r="H26" i="7" s="1"/>
  <c r="I26" i="7" s="1"/>
  <c r="J26" i="7" s="1"/>
  <c r="K26" i="7" s="1"/>
  <c r="F11" i="7"/>
  <c r="D13" i="7"/>
  <c r="E11" i="7"/>
  <c r="L6" i="7"/>
  <c r="O8" i="1" l="1"/>
  <c r="H32" i="7"/>
  <c r="G33" i="7"/>
  <c r="C16" i="6"/>
  <c r="N12" i="1"/>
  <c r="F22" i="6"/>
  <c r="D12" i="1"/>
  <c r="C12" i="1"/>
  <c r="E12" i="1"/>
  <c r="F20" i="6"/>
  <c r="F11" i="6"/>
  <c r="F23" i="1"/>
  <c r="O10" i="1"/>
  <c r="F7" i="6"/>
  <c r="F21" i="6" s="1"/>
  <c r="G24" i="7" s="1"/>
  <c r="F9" i="6"/>
  <c r="G42" i="6"/>
  <c r="H42" i="6" s="1"/>
  <c r="I42" i="6" s="1"/>
  <c r="J42" i="6" s="1"/>
  <c r="F8" i="1"/>
  <c r="F22" i="1"/>
  <c r="C4" i="15"/>
  <c r="O16" i="1"/>
  <c r="F16" i="1" s="1"/>
  <c r="G7" i="1"/>
  <c r="N15" i="1"/>
  <c r="N19" i="1" s="1"/>
  <c r="D15" i="1"/>
  <c r="D19" i="1" s="1"/>
  <c r="D3" i="1" s="1"/>
  <c r="O9" i="1"/>
  <c r="G41" i="7"/>
  <c r="B23" i="1"/>
  <c r="B47" i="6"/>
  <c r="D19" i="7"/>
  <c r="B66" i="6" s="1"/>
  <c r="F125" i="11"/>
  <c r="E125" i="11"/>
  <c r="F124" i="11"/>
  <c r="E124" i="11"/>
  <c r="F123" i="11"/>
  <c r="E123" i="11"/>
  <c r="F122" i="11"/>
  <c r="E122" i="11"/>
  <c r="F121" i="11"/>
  <c r="E121" i="11"/>
  <c r="F120" i="11"/>
  <c r="E120" i="11"/>
  <c r="F119" i="11"/>
  <c r="E119" i="11"/>
  <c r="F118" i="11"/>
  <c r="E118" i="11"/>
  <c r="F117" i="11"/>
  <c r="E117" i="11"/>
  <c r="F116" i="11"/>
  <c r="E116" i="11"/>
  <c r="F115" i="11"/>
  <c r="E115" i="11"/>
  <c r="F114" i="11"/>
  <c r="E114" i="11"/>
  <c r="F113" i="11"/>
  <c r="E113" i="11"/>
  <c r="F112" i="11"/>
  <c r="E112" i="11"/>
  <c r="F111" i="11"/>
  <c r="E111" i="11"/>
  <c r="F110" i="11"/>
  <c r="E110" i="11"/>
  <c r="F109" i="11"/>
  <c r="E109" i="11"/>
  <c r="F108" i="11"/>
  <c r="E108" i="11"/>
  <c r="F107" i="11"/>
  <c r="E107" i="11"/>
  <c r="F106" i="11"/>
  <c r="E106" i="11"/>
  <c r="F105" i="11"/>
  <c r="E105" i="11"/>
  <c r="F104" i="11"/>
  <c r="E104" i="11"/>
  <c r="F103" i="11"/>
  <c r="E103" i="11"/>
  <c r="F102" i="11"/>
  <c r="E102" i="11"/>
  <c r="F101" i="11"/>
  <c r="E101" i="11"/>
  <c r="F100" i="11"/>
  <c r="E100" i="11"/>
  <c r="F99" i="11"/>
  <c r="E99" i="11"/>
  <c r="F98" i="11"/>
  <c r="E98" i="11"/>
  <c r="F97" i="11"/>
  <c r="E97" i="11"/>
  <c r="F96" i="11"/>
  <c r="E96" i="11"/>
  <c r="F95" i="11"/>
  <c r="E95" i="11"/>
  <c r="F94" i="11"/>
  <c r="E94" i="11"/>
  <c r="F93" i="11"/>
  <c r="E93" i="11"/>
  <c r="F92" i="11"/>
  <c r="E92" i="11"/>
  <c r="F91" i="11"/>
  <c r="E91" i="11"/>
  <c r="F90" i="11"/>
  <c r="E90" i="11"/>
  <c r="F89" i="11"/>
  <c r="E89" i="11"/>
  <c r="F88" i="11"/>
  <c r="E88" i="11"/>
  <c r="F87" i="11"/>
  <c r="E87" i="11"/>
  <c r="H87" i="11" s="1"/>
  <c r="F86" i="11"/>
  <c r="E86" i="11"/>
  <c r="F85" i="11"/>
  <c r="E85" i="11"/>
  <c r="F84" i="11"/>
  <c r="E84" i="11"/>
  <c r="F83" i="11"/>
  <c r="E83" i="11"/>
  <c r="H83" i="11" s="1"/>
  <c r="F82" i="11"/>
  <c r="E82" i="11"/>
  <c r="F81" i="11"/>
  <c r="E81" i="11"/>
  <c r="F80" i="11"/>
  <c r="E80" i="11"/>
  <c r="F79" i="11"/>
  <c r="E79" i="11"/>
  <c r="H79" i="11" s="1"/>
  <c r="F78" i="11"/>
  <c r="E78" i="11"/>
  <c r="F77" i="11"/>
  <c r="E77" i="11"/>
  <c r="F76" i="11"/>
  <c r="E76" i="11"/>
  <c r="F75" i="11"/>
  <c r="E75" i="11"/>
  <c r="H75" i="11" s="1"/>
  <c r="F74" i="11"/>
  <c r="E74" i="11"/>
  <c r="F73" i="11"/>
  <c r="E73" i="11"/>
  <c r="F72" i="11"/>
  <c r="E72" i="11"/>
  <c r="F71" i="11"/>
  <c r="E71" i="11"/>
  <c r="H71" i="11" s="1"/>
  <c r="F70" i="11"/>
  <c r="E70" i="11"/>
  <c r="F69" i="11"/>
  <c r="E69" i="11"/>
  <c r="F68" i="11"/>
  <c r="E68" i="11"/>
  <c r="F67" i="11"/>
  <c r="E67" i="11"/>
  <c r="H67" i="11" s="1"/>
  <c r="F66" i="11"/>
  <c r="E66" i="11"/>
  <c r="F65" i="11"/>
  <c r="E65" i="11"/>
  <c r="F64" i="11"/>
  <c r="E64" i="11"/>
  <c r="F63" i="11"/>
  <c r="E63" i="11"/>
  <c r="H63" i="11" s="1"/>
  <c r="F62" i="11"/>
  <c r="E62" i="11"/>
  <c r="F61" i="11"/>
  <c r="E61" i="11"/>
  <c r="F60" i="11"/>
  <c r="E60" i="11"/>
  <c r="F59" i="11"/>
  <c r="E59" i="11"/>
  <c r="H59" i="11" s="1"/>
  <c r="F58" i="11"/>
  <c r="E58" i="11"/>
  <c r="F57" i="11"/>
  <c r="E57" i="11"/>
  <c r="F56" i="11"/>
  <c r="E56" i="11"/>
  <c r="F55" i="11"/>
  <c r="E55" i="11"/>
  <c r="H55" i="11" s="1"/>
  <c r="F54" i="11"/>
  <c r="E54" i="11"/>
  <c r="F53" i="11"/>
  <c r="E53" i="11"/>
  <c r="F52" i="11"/>
  <c r="E52" i="11"/>
  <c r="F51" i="11"/>
  <c r="E51" i="11"/>
  <c r="H51" i="11" s="1"/>
  <c r="F50" i="11"/>
  <c r="E50" i="11"/>
  <c r="F49" i="11"/>
  <c r="E49" i="11"/>
  <c r="F48" i="11"/>
  <c r="E48" i="11"/>
  <c r="F47" i="11"/>
  <c r="E47" i="11"/>
  <c r="H47" i="11" s="1"/>
  <c r="F46" i="11"/>
  <c r="E46" i="11"/>
  <c r="F45" i="11"/>
  <c r="E45" i="11"/>
  <c r="F44" i="11"/>
  <c r="E44" i="11"/>
  <c r="F43" i="11"/>
  <c r="E43" i="11"/>
  <c r="H43" i="11" s="1"/>
  <c r="F42" i="11"/>
  <c r="E42" i="11"/>
  <c r="F41" i="11"/>
  <c r="E41" i="11"/>
  <c r="F40" i="11"/>
  <c r="E40" i="11"/>
  <c r="F39" i="11"/>
  <c r="E39" i="11"/>
  <c r="H39" i="11" s="1"/>
  <c r="F38" i="11"/>
  <c r="E38" i="11"/>
  <c r="F37" i="11"/>
  <c r="E37" i="11"/>
  <c r="F36" i="11"/>
  <c r="E36" i="11"/>
  <c r="F35" i="11"/>
  <c r="E35" i="11"/>
  <c r="H35" i="11" s="1"/>
  <c r="F34" i="11"/>
  <c r="E34" i="11"/>
  <c r="F33" i="11"/>
  <c r="E33" i="11"/>
  <c r="F32" i="11"/>
  <c r="E32" i="11"/>
  <c r="F31" i="11"/>
  <c r="E31" i="11"/>
  <c r="H31" i="11" s="1"/>
  <c r="F30" i="11"/>
  <c r="E30" i="11"/>
  <c r="F29" i="11"/>
  <c r="E29" i="11"/>
  <c r="F28" i="11"/>
  <c r="E28" i="11"/>
  <c r="F27" i="11"/>
  <c r="E27" i="11"/>
  <c r="H27" i="11" s="1"/>
  <c r="F26" i="11"/>
  <c r="E26" i="11"/>
  <c r="F25" i="11"/>
  <c r="E25" i="11"/>
  <c r="F24" i="11"/>
  <c r="E24" i="11"/>
  <c r="F23" i="11"/>
  <c r="E23" i="11"/>
  <c r="H23" i="11" s="1"/>
  <c r="F22" i="11"/>
  <c r="E22" i="11"/>
  <c r="H22" i="11" s="1"/>
  <c r="F21" i="11"/>
  <c r="E21" i="11"/>
  <c r="F20" i="11"/>
  <c r="E20" i="11"/>
  <c r="F19" i="11"/>
  <c r="E19" i="11"/>
  <c r="H19" i="11" s="1"/>
  <c r="F18" i="11"/>
  <c r="E18" i="11"/>
  <c r="F17" i="11"/>
  <c r="E17" i="11"/>
  <c r="F16" i="11"/>
  <c r="E16" i="11"/>
  <c r="F15" i="11"/>
  <c r="E15" i="11"/>
  <c r="H15" i="11" s="1"/>
  <c r="F14" i="11"/>
  <c r="E14" i="11"/>
  <c r="F13" i="11"/>
  <c r="E13" i="11"/>
  <c r="F12" i="11"/>
  <c r="E12" i="11"/>
  <c r="F11" i="11"/>
  <c r="E11" i="11"/>
  <c r="H11" i="11" s="1"/>
  <c r="F10" i="11"/>
  <c r="E10" i="11"/>
  <c r="F9" i="11"/>
  <c r="E9" i="11"/>
  <c r="F8" i="11"/>
  <c r="E8" i="11"/>
  <c r="F7" i="11"/>
  <c r="E7" i="11"/>
  <c r="H7" i="11" s="1"/>
  <c r="F6" i="11"/>
  <c r="E6" i="11"/>
  <c r="F5" i="11"/>
  <c r="E5" i="11"/>
  <c r="H14" i="4"/>
  <c r="H18" i="4" s="1"/>
  <c r="G8" i="4"/>
  <c r="G14" i="4" s="1"/>
  <c r="G18" i="4" s="1"/>
  <c r="H8" i="4"/>
  <c r="I8" i="4"/>
  <c r="I14" i="4" s="1"/>
  <c r="I18" i="4" s="1"/>
  <c r="J8" i="4"/>
  <c r="K8" i="4"/>
  <c r="K14" i="4" s="1"/>
  <c r="K18" i="4" s="1"/>
  <c r="H9" i="4"/>
  <c r="I9" i="4"/>
  <c r="J9" i="4"/>
  <c r="K9" i="4"/>
  <c r="I10" i="4"/>
  <c r="J10" i="4"/>
  <c r="K10" i="4"/>
  <c r="J11" i="4"/>
  <c r="J14" i="4" s="1"/>
  <c r="J18" i="4" s="1"/>
  <c r="K11" i="4"/>
  <c r="K12" i="4"/>
  <c r="B8" i="4" a="1"/>
  <c r="B8" i="4" s="1"/>
  <c r="H17" i="4" s="1"/>
  <c r="F25" i="7"/>
  <c r="G14" i="6"/>
  <c r="H14" i="6" s="1"/>
  <c r="I14" i="6" s="1"/>
  <c r="E28" i="7"/>
  <c r="D25" i="7"/>
  <c r="E16" i="7"/>
  <c r="D34" i="6"/>
  <c r="F14" i="7"/>
  <c r="F20" i="7"/>
  <c r="E13" i="7"/>
  <c r="E12" i="7"/>
  <c r="B55" i="6"/>
  <c r="B52" i="6"/>
  <c r="D20" i="7"/>
  <c r="B41" i="6"/>
  <c r="B40" i="6"/>
  <c r="D7" i="7"/>
  <c r="H91" i="11" l="1"/>
  <c r="H95" i="11"/>
  <c r="H99" i="11"/>
  <c r="H103" i="11"/>
  <c r="H107" i="11"/>
  <c r="H111" i="11"/>
  <c r="H115" i="11"/>
  <c r="H119" i="11"/>
  <c r="H123" i="11"/>
  <c r="E27" i="15"/>
  <c r="E69" i="6"/>
  <c r="H60" i="11"/>
  <c r="H64" i="11"/>
  <c r="H68" i="11"/>
  <c r="H72" i="11"/>
  <c r="H76" i="11"/>
  <c r="H80" i="11"/>
  <c r="H84" i="11"/>
  <c r="H88" i="11"/>
  <c r="H92" i="11"/>
  <c r="H96" i="11"/>
  <c r="H100" i="11"/>
  <c r="H104" i="11"/>
  <c r="H108" i="11"/>
  <c r="H112" i="11"/>
  <c r="H116" i="11"/>
  <c r="H120" i="11"/>
  <c r="H124" i="11"/>
  <c r="C21" i="15"/>
  <c r="C27" i="15"/>
  <c r="C69" i="6"/>
  <c r="G17" i="4"/>
  <c r="H8" i="11"/>
  <c r="H12" i="11"/>
  <c r="H16" i="11"/>
  <c r="H20" i="11"/>
  <c r="H24" i="11"/>
  <c r="H28" i="11"/>
  <c r="H32" i="11"/>
  <c r="H36" i="11"/>
  <c r="H40" i="11"/>
  <c r="H44" i="11"/>
  <c r="H48" i="11"/>
  <c r="H52" i="11"/>
  <c r="H56" i="11"/>
  <c r="K17" i="4"/>
  <c r="D21" i="15"/>
  <c r="D27" i="15"/>
  <c r="D69" i="6"/>
  <c r="H9" i="11"/>
  <c r="H13" i="11"/>
  <c r="H17" i="11"/>
  <c r="H21" i="11"/>
  <c r="H25" i="11"/>
  <c r="H29" i="11"/>
  <c r="H33" i="11"/>
  <c r="H37" i="11"/>
  <c r="H41" i="11"/>
  <c r="H45" i="11"/>
  <c r="H49" i="11"/>
  <c r="H53" i="11"/>
  <c r="H57" i="11"/>
  <c r="H61" i="11"/>
  <c r="H65" i="11"/>
  <c r="H69" i="11"/>
  <c r="H73" i="11"/>
  <c r="H77" i="11"/>
  <c r="H81" i="11"/>
  <c r="H85" i="11"/>
  <c r="H89" i="11"/>
  <c r="H93" i="11"/>
  <c r="H97" i="11"/>
  <c r="H101" i="11"/>
  <c r="H105" i="11"/>
  <c r="H109" i="11"/>
  <c r="H113" i="11"/>
  <c r="H117" i="11"/>
  <c r="H121" i="11"/>
  <c r="I17" i="4"/>
  <c r="J17" i="4"/>
  <c r="H5" i="11"/>
  <c r="H4" i="11"/>
  <c r="H6" i="11"/>
  <c r="H10" i="11"/>
  <c r="H14" i="11"/>
  <c r="H18" i="11"/>
  <c r="H26" i="11"/>
  <c r="H30" i="11"/>
  <c r="H34" i="11"/>
  <c r="H38" i="11"/>
  <c r="H42" i="11"/>
  <c r="H46" i="11"/>
  <c r="H50" i="11"/>
  <c r="H54" i="11"/>
  <c r="H58" i="11"/>
  <c r="H62" i="11"/>
  <c r="H66" i="11"/>
  <c r="H70" i="11"/>
  <c r="H74" i="11"/>
  <c r="H78" i="11"/>
  <c r="H82" i="11"/>
  <c r="H86" i="11"/>
  <c r="H90" i="11"/>
  <c r="H94" i="11"/>
  <c r="H98" i="11"/>
  <c r="H102" i="11"/>
  <c r="H106" i="11"/>
  <c r="H110" i="11"/>
  <c r="H114" i="11"/>
  <c r="H118" i="11"/>
  <c r="H122" i="11"/>
  <c r="C15" i="1"/>
  <c r="E21" i="15"/>
  <c r="E26" i="1"/>
  <c r="E15" i="1"/>
  <c r="E19" i="1" s="1"/>
  <c r="E3" i="1" s="1"/>
  <c r="F8" i="6"/>
  <c r="F9" i="1"/>
  <c r="F20" i="15" s="1"/>
  <c r="G8" i="1"/>
  <c r="G25" i="6"/>
  <c r="G28" i="7"/>
  <c r="D24" i="7"/>
  <c r="J14" i="6"/>
  <c r="E14" i="7"/>
  <c r="F15" i="7"/>
  <c r="B65" i="6"/>
  <c r="E24" i="7"/>
  <c r="D28" i="7"/>
  <c r="F24" i="7"/>
  <c r="F29" i="7" s="1"/>
  <c r="C27" i="1"/>
  <c r="F16" i="7"/>
  <c r="F12" i="6"/>
  <c r="E25" i="7"/>
  <c r="E34" i="6"/>
  <c r="E35" i="6" s="1"/>
  <c r="B34" i="6"/>
  <c r="F28" i="7"/>
  <c r="F12" i="7"/>
  <c r="B64" i="6"/>
  <c r="C34" i="6"/>
  <c r="D35" i="6" s="1"/>
  <c r="F13" i="7"/>
  <c r="E15" i="7"/>
  <c r="B42" i="6"/>
  <c r="H129" i="11" l="1"/>
  <c r="C19" i="1"/>
  <c r="C3" i="1" s="1"/>
  <c r="F24" i="1"/>
  <c r="H25" i="6"/>
  <c r="H28" i="7"/>
  <c r="G12" i="6"/>
  <c r="G20" i="7"/>
  <c r="C35" i="6"/>
  <c r="E10" i="7"/>
  <c r="E29" i="7"/>
  <c r="F10" i="7"/>
  <c r="B11" i="5"/>
  <c r="B12" i="5" s="1"/>
  <c r="B14" i="5" s="1"/>
  <c r="B2" i="18" s="1"/>
  <c r="D9" i="18" s="1"/>
  <c r="G16" i="4"/>
  <c r="G19" i="4" s="1"/>
  <c r="H16" i="4" s="1"/>
  <c r="H19" i="4" s="1"/>
  <c r="I16" i="4" s="1"/>
  <c r="I19" i="4" s="1"/>
  <c r="J16" i="4" s="1"/>
  <c r="J19" i="4" s="1"/>
  <c r="K16" i="4" s="1"/>
  <c r="K19" i="4" s="1"/>
  <c r="B53" i="19" l="1"/>
  <c r="I53" i="19" s="1"/>
  <c r="D8" i="18"/>
  <c r="D10" i="18"/>
  <c r="B5" i="3"/>
  <c r="B13" i="5"/>
  <c r="I25" i="6"/>
  <c r="I28" i="7"/>
  <c r="H12" i="6"/>
  <c r="H20" i="7"/>
  <c r="D11" i="18" l="1"/>
  <c r="B101" i="19" s="1"/>
  <c r="B77" i="19"/>
  <c r="D7" i="18"/>
  <c r="B5" i="19" s="1"/>
  <c r="B29" i="19"/>
  <c r="P53" i="19"/>
  <c r="I52" i="19"/>
  <c r="B4" i="3"/>
  <c r="C5" i="3" s="1"/>
  <c r="J25" i="6"/>
  <c r="K28" i="7" s="1"/>
  <c r="J28" i="7"/>
  <c r="I12" i="6"/>
  <c r="I20" i="7"/>
  <c r="W53" i="19" l="1"/>
  <c r="P52" i="19"/>
  <c r="B76" i="19"/>
  <c r="I77" i="19"/>
  <c r="B28" i="19"/>
  <c r="I29" i="19"/>
  <c r="W5" i="19"/>
  <c r="W4" i="19" s="1"/>
  <c r="I5" i="19"/>
  <c r="I4" i="19" s="1"/>
  <c r="P5" i="19"/>
  <c r="P4" i="19" s="1"/>
  <c r="B4" i="19"/>
  <c r="B52" i="19" s="1"/>
  <c r="AD5" i="19"/>
  <c r="AD4" i="19" s="1"/>
  <c r="B100" i="19"/>
  <c r="I101" i="19"/>
  <c r="J12" i="6"/>
  <c r="K20" i="7" s="1"/>
  <c r="J20" i="7"/>
  <c r="P101" i="19" l="1"/>
  <c r="I100" i="19"/>
  <c r="I28" i="19"/>
  <c r="P29" i="19"/>
  <c r="P77" i="19"/>
  <c r="I76" i="19"/>
  <c r="W52" i="19"/>
  <c r="AD53" i="19"/>
  <c r="AD52" i="19" s="1"/>
  <c r="D12" i="7"/>
  <c r="L9" i="7"/>
  <c r="L7" i="7"/>
  <c r="P28" i="19" l="1"/>
  <c r="W29" i="19"/>
  <c r="P76" i="19"/>
  <c r="W77" i="19"/>
  <c r="W101" i="19"/>
  <c r="P100" i="19"/>
  <c r="C42" i="6"/>
  <c r="C40" i="6"/>
  <c r="C64" i="6"/>
  <c r="C47" i="6"/>
  <c r="C7" i="7"/>
  <c r="C8" i="7"/>
  <c r="B27" i="1"/>
  <c r="C23" i="1"/>
  <c r="C52" i="6"/>
  <c r="C41" i="6"/>
  <c r="C65" i="6"/>
  <c r="D55" i="6"/>
  <c r="D64" i="6"/>
  <c r="D42" i="6"/>
  <c r="D40" i="6"/>
  <c r="D47" i="6"/>
  <c r="G13" i="6"/>
  <c r="F8" i="7"/>
  <c r="E42" i="6"/>
  <c r="G40" i="6"/>
  <c r="E55" i="6"/>
  <c r="E47" i="6"/>
  <c r="G47" i="6" s="1"/>
  <c r="H47" i="6" s="1"/>
  <c r="I47" i="6" s="1"/>
  <c r="J47" i="6" s="1"/>
  <c r="F64" i="6"/>
  <c r="D23" i="1"/>
  <c r="D41" i="6"/>
  <c r="D52" i="6"/>
  <c r="D65" i="6"/>
  <c r="E7" i="7"/>
  <c r="D27" i="1"/>
  <c r="E19" i="7"/>
  <c r="E52" i="6"/>
  <c r="F52" i="6" s="1"/>
  <c r="F19" i="6" s="1"/>
  <c r="F41" i="6"/>
  <c r="G41" i="6" s="1"/>
  <c r="H41" i="6" s="1"/>
  <c r="I41" i="6" s="1"/>
  <c r="J41" i="6" s="1"/>
  <c r="E27" i="1"/>
  <c r="F7" i="7"/>
  <c r="F19" i="7"/>
  <c r="G40" i="7" s="1"/>
  <c r="G42" i="7" s="1"/>
  <c r="E68" i="6" s="1"/>
  <c r="D8" i="7"/>
  <c r="E8" i="7"/>
  <c r="B10" i="6"/>
  <c r="D14" i="7"/>
  <c r="B23" i="6"/>
  <c r="D29" i="7"/>
  <c r="B15" i="6"/>
  <c r="B26" i="6"/>
  <c r="D16" i="7"/>
  <c r="D11" i="7"/>
  <c r="D15" i="7"/>
  <c r="C22" i="1"/>
  <c r="K9" i="1"/>
  <c r="B9" i="1"/>
  <c r="B20" i="15" s="1"/>
  <c r="C29" i="1"/>
  <c r="D29" i="1"/>
  <c r="AD101" i="19" l="1"/>
  <c r="AD100" i="19" s="1"/>
  <c r="W100" i="19"/>
  <c r="AD77" i="19"/>
  <c r="AD76" i="19" s="1"/>
  <c r="W76" i="19"/>
  <c r="AD29" i="19"/>
  <c r="AD28" i="19" s="1"/>
  <c r="W28" i="19"/>
  <c r="H40" i="6"/>
  <c r="G7" i="6"/>
  <c r="G21" i="6" s="1"/>
  <c r="B12" i="1"/>
  <c r="K12" i="1"/>
  <c r="K15" i="1" s="1"/>
  <c r="G52" i="6"/>
  <c r="H52" i="6" s="1"/>
  <c r="I52" i="6" s="1"/>
  <c r="J52" i="6" s="1"/>
  <c r="G55" i="6"/>
  <c r="G22" i="6" s="1"/>
  <c r="G53" i="6"/>
  <c r="E22" i="7"/>
  <c r="C66" i="6"/>
  <c r="C24" i="1"/>
  <c r="F22" i="7"/>
  <c r="D66" i="6"/>
  <c r="G64" i="6"/>
  <c r="E24" i="1"/>
  <c r="G16" i="7"/>
  <c r="B16" i="6"/>
  <c r="D10" i="7"/>
  <c r="B27" i="6"/>
  <c r="B29" i="6" s="1"/>
  <c r="D22" i="7"/>
  <c r="E31" i="6"/>
  <c r="C31" i="6"/>
  <c r="D31" i="6"/>
  <c r="D24" i="1"/>
  <c r="B21" i="15" l="1"/>
  <c r="B27" i="15"/>
  <c r="B69" i="6"/>
  <c r="C26" i="1"/>
  <c r="B15" i="1"/>
  <c r="C28" i="1" s="1"/>
  <c r="I40" i="6"/>
  <c r="H55" i="6"/>
  <c r="I55" i="6" s="1"/>
  <c r="J55" i="6" s="1"/>
  <c r="H53" i="6"/>
  <c r="I53" i="6" s="1"/>
  <c r="J53" i="6" s="1"/>
  <c r="G20" i="6"/>
  <c r="P13" i="1"/>
  <c r="G65" i="6"/>
  <c r="H65" i="6" s="1"/>
  <c r="I65" i="6" s="1"/>
  <c r="J65" i="6" s="1"/>
  <c r="H64" i="6"/>
  <c r="I64" i="6" s="1"/>
  <c r="J64" i="6" s="1"/>
  <c r="G11" i="7"/>
  <c r="G13" i="7"/>
  <c r="H17" i="1"/>
  <c r="H9" i="7"/>
  <c r="G8" i="7"/>
  <c r="H14" i="1"/>
  <c r="G14" i="1"/>
  <c r="L14" i="1" s="1"/>
  <c r="D6" i="7"/>
  <c r="D17" i="7" s="1"/>
  <c r="D31" i="7" s="1"/>
  <c r="H16" i="7"/>
  <c r="G9" i="6"/>
  <c r="H13" i="7" s="1"/>
  <c r="B31" i="6"/>
  <c r="H7" i="1"/>
  <c r="H7" i="6" s="1"/>
  <c r="H21" i="6" s="1"/>
  <c r="D26" i="1"/>
  <c r="F13" i="1" l="1"/>
  <c r="P27" i="1"/>
  <c r="B19" i="1"/>
  <c r="J40" i="6"/>
  <c r="P11" i="1"/>
  <c r="F11" i="1" s="1"/>
  <c r="I7" i="1"/>
  <c r="I7" i="6" s="1"/>
  <c r="I21" i="6" s="1"/>
  <c r="H20" i="6"/>
  <c r="H13" i="6"/>
  <c r="I13" i="6" s="1"/>
  <c r="H8" i="7"/>
  <c r="I14" i="1"/>
  <c r="H8" i="1"/>
  <c r="J14" i="1"/>
  <c r="I8" i="7"/>
  <c r="I17" i="1"/>
  <c r="I9" i="7"/>
  <c r="H11" i="7"/>
  <c r="H22" i="6"/>
  <c r="I16" i="7" s="1"/>
  <c r="H9" i="6"/>
  <c r="F6" i="7"/>
  <c r="F17" i="7" s="1"/>
  <c r="F31" i="7" s="1"/>
  <c r="E28" i="1"/>
  <c r="D28" i="1"/>
  <c r="I20" i="6" l="1"/>
  <c r="B3" i="1"/>
  <c r="C6" i="7"/>
  <c r="C31" i="1"/>
  <c r="B13" i="3"/>
  <c r="B13" i="19" s="1"/>
  <c r="B12" i="3"/>
  <c r="B12" i="19" s="1"/>
  <c r="G19" i="7"/>
  <c r="F27" i="1"/>
  <c r="G27" i="1" s="1"/>
  <c r="H27" i="1" s="1"/>
  <c r="I27" i="1" s="1"/>
  <c r="J27" i="1" s="1"/>
  <c r="P12" i="1"/>
  <c r="P15" i="1" s="1"/>
  <c r="P19" i="1" s="1"/>
  <c r="I15" i="7"/>
  <c r="E6" i="7"/>
  <c r="E17" i="7" s="1"/>
  <c r="E31" i="7" s="1"/>
  <c r="D31" i="1"/>
  <c r="I8" i="1"/>
  <c r="K8" i="7"/>
  <c r="I11" i="7"/>
  <c r="I13" i="7"/>
  <c r="J8" i="7"/>
  <c r="J17" i="1"/>
  <c r="K9" i="7" s="1"/>
  <c r="J9" i="7"/>
  <c r="J13" i="6"/>
  <c r="I22" i="6"/>
  <c r="J16" i="7" s="1"/>
  <c r="I9" i="6"/>
  <c r="J11" i="7"/>
  <c r="J7" i="1"/>
  <c r="G36" i="1" s="1"/>
  <c r="E31" i="1"/>
  <c r="P108" i="19" l="1"/>
  <c r="AD60" i="19"/>
  <c r="W12" i="19"/>
  <c r="P84" i="19"/>
  <c r="AD36" i="19"/>
  <c r="B108" i="19"/>
  <c r="P60" i="19"/>
  <c r="I36" i="19"/>
  <c r="AD12" i="19"/>
  <c r="W108" i="19"/>
  <c r="B84" i="19"/>
  <c r="W84" i="19"/>
  <c r="B60" i="19"/>
  <c r="I108" i="19"/>
  <c r="P36" i="19"/>
  <c r="I60" i="19"/>
  <c r="W36" i="19"/>
  <c r="B36" i="19"/>
  <c r="I12" i="19"/>
  <c r="AD84" i="19"/>
  <c r="W60" i="19"/>
  <c r="I84" i="19"/>
  <c r="P12" i="19"/>
  <c r="AD108" i="19"/>
  <c r="I109" i="19"/>
  <c r="W61" i="19"/>
  <c r="P37" i="19"/>
  <c r="AD109" i="19"/>
  <c r="I85" i="19"/>
  <c r="W37" i="19"/>
  <c r="AD85" i="19"/>
  <c r="I61" i="19"/>
  <c r="B37" i="19"/>
  <c r="W13" i="19"/>
  <c r="P109" i="19"/>
  <c r="AD61" i="19"/>
  <c r="P85" i="19"/>
  <c r="AD37" i="19"/>
  <c r="I13" i="19"/>
  <c r="P13" i="19"/>
  <c r="W109" i="19"/>
  <c r="W85" i="19"/>
  <c r="B85" i="19"/>
  <c r="AD13" i="19"/>
  <c r="B61" i="19"/>
  <c r="P61" i="19"/>
  <c r="I37" i="19"/>
  <c r="B109" i="19"/>
  <c r="J7" i="6"/>
  <c r="J21" i="6" s="1"/>
  <c r="G11" i="1"/>
  <c r="J20" i="6"/>
  <c r="J15" i="7"/>
  <c r="J8" i="1"/>
  <c r="L8" i="7"/>
  <c r="K19" i="1"/>
  <c r="J13" i="7"/>
  <c r="J22" i="6"/>
  <c r="K16" i="7" s="1"/>
  <c r="J9" i="6"/>
  <c r="K13" i="7" s="1"/>
  <c r="K11" i="7"/>
  <c r="H11" i="1" l="1"/>
  <c r="I11" i="1" s="1"/>
  <c r="J11" i="1" s="1"/>
  <c r="L11" i="1"/>
  <c r="G15" i="7"/>
  <c r="H15" i="7"/>
  <c r="K15" i="7"/>
  <c r="G8" i="6" l="1"/>
  <c r="H9" i="1"/>
  <c r="H20" i="15" s="1"/>
  <c r="O24" i="1" l="1"/>
  <c r="G12" i="7"/>
  <c r="H12" i="7"/>
  <c r="G9" i="1"/>
  <c r="G20" i="15" s="1"/>
  <c r="G19" i="6"/>
  <c r="G14" i="7"/>
  <c r="H8" i="6"/>
  <c r="I12" i="7" s="1"/>
  <c r="H19" i="6"/>
  <c r="G10" i="7" l="1"/>
  <c r="B11" i="3" s="1"/>
  <c r="B11" i="19" s="1"/>
  <c r="G24" i="1"/>
  <c r="I14" i="7"/>
  <c r="I10" i="7" s="1"/>
  <c r="D11" i="3" s="1"/>
  <c r="D11" i="19" s="1"/>
  <c r="H24" i="1"/>
  <c r="H14" i="7"/>
  <c r="I8" i="6"/>
  <c r="I19" i="6"/>
  <c r="J14" i="7" s="1"/>
  <c r="I9" i="1"/>
  <c r="I20" i="15" s="1"/>
  <c r="K107" i="19" l="1"/>
  <c r="Y59" i="19"/>
  <c r="R35" i="19"/>
  <c r="AF107" i="19"/>
  <c r="K83" i="19"/>
  <c r="Y35" i="19"/>
  <c r="K11" i="19"/>
  <c r="AF83" i="19"/>
  <c r="K59" i="19"/>
  <c r="D35" i="19"/>
  <c r="R107" i="19"/>
  <c r="AF59" i="19"/>
  <c r="Y11" i="19"/>
  <c r="R83" i="19"/>
  <c r="D59" i="19"/>
  <c r="R59" i="19"/>
  <c r="Y107" i="19"/>
  <c r="D107" i="19"/>
  <c r="Y83" i="19"/>
  <c r="D83" i="19"/>
  <c r="AF11" i="19"/>
  <c r="AF35" i="19"/>
  <c r="K35" i="19"/>
  <c r="R11" i="19"/>
  <c r="W107" i="19"/>
  <c r="B83" i="19"/>
  <c r="AD11" i="19"/>
  <c r="W83" i="19"/>
  <c r="B59" i="19"/>
  <c r="P11" i="19"/>
  <c r="I107" i="19"/>
  <c r="W59" i="19"/>
  <c r="P35" i="19"/>
  <c r="I11" i="19"/>
  <c r="AD107" i="19"/>
  <c r="I83" i="19"/>
  <c r="W35" i="19"/>
  <c r="I59" i="19"/>
  <c r="AD83" i="19"/>
  <c r="P59" i="19"/>
  <c r="P107" i="19"/>
  <c r="AD35" i="19"/>
  <c r="W11" i="19"/>
  <c r="I35" i="19"/>
  <c r="B35" i="19"/>
  <c r="B107" i="19"/>
  <c r="P83" i="19"/>
  <c r="AD59" i="19"/>
  <c r="H10" i="7"/>
  <c r="C11" i="3" s="1"/>
  <c r="C11" i="19" s="1"/>
  <c r="I24" i="1"/>
  <c r="J12" i="7"/>
  <c r="J10" i="7" s="1"/>
  <c r="E11" i="3" s="1"/>
  <c r="E11" i="19" s="1"/>
  <c r="J19" i="6"/>
  <c r="K14" i="7" s="1"/>
  <c r="J9" i="1"/>
  <c r="J20" i="15" s="1"/>
  <c r="J8" i="6"/>
  <c r="K12" i="7" s="1"/>
  <c r="AG107" i="19" l="1"/>
  <c r="L83" i="19"/>
  <c r="Z35" i="19"/>
  <c r="L11" i="19"/>
  <c r="AG35" i="19"/>
  <c r="AG83" i="19"/>
  <c r="L59" i="19"/>
  <c r="E35" i="19"/>
  <c r="S107" i="19"/>
  <c r="AG59" i="19"/>
  <c r="Z11" i="19"/>
  <c r="S83" i="19"/>
  <c r="E107" i="19"/>
  <c r="S59" i="19"/>
  <c r="Z107" i="19"/>
  <c r="L35" i="19"/>
  <c r="L107" i="19"/>
  <c r="E83" i="19"/>
  <c r="S35" i="19"/>
  <c r="AG11" i="19"/>
  <c r="S11" i="19"/>
  <c r="Z83" i="19"/>
  <c r="E59" i="19"/>
  <c r="Z59" i="19"/>
  <c r="X83" i="19"/>
  <c r="C59" i="19"/>
  <c r="Q11" i="19"/>
  <c r="J107" i="19"/>
  <c r="X59" i="19"/>
  <c r="Q35" i="19"/>
  <c r="AE107" i="19"/>
  <c r="J83" i="19"/>
  <c r="X35" i="19"/>
  <c r="J11" i="19"/>
  <c r="C35" i="19"/>
  <c r="AE83" i="19"/>
  <c r="J59" i="19"/>
  <c r="Q107" i="19"/>
  <c r="AE59" i="19"/>
  <c r="AE35" i="19"/>
  <c r="X11" i="19"/>
  <c r="J35" i="19"/>
  <c r="C83" i="19"/>
  <c r="X107" i="19"/>
  <c r="C107" i="19"/>
  <c r="Q83" i="19"/>
  <c r="Q59" i="19"/>
  <c r="AE11" i="19"/>
  <c r="K10" i="7"/>
  <c r="F11" i="3" s="1"/>
  <c r="F11" i="19" s="1"/>
  <c r="F23" i="6"/>
  <c r="J24" i="1"/>
  <c r="AH83" i="19" l="1"/>
  <c r="M59" i="19"/>
  <c r="F35" i="19"/>
  <c r="T107" i="19"/>
  <c r="AH59" i="19"/>
  <c r="AA11" i="19"/>
  <c r="T83" i="19"/>
  <c r="AH35" i="19"/>
  <c r="M35" i="19"/>
  <c r="F107" i="19"/>
  <c r="T59" i="19"/>
  <c r="AA107" i="19"/>
  <c r="F83" i="19"/>
  <c r="AH107" i="19"/>
  <c r="AA83" i="19"/>
  <c r="M11" i="19"/>
  <c r="M107" i="19"/>
  <c r="AA35" i="19"/>
  <c r="T35" i="19"/>
  <c r="M83" i="19"/>
  <c r="AH11" i="19"/>
  <c r="T11" i="19"/>
  <c r="AA59" i="19"/>
  <c r="F59" i="19"/>
  <c r="F15" i="6"/>
  <c r="G7" i="7"/>
  <c r="G22" i="7" l="1"/>
  <c r="G11" i="6"/>
  <c r="G13" i="1" s="1"/>
  <c r="C12" i="3" l="1"/>
  <c r="C12" i="19" s="1"/>
  <c r="G15" i="6"/>
  <c r="H19" i="7"/>
  <c r="Q84" i="19" l="1"/>
  <c r="AE36" i="19"/>
  <c r="C108" i="19"/>
  <c r="Q60" i="19"/>
  <c r="J36" i="19"/>
  <c r="X108" i="19"/>
  <c r="C84" i="19"/>
  <c r="AE12" i="19"/>
  <c r="Q12" i="19"/>
  <c r="X84" i="19"/>
  <c r="C60" i="19"/>
  <c r="J108" i="19"/>
  <c r="X60" i="19"/>
  <c r="Q108" i="19"/>
  <c r="X36" i="19"/>
  <c r="C36" i="19"/>
  <c r="AE84" i="19"/>
  <c r="Q36" i="19"/>
  <c r="J84" i="19"/>
  <c r="AE60" i="19"/>
  <c r="J60" i="19"/>
  <c r="AE108" i="19"/>
  <c r="X12" i="19"/>
  <c r="J12" i="19"/>
  <c r="L13" i="1"/>
  <c r="C13" i="3"/>
  <c r="C13" i="19" s="1"/>
  <c r="H11" i="6"/>
  <c r="H7" i="7"/>
  <c r="H22" i="7"/>
  <c r="H13" i="1"/>
  <c r="AE109" i="19" l="1"/>
  <c r="J85" i="19"/>
  <c r="X37" i="19"/>
  <c r="AE85" i="19"/>
  <c r="J61" i="19"/>
  <c r="C37" i="19"/>
  <c r="Q109" i="19"/>
  <c r="AE61" i="19"/>
  <c r="X13" i="19"/>
  <c r="Q85" i="19"/>
  <c r="AE37" i="19"/>
  <c r="J13" i="19"/>
  <c r="C109" i="19"/>
  <c r="Q61" i="19"/>
  <c r="X85" i="19"/>
  <c r="Q37" i="19"/>
  <c r="C85" i="19"/>
  <c r="AE13" i="19"/>
  <c r="Q13" i="19"/>
  <c r="J37" i="19"/>
  <c r="C61" i="19"/>
  <c r="X109" i="19"/>
  <c r="X61" i="19"/>
  <c r="J109" i="19"/>
  <c r="I11" i="6"/>
  <c r="D13" i="3"/>
  <c r="D13" i="19" s="1"/>
  <c r="I15" i="6"/>
  <c r="H15" i="6"/>
  <c r="D12" i="3"/>
  <c r="D12" i="19" s="1"/>
  <c r="I19" i="7"/>
  <c r="I22" i="7" s="1"/>
  <c r="I13" i="1"/>
  <c r="E13" i="3" s="1"/>
  <c r="E13" i="19" s="1"/>
  <c r="I7" i="7"/>
  <c r="D108" i="19" l="1"/>
  <c r="R60" i="19"/>
  <c r="K36" i="19"/>
  <c r="Y108" i="19"/>
  <c r="D84" i="19"/>
  <c r="AF12" i="19"/>
  <c r="Y84" i="19"/>
  <c r="D60" i="19"/>
  <c r="R12" i="19"/>
  <c r="K12" i="19"/>
  <c r="K108" i="19"/>
  <c r="Y60" i="19"/>
  <c r="R36" i="19"/>
  <c r="AF108" i="19"/>
  <c r="K84" i="19"/>
  <c r="AF84" i="19"/>
  <c r="Y12" i="19"/>
  <c r="R84" i="19"/>
  <c r="K60" i="19"/>
  <c r="AF36" i="19"/>
  <c r="AF60" i="19"/>
  <c r="R108" i="19"/>
  <c r="Y36" i="19"/>
  <c r="D36" i="19"/>
  <c r="AF85" i="19"/>
  <c r="K61" i="19"/>
  <c r="D37" i="19"/>
  <c r="K37" i="19"/>
  <c r="R109" i="19"/>
  <c r="AF61" i="19"/>
  <c r="Y13" i="19"/>
  <c r="K13" i="19"/>
  <c r="R85" i="19"/>
  <c r="AF37" i="19"/>
  <c r="D109" i="19"/>
  <c r="R61" i="19"/>
  <c r="Y109" i="19"/>
  <c r="D85" i="19"/>
  <c r="AF13" i="19"/>
  <c r="R13" i="19"/>
  <c r="Y37" i="19"/>
  <c r="K85" i="19"/>
  <c r="Y61" i="19"/>
  <c r="K109" i="19"/>
  <c r="D61" i="19"/>
  <c r="AF109" i="19"/>
  <c r="Y85" i="19"/>
  <c r="R37" i="19"/>
  <c r="S109" i="19"/>
  <c r="AG61" i="19"/>
  <c r="Z13" i="19"/>
  <c r="S85" i="19"/>
  <c r="AG37" i="19"/>
  <c r="E109" i="19"/>
  <c r="S61" i="19"/>
  <c r="L37" i="19"/>
  <c r="Z109" i="19"/>
  <c r="E85" i="19"/>
  <c r="AG13" i="19"/>
  <c r="Z85" i="19"/>
  <c r="E61" i="19"/>
  <c r="L85" i="19"/>
  <c r="Z61" i="19"/>
  <c r="Z37" i="19"/>
  <c r="E37" i="19"/>
  <c r="S37" i="19"/>
  <c r="L61" i="19"/>
  <c r="AG109" i="19"/>
  <c r="L109" i="19"/>
  <c r="AG85" i="19"/>
  <c r="S13" i="19"/>
  <c r="L13" i="19"/>
  <c r="J19" i="7"/>
  <c r="E12" i="3"/>
  <c r="E12" i="19" s="1"/>
  <c r="J11" i="6"/>
  <c r="J7" i="7"/>
  <c r="J15" i="6"/>
  <c r="J13" i="1"/>
  <c r="J22" i="7"/>
  <c r="Z108" i="19" l="1"/>
  <c r="E84" i="19"/>
  <c r="AG12" i="19"/>
  <c r="L12" i="19"/>
  <c r="Z84" i="19"/>
  <c r="E60" i="19"/>
  <c r="S12" i="19"/>
  <c r="L108" i="19"/>
  <c r="Z60" i="19"/>
  <c r="S36" i="19"/>
  <c r="Z36" i="19"/>
  <c r="AG108" i="19"/>
  <c r="L84" i="19"/>
  <c r="AG84" i="19"/>
  <c r="L60" i="19"/>
  <c r="AG60" i="19"/>
  <c r="AG36" i="19"/>
  <c r="L36" i="19"/>
  <c r="E108" i="19"/>
  <c r="S84" i="19"/>
  <c r="S60" i="19"/>
  <c r="Z12" i="19"/>
  <c r="S108" i="19"/>
  <c r="E36" i="19"/>
  <c r="K19" i="7"/>
  <c r="K22" i="7" s="1"/>
  <c r="F13" i="3"/>
  <c r="F13" i="19" s="1"/>
  <c r="F12" i="3"/>
  <c r="F12" i="19" s="1"/>
  <c r="K7" i="7"/>
  <c r="T85" i="19" l="1"/>
  <c r="AH37" i="19"/>
  <c r="F109" i="19"/>
  <c r="T61" i="19"/>
  <c r="M37" i="19"/>
  <c r="AA109" i="19"/>
  <c r="F85" i="19"/>
  <c r="AH13" i="19"/>
  <c r="AA85" i="19"/>
  <c r="F61" i="19"/>
  <c r="T13" i="19"/>
  <c r="M109" i="19"/>
  <c r="AA61" i="19"/>
  <c r="AA37" i="19"/>
  <c r="AH61" i="19"/>
  <c r="M61" i="19"/>
  <c r="F37" i="19"/>
  <c r="M13" i="19"/>
  <c r="AH109" i="19"/>
  <c r="AA13" i="19"/>
  <c r="T109" i="19"/>
  <c r="T37" i="19"/>
  <c r="M85" i="19"/>
  <c r="AH85" i="19"/>
  <c r="AA84" i="19"/>
  <c r="F60" i="19"/>
  <c r="T12" i="19"/>
  <c r="M108" i="19"/>
  <c r="AA60" i="19"/>
  <c r="T36" i="19"/>
  <c r="AH108" i="19"/>
  <c r="M84" i="19"/>
  <c r="AA36" i="19"/>
  <c r="M60" i="19"/>
  <c r="F36" i="19"/>
  <c r="AH84" i="19"/>
  <c r="T108" i="19"/>
  <c r="AH60" i="19"/>
  <c r="F108" i="19"/>
  <c r="T84" i="19"/>
  <c r="AH12" i="19"/>
  <c r="M12" i="19"/>
  <c r="T60" i="19"/>
  <c r="AH36" i="19"/>
  <c r="AA12" i="19"/>
  <c r="M36" i="19"/>
  <c r="F84" i="19"/>
  <c r="AA108" i="19"/>
  <c r="L9" i="1"/>
  <c r="L24" i="1" l="1"/>
  <c r="G23" i="6" l="1"/>
  <c r="H24" i="7"/>
  <c r="H23" i="6" l="1"/>
  <c r="I24" i="7"/>
  <c r="I23" i="6" l="1"/>
  <c r="J24" i="7"/>
  <c r="K24" i="7"/>
  <c r="J23" i="6"/>
  <c r="F10" i="1"/>
  <c r="F25" i="1" s="1"/>
  <c r="O12" i="1"/>
  <c r="O15" i="1"/>
  <c r="O19" i="1" s="1"/>
  <c r="F28" i="6" s="1"/>
  <c r="O28" i="1"/>
  <c r="O31" i="1" l="1"/>
  <c r="G25" i="1"/>
  <c r="F12" i="1"/>
  <c r="F21" i="15" l="1"/>
  <c r="F27" i="15"/>
  <c r="F15" i="1"/>
  <c r="B9" i="3" s="1"/>
  <c r="B9" i="19" s="1"/>
  <c r="F26" i="1"/>
  <c r="O26" i="1" s="1"/>
  <c r="L25" i="1"/>
  <c r="L10" i="1" s="1"/>
  <c r="L12" i="1" s="1"/>
  <c r="G10" i="1"/>
  <c r="G12" i="1" s="1"/>
  <c r="H25" i="1"/>
  <c r="G21" i="15" l="1"/>
  <c r="G27" i="15"/>
  <c r="G69" i="6"/>
  <c r="AD105" i="19"/>
  <c r="I81" i="19"/>
  <c r="W33" i="19"/>
  <c r="AD81" i="19"/>
  <c r="I57" i="19"/>
  <c r="B33" i="19"/>
  <c r="P105" i="19"/>
  <c r="AD57" i="19"/>
  <c r="W9" i="19"/>
  <c r="P81" i="19"/>
  <c r="AD33" i="19"/>
  <c r="B105" i="19"/>
  <c r="P57" i="19"/>
  <c r="P33" i="19"/>
  <c r="I33" i="19"/>
  <c r="I9" i="19"/>
  <c r="W57" i="19"/>
  <c r="AD9" i="19"/>
  <c r="P9" i="19"/>
  <c r="B57" i="19"/>
  <c r="W105" i="19"/>
  <c r="I105" i="19"/>
  <c r="B81" i="19"/>
  <c r="W81" i="19"/>
  <c r="I25" i="1"/>
  <c r="H10" i="1"/>
  <c r="H12" i="1" s="1"/>
  <c r="G15" i="1"/>
  <c r="C9" i="3" s="1"/>
  <c r="C9" i="19" s="1"/>
  <c r="G26" i="1"/>
  <c r="L15" i="1"/>
  <c r="L26" i="1"/>
  <c r="B15" i="3"/>
  <c r="F19" i="1"/>
  <c r="F28" i="1"/>
  <c r="AE81" i="19" l="1"/>
  <c r="J57" i="19"/>
  <c r="C33" i="19"/>
  <c r="Q105" i="19"/>
  <c r="AE57" i="19"/>
  <c r="X9" i="19"/>
  <c r="Q81" i="19"/>
  <c r="AE33" i="19"/>
  <c r="J9" i="19"/>
  <c r="C105" i="19"/>
  <c r="Q57" i="19"/>
  <c r="J33" i="19"/>
  <c r="C81" i="19"/>
  <c r="X105" i="19"/>
  <c r="X57" i="19"/>
  <c r="AE9" i="19"/>
  <c r="Q9" i="19"/>
  <c r="C57" i="19"/>
  <c r="J105" i="19"/>
  <c r="AE105" i="19"/>
  <c r="X81" i="19"/>
  <c r="J81" i="19"/>
  <c r="Q33" i="19"/>
  <c r="X33" i="19"/>
  <c r="B16" i="3"/>
  <c r="B15" i="19"/>
  <c r="H21" i="15"/>
  <c r="H27" i="15"/>
  <c r="H69" i="6"/>
  <c r="F31" i="1"/>
  <c r="G6" i="7"/>
  <c r="G17" i="7" s="1"/>
  <c r="L18" i="1"/>
  <c r="L28" i="1"/>
  <c r="G18" i="1"/>
  <c r="C15" i="3"/>
  <c r="G28" i="1"/>
  <c r="H15" i="1"/>
  <c r="D9" i="3" s="1"/>
  <c r="D9" i="19" s="1"/>
  <c r="H26" i="1"/>
  <c r="I10" i="1"/>
  <c r="I12" i="1" s="1"/>
  <c r="J25" i="1"/>
  <c r="J10" i="1" s="1"/>
  <c r="J12" i="1" s="1"/>
  <c r="J21" i="15" l="1"/>
  <c r="J27" i="15"/>
  <c r="J69" i="6"/>
  <c r="I21" i="15"/>
  <c r="I27" i="15"/>
  <c r="I69" i="6"/>
  <c r="R105" i="19"/>
  <c r="AF57" i="19"/>
  <c r="Y9" i="19"/>
  <c r="R81" i="19"/>
  <c r="AF33" i="19"/>
  <c r="D105" i="19"/>
  <c r="R57" i="19"/>
  <c r="K33" i="19"/>
  <c r="K9" i="19"/>
  <c r="Y105" i="19"/>
  <c r="D81" i="19"/>
  <c r="AF9" i="19"/>
  <c r="Y81" i="19"/>
  <c r="D57" i="19"/>
  <c r="K57" i="19"/>
  <c r="AF105" i="19"/>
  <c r="K105" i="19"/>
  <c r="AF81" i="19"/>
  <c r="Y33" i="19"/>
  <c r="D33" i="19"/>
  <c r="Y57" i="19"/>
  <c r="R9" i="19"/>
  <c r="K81" i="19"/>
  <c r="R33" i="19"/>
  <c r="P87" i="19"/>
  <c r="P88" i="19" s="1"/>
  <c r="AD39" i="19"/>
  <c r="AD40" i="19" s="1"/>
  <c r="I15" i="19"/>
  <c r="I16" i="19" s="1"/>
  <c r="B111" i="19"/>
  <c r="B112" i="19" s="1"/>
  <c r="P63" i="19"/>
  <c r="P64" i="19" s="1"/>
  <c r="I39" i="19"/>
  <c r="I40" i="19" s="1"/>
  <c r="AD111" i="19"/>
  <c r="AD112" i="19" s="1"/>
  <c r="I87" i="19"/>
  <c r="I88" i="19" s="1"/>
  <c r="W39" i="19"/>
  <c r="W40" i="19" s="1"/>
  <c r="P111" i="19"/>
  <c r="P112" i="19" s="1"/>
  <c r="AD63" i="19"/>
  <c r="AD64" i="19" s="1"/>
  <c r="W111" i="19"/>
  <c r="W112" i="19" s="1"/>
  <c r="B87" i="19"/>
  <c r="B88" i="19" s="1"/>
  <c r="AD15" i="19"/>
  <c r="AD16" i="19" s="1"/>
  <c r="W15" i="19"/>
  <c r="W16" i="19" s="1"/>
  <c r="I111" i="19"/>
  <c r="I112" i="19" s="1"/>
  <c r="W63" i="19"/>
  <c r="W64" i="19" s="1"/>
  <c r="P39" i="19"/>
  <c r="P40" i="19" s="1"/>
  <c r="W87" i="19"/>
  <c r="W88" i="19" s="1"/>
  <c r="B63" i="19"/>
  <c r="B64" i="19" s="1"/>
  <c r="AD87" i="19"/>
  <c r="AD88" i="19" s="1"/>
  <c r="I63" i="19"/>
  <c r="I64" i="19" s="1"/>
  <c r="B39" i="19"/>
  <c r="B40" i="19" s="1"/>
  <c r="P15" i="19"/>
  <c r="P16" i="19" s="1"/>
  <c r="B16" i="19"/>
  <c r="C16" i="3"/>
  <c r="C15" i="19"/>
  <c r="J15" i="1"/>
  <c r="F9" i="3" s="1"/>
  <c r="F9" i="19" s="1"/>
  <c r="J26" i="1"/>
  <c r="I15" i="1"/>
  <c r="E9" i="3" s="1"/>
  <c r="E9" i="19" s="1"/>
  <c r="I26" i="1"/>
  <c r="D15" i="3"/>
  <c r="H18" i="1"/>
  <c r="H28" i="1"/>
  <c r="S81" i="19" l="1"/>
  <c r="AG33" i="19"/>
  <c r="S9" i="19"/>
  <c r="E105" i="19"/>
  <c r="S57" i="19"/>
  <c r="L33" i="19"/>
  <c r="L9" i="19"/>
  <c r="Z105" i="19"/>
  <c r="E81" i="19"/>
  <c r="AG9" i="19"/>
  <c r="Z81" i="19"/>
  <c r="E57" i="19"/>
  <c r="L105" i="19"/>
  <c r="Z57" i="19"/>
  <c r="L57" i="19"/>
  <c r="E33" i="19"/>
  <c r="AG105" i="19"/>
  <c r="AG81" i="19"/>
  <c r="Z33" i="19"/>
  <c r="S33" i="19"/>
  <c r="S105" i="19"/>
  <c r="Z9" i="19"/>
  <c r="L81" i="19"/>
  <c r="AG57" i="19"/>
  <c r="D16" i="3"/>
  <c r="D15" i="19"/>
  <c r="F105" i="19"/>
  <c r="T57" i="19"/>
  <c r="M33" i="19"/>
  <c r="M9" i="19"/>
  <c r="AA105" i="19"/>
  <c r="F81" i="19"/>
  <c r="AH9" i="19"/>
  <c r="AA81" i="19"/>
  <c r="F57" i="19"/>
  <c r="T9" i="19"/>
  <c r="M105" i="19"/>
  <c r="AA57" i="19"/>
  <c r="T33" i="19"/>
  <c r="AH105" i="19"/>
  <c r="M81" i="19"/>
  <c r="AH33" i="19"/>
  <c r="F33" i="19"/>
  <c r="T105" i="19"/>
  <c r="AA9" i="19"/>
  <c r="AA33" i="19"/>
  <c r="T81" i="19"/>
  <c r="AH57" i="19"/>
  <c r="AH81" i="19"/>
  <c r="M57" i="19"/>
  <c r="Q87" i="19"/>
  <c r="Q88" i="19" s="1"/>
  <c r="AE39" i="19"/>
  <c r="AE40" i="19" s="1"/>
  <c r="J15" i="19"/>
  <c r="J16" i="19" s="1"/>
  <c r="C111" i="19"/>
  <c r="C112" i="19" s="1"/>
  <c r="Q63" i="19"/>
  <c r="Q64" i="19" s="1"/>
  <c r="J39" i="19"/>
  <c r="J40" i="19" s="1"/>
  <c r="AE111" i="19"/>
  <c r="AE112" i="19" s="1"/>
  <c r="J87" i="19"/>
  <c r="J88" i="19" s="1"/>
  <c r="X39" i="19"/>
  <c r="X40" i="19" s="1"/>
  <c r="Q111" i="19"/>
  <c r="Q112" i="19" s="1"/>
  <c r="X15" i="19"/>
  <c r="X16" i="19" s="1"/>
  <c r="X111" i="19"/>
  <c r="X112" i="19" s="1"/>
  <c r="C87" i="19"/>
  <c r="C88" i="19" s="1"/>
  <c r="AE15" i="19"/>
  <c r="AE16" i="19" s="1"/>
  <c r="AE63" i="19"/>
  <c r="AE64" i="19" s="1"/>
  <c r="J111" i="19"/>
  <c r="J112" i="19" s="1"/>
  <c r="C63" i="19"/>
  <c r="C64" i="19" s="1"/>
  <c r="X63" i="19"/>
  <c r="X64" i="19" s="1"/>
  <c r="Q39" i="19"/>
  <c r="Q40" i="19" s="1"/>
  <c r="AE87" i="19"/>
  <c r="AE88" i="19" s="1"/>
  <c r="J63" i="19"/>
  <c r="J64" i="19" s="1"/>
  <c r="C39" i="19"/>
  <c r="C40" i="19" s="1"/>
  <c r="X87" i="19"/>
  <c r="X88" i="19" s="1"/>
  <c r="Q15" i="19"/>
  <c r="Q16" i="19" s="1"/>
  <c r="C16" i="19"/>
  <c r="E15" i="3"/>
  <c r="I28" i="1"/>
  <c r="I18" i="1"/>
  <c r="F15" i="3"/>
  <c r="J18" i="1"/>
  <c r="J28" i="1"/>
  <c r="R87" i="19" l="1"/>
  <c r="R88" i="19" s="1"/>
  <c r="AF39" i="19"/>
  <c r="AF40" i="19" s="1"/>
  <c r="K15" i="19"/>
  <c r="K16" i="19" s="1"/>
  <c r="D111" i="19"/>
  <c r="D112" i="19" s="1"/>
  <c r="R63" i="19"/>
  <c r="R64" i="19" s="1"/>
  <c r="K39" i="19"/>
  <c r="K40" i="19" s="1"/>
  <c r="D63" i="19"/>
  <c r="D64" i="19" s="1"/>
  <c r="AF111" i="19"/>
  <c r="AF112" i="19" s="1"/>
  <c r="K87" i="19"/>
  <c r="K88" i="19" s="1"/>
  <c r="Y39" i="19"/>
  <c r="Y40" i="19" s="1"/>
  <c r="R111" i="19"/>
  <c r="R112" i="19" s="1"/>
  <c r="AF63" i="19"/>
  <c r="AF64" i="19" s="1"/>
  <c r="Y15" i="19"/>
  <c r="Y16" i="19" s="1"/>
  <c r="Y111" i="19"/>
  <c r="Y112" i="19" s="1"/>
  <c r="D87" i="19"/>
  <c r="D88" i="19" s="1"/>
  <c r="AF15" i="19"/>
  <c r="AF16" i="19" s="1"/>
  <c r="Y63" i="19"/>
  <c r="Y64" i="19" s="1"/>
  <c r="K111" i="19"/>
  <c r="K112" i="19" s="1"/>
  <c r="R39" i="19"/>
  <c r="R40" i="19" s="1"/>
  <c r="AF87" i="19"/>
  <c r="AF88" i="19" s="1"/>
  <c r="K63" i="19"/>
  <c r="K64" i="19" s="1"/>
  <c r="D39" i="19"/>
  <c r="D40" i="19" s="1"/>
  <c r="Y87" i="19"/>
  <c r="Y88" i="19" s="1"/>
  <c r="R15" i="19"/>
  <c r="R16" i="19" s="1"/>
  <c r="D16" i="19"/>
  <c r="E16" i="3"/>
  <c r="F18" i="3" s="1"/>
  <c r="E15" i="19"/>
  <c r="F16" i="3"/>
  <c r="F19" i="3" s="1"/>
  <c r="F20" i="3" s="1"/>
  <c r="F15" i="19"/>
  <c r="F21" i="3" l="1"/>
  <c r="AG111" i="19"/>
  <c r="AG112" i="19" s="1"/>
  <c r="AH114" i="19" s="1"/>
  <c r="Z111" i="19"/>
  <c r="Z112" i="19" s="1"/>
  <c r="AA114" i="19" s="1"/>
  <c r="S111" i="19"/>
  <c r="S112" i="19" s="1"/>
  <c r="T114" i="19" s="1"/>
  <c r="L111" i="19"/>
  <c r="L112" i="19" s="1"/>
  <c r="M114" i="19" s="1"/>
  <c r="E111" i="19"/>
  <c r="E112" i="19" s="1"/>
  <c r="F114" i="19" s="1"/>
  <c r="AG87" i="19"/>
  <c r="AG88" i="19" s="1"/>
  <c r="AH90" i="19" s="1"/>
  <c r="Z87" i="19"/>
  <c r="Z88" i="19" s="1"/>
  <c r="AA90" i="19" s="1"/>
  <c r="S87" i="19"/>
  <c r="S88" i="19" s="1"/>
  <c r="T90" i="19" s="1"/>
  <c r="L87" i="19"/>
  <c r="L88" i="19" s="1"/>
  <c r="M90" i="19" s="1"/>
  <c r="E87" i="19"/>
  <c r="E88" i="19" s="1"/>
  <c r="F90" i="19" s="1"/>
  <c r="AG63" i="19"/>
  <c r="AG64" i="19" s="1"/>
  <c r="AH66" i="19" s="1"/>
  <c r="Z63" i="19"/>
  <c r="Z64" i="19" s="1"/>
  <c r="AA66" i="19" s="1"/>
  <c r="S63" i="19"/>
  <c r="S64" i="19" s="1"/>
  <c r="T66" i="19" s="1"/>
  <c r="L63" i="19"/>
  <c r="L64" i="19" s="1"/>
  <c r="M66" i="19" s="1"/>
  <c r="E63" i="19"/>
  <c r="E64" i="19" s="1"/>
  <c r="F66" i="19" s="1"/>
  <c r="AG39" i="19"/>
  <c r="AG40" i="19" s="1"/>
  <c r="AH42" i="19" s="1"/>
  <c r="Z39" i="19"/>
  <c r="Z40" i="19" s="1"/>
  <c r="AA42" i="19" s="1"/>
  <c r="AG15" i="19"/>
  <c r="AG16" i="19" s="1"/>
  <c r="AH18" i="19" s="1"/>
  <c r="Z15" i="19"/>
  <c r="Z16" i="19" s="1"/>
  <c r="AA18" i="19" s="1"/>
  <c r="S39" i="19"/>
  <c r="S40" i="19" s="1"/>
  <c r="T42" i="19" s="1"/>
  <c r="L39" i="19"/>
  <c r="L40" i="19" s="1"/>
  <c r="M42" i="19" s="1"/>
  <c r="E39" i="19"/>
  <c r="E40" i="19" s="1"/>
  <c r="F42" i="19" s="1"/>
  <c r="S15" i="19"/>
  <c r="S16" i="19" s="1"/>
  <c r="T18" i="19" s="1"/>
  <c r="L15" i="19"/>
  <c r="L16" i="19" s="1"/>
  <c r="M18" i="19" s="1"/>
  <c r="E16" i="19"/>
  <c r="F18" i="19" s="1"/>
  <c r="AH111" i="19"/>
  <c r="AH112" i="19" s="1"/>
  <c r="AH115" i="19" s="1"/>
  <c r="AH116" i="19" s="1"/>
  <c r="AA111" i="19"/>
  <c r="AA112" i="19" s="1"/>
  <c r="AA115" i="19" s="1"/>
  <c r="AA116" i="19" s="1"/>
  <c r="T111" i="19"/>
  <c r="T112" i="19" s="1"/>
  <c r="T115" i="19" s="1"/>
  <c r="T116" i="19" s="1"/>
  <c r="M111" i="19"/>
  <c r="M112" i="19" s="1"/>
  <c r="M115" i="19" s="1"/>
  <c r="M116" i="19" s="1"/>
  <c r="F111" i="19"/>
  <c r="F112" i="19" s="1"/>
  <c r="F115" i="19" s="1"/>
  <c r="F116" i="19" s="1"/>
  <c r="AH87" i="19"/>
  <c r="AH88" i="19" s="1"/>
  <c r="AH91" i="19" s="1"/>
  <c r="AH92" i="19" s="1"/>
  <c r="AA87" i="19"/>
  <c r="AA88" i="19" s="1"/>
  <c r="AA91" i="19" s="1"/>
  <c r="AA92" i="19" s="1"/>
  <c r="T87" i="19"/>
  <c r="T88" i="19" s="1"/>
  <c r="T91" i="19" s="1"/>
  <c r="T92" i="19" s="1"/>
  <c r="M87" i="19"/>
  <c r="M88" i="19" s="1"/>
  <c r="M91" i="19" s="1"/>
  <c r="M92" i="19" s="1"/>
  <c r="F87" i="19"/>
  <c r="F88" i="19" s="1"/>
  <c r="F91" i="19" s="1"/>
  <c r="F92" i="19" s="1"/>
  <c r="AH63" i="19"/>
  <c r="AH64" i="19" s="1"/>
  <c r="AH67" i="19" s="1"/>
  <c r="AH68" i="19" s="1"/>
  <c r="AA63" i="19"/>
  <c r="AA64" i="19" s="1"/>
  <c r="AA67" i="19" s="1"/>
  <c r="AA68" i="19" s="1"/>
  <c r="T63" i="19"/>
  <c r="T64" i="19" s="1"/>
  <c r="T67" i="19" s="1"/>
  <c r="T68" i="19" s="1"/>
  <c r="M63" i="19"/>
  <c r="M64" i="19" s="1"/>
  <c r="M67" i="19" s="1"/>
  <c r="M68" i="19" s="1"/>
  <c r="F63" i="19"/>
  <c r="F64" i="19" s="1"/>
  <c r="F67" i="19" s="1"/>
  <c r="F68" i="19" s="1"/>
  <c r="AH39" i="19"/>
  <c r="AH40" i="19" s="1"/>
  <c r="AH43" i="19" s="1"/>
  <c r="AH44" i="19" s="1"/>
  <c r="AA39" i="19"/>
  <c r="AA40" i="19" s="1"/>
  <c r="AA43" i="19" s="1"/>
  <c r="AA44" i="19" s="1"/>
  <c r="AH15" i="19"/>
  <c r="AH16" i="19" s="1"/>
  <c r="AH19" i="19" s="1"/>
  <c r="AH20" i="19" s="1"/>
  <c r="AA15" i="19"/>
  <c r="AA16" i="19" s="1"/>
  <c r="AA19" i="19" s="1"/>
  <c r="AA20" i="19" s="1"/>
  <c r="T39" i="19"/>
  <c r="T40" i="19" s="1"/>
  <c r="T43" i="19" s="1"/>
  <c r="T44" i="19" s="1"/>
  <c r="M39" i="19"/>
  <c r="M40" i="19" s="1"/>
  <c r="M43" i="19" s="1"/>
  <c r="M44" i="19" s="1"/>
  <c r="F39" i="19"/>
  <c r="F40" i="19" s="1"/>
  <c r="F43" i="19" s="1"/>
  <c r="F44" i="19" s="1"/>
  <c r="T15" i="19"/>
  <c r="T16" i="19" s="1"/>
  <c r="T19" i="19" s="1"/>
  <c r="T20" i="19" s="1"/>
  <c r="M15" i="19"/>
  <c r="M16" i="19" s="1"/>
  <c r="M19" i="19" s="1"/>
  <c r="M20" i="19" s="1"/>
  <c r="F16" i="19"/>
  <c r="F19" i="19" s="1"/>
  <c r="F20" i="19" s="1"/>
  <c r="F23" i="3"/>
  <c r="B5" i="17" s="1"/>
  <c r="B6" i="17" s="1"/>
  <c r="H22" i="3"/>
  <c r="I22" i="3"/>
  <c r="F93" i="19" l="1"/>
  <c r="F95" i="19" s="1"/>
  <c r="E10" i="18" s="1"/>
  <c r="AA117" i="19"/>
  <c r="AA119" i="19" s="1"/>
  <c r="H11" i="18" s="1"/>
  <c r="M21" i="19"/>
  <c r="M23" i="19" s="1"/>
  <c r="F7" i="18" s="1"/>
  <c r="AH69" i="19"/>
  <c r="AH71" i="19" s="1"/>
  <c r="I9" i="18" s="1"/>
  <c r="AA69" i="19"/>
  <c r="AA71" i="19" s="1"/>
  <c r="H9" i="18" s="1"/>
  <c r="M45" i="19"/>
  <c r="M47" i="19" s="1"/>
  <c r="F8" i="18" s="1"/>
  <c r="F117" i="19"/>
  <c r="F119" i="19" s="1"/>
  <c r="E11" i="18" s="1"/>
  <c r="AH117" i="19"/>
  <c r="AH119" i="19" s="1"/>
  <c r="I11" i="18" s="1"/>
  <c r="T21" i="19"/>
  <c r="T23" i="19" s="1"/>
  <c r="G7" i="18" s="1"/>
  <c r="F69" i="19"/>
  <c r="F71" i="19" s="1"/>
  <c r="E9" i="18" s="1"/>
  <c r="M69" i="19"/>
  <c r="M71" i="19" s="1"/>
  <c r="F9" i="18" s="1"/>
  <c r="T69" i="19"/>
  <c r="T71" i="19" s="1"/>
  <c r="G9" i="18" s="1"/>
  <c r="AA93" i="19"/>
  <c r="AA95" i="19" s="1"/>
  <c r="H10" i="18" s="1"/>
  <c r="AH93" i="19"/>
  <c r="AH95" i="19" s="1"/>
  <c r="I10" i="18" s="1"/>
  <c r="F21" i="19"/>
  <c r="F23" i="19" s="1"/>
  <c r="E7" i="18" s="1"/>
  <c r="M93" i="19"/>
  <c r="M95" i="19" s="1"/>
  <c r="F10" i="18" s="1"/>
  <c r="T93" i="19"/>
  <c r="T95" i="19" s="1"/>
  <c r="G10" i="18" s="1"/>
  <c r="M117" i="19"/>
  <c r="M119" i="19" s="1"/>
  <c r="F11" i="18" s="1"/>
  <c r="T117" i="19"/>
  <c r="T119" i="19" s="1"/>
  <c r="G11" i="18" s="1"/>
  <c r="F45" i="19"/>
  <c r="F47" i="19" s="1"/>
  <c r="E8" i="18" s="1"/>
  <c r="T45" i="19"/>
  <c r="T47" i="19" s="1"/>
  <c r="G8" i="18" s="1"/>
  <c r="AA21" i="19"/>
  <c r="AA23" i="19" s="1"/>
  <c r="H7" i="18" s="1"/>
  <c r="AH21" i="19"/>
  <c r="AH23" i="19" s="1"/>
  <c r="I7" i="18" s="1"/>
  <c r="AA45" i="19"/>
  <c r="AA47" i="19" s="1"/>
  <c r="H8" i="18" s="1"/>
  <c r="AH45" i="19"/>
  <c r="AH47" i="19" s="1"/>
  <c r="I8" i="18" s="1"/>
  <c r="F10" i="6"/>
  <c r="O10" i="7" s="1"/>
  <c r="F16" i="6"/>
  <c r="F24" i="6" s="1"/>
  <c r="F69" i="6" s="1"/>
  <c r="F26" i="6"/>
  <c r="F27" i="6"/>
  <c r="F29" i="6"/>
  <c r="F31" i="6"/>
  <c r="O11" i="7" l="1"/>
  <c r="G25" i="7"/>
  <c r="G29" i="7" s="1"/>
  <c r="G31" i="7" s="1"/>
  <c r="G26" i="6" l="1"/>
  <c r="G27" i="6" s="1"/>
  <c r="I25" i="7"/>
  <c r="I29" i="7"/>
  <c r="G16" i="1"/>
  <c r="H25" i="7"/>
  <c r="H29" i="7"/>
  <c r="L16" i="1" l="1"/>
  <c r="L19" i="1" s="1"/>
  <c r="L31" i="1" s="1"/>
  <c r="G19" i="1"/>
  <c r="G28" i="6" s="1"/>
  <c r="G29" i="6" s="1"/>
  <c r="H26" i="6"/>
  <c r="H27" i="6" s="1"/>
  <c r="H16" i="1"/>
  <c r="H19" i="1" s="1"/>
  <c r="H6" i="7" l="1"/>
  <c r="H17" i="7" s="1"/>
  <c r="H31" i="7" s="1"/>
  <c r="G31" i="1"/>
  <c r="G6" i="6"/>
  <c r="I26" i="6"/>
  <c r="I27" i="6" s="1"/>
  <c r="J25" i="7"/>
  <c r="J29" i="7" s="1"/>
  <c r="I16" i="1"/>
  <c r="I19" i="1" s="1"/>
  <c r="H31" i="1"/>
  <c r="I6" i="7"/>
  <c r="I17" i="7" s="1"/>
  <c r="I31" i="7" s="1"/>
  <c r="H28" i="6"/>
  <c r="I28" i="6" l="1"/>
  <c r="H29" i="6"/>
  <c r="G10" i="6"/>
  <c r="I32" i="7"/>
  <c r="H33" i="7"/>
  <c r="H6" i="6"/>
  <c r="G16" i="6"/>
  <c r="G31" i="6" s="1"/>
  <c r="P10" i="7"/>
  <c r="I31" i="1"/>
  <c r="J6" i="7"/>
  <c r="J17" i="7" s="1"/>
  <c r="J31" i="7" s="1"/>
  <c r="J26" i="6"/>
  <c r="J27" i="6" s="1"/>
  <c r="J16" i="1"/>
  <c r="J19" i="1" s="1"/>
  <c r="K25" i="7"/>
  <c r="K29" i="7" s="1"/>
  <c r="I29" i="6"/>
  <c r="H10" i="6" l="1"/>
  <c r="J32" i="7"/>
  <c r="I33" i="7"/>
  <c r="P11" i="7"/>
  <c r="H16" i="6"/>
  <c r="H31" i="6" s="1"/>
  <c r="Q10" i="7"/>
  <c r="Q11" i="7" s="1"/>
  <c r="I6" i="6"/>
  <c r="J31" i="1"/>
  <c r="K6" i="7"/>
  <c r="K17" i="7" s="1"/>
  <c r="K31" i="7" s="1"/>
  <c r="J28" i="6"/>
  <c r="J29" i="6" s="1"/>
  <c r="I10" i="6" l="1"/>
  <c r="K32" i="7"/>
  <c r="J33" i="7"/>
  <c r="J6" i="6"/>
  <c r="I16" i="6"/>
  <c r="I31" i="6" s="1"/>
  <c r="R10" i="7"/>
  <c r="J10" i="6" l="1"/>
  <c r="J16" i="6" s="1"/>
  <c r="J31" i="6" s="1"/>
  <c r="K33" i="7"/>
  <c r="R11" i="7"/>
  <c r="S10" i="7"/>
  <c r="S11" i="7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  <author>Hannah Saethereng</author>
  </authors>
  <commentList>
    <comment ref="F11" authorId="0" shapeId="0" xr:uid="{F181E627-CEEB-FA43-A0D5-63E7D7C808B2}">
      <text>
        <r>
          <rPr>
            <sz val="12"/>
            <color rgb="FF000000"/>
            <rFont val="Calibri"/>
            <family val="2"/>
            <scheme val="minor"/>
          </rPr>
          <t xml:space="preserve">Hannah:
</t>
        </r>
        <r>
          <rPr>
            <sz val="12"/>
            <color rgb="FF000000"/>
            <rFont val="Calibri"/>
            <family val="2"/>
            <scheme val="minor"/>
          </rPr>
          <t xml:space="preserve">6200 in stock compansation expense substracted in the next year
</t>
        </r>
      </text>
    </comment>
    <comment ref="F14" authorId="0" shapeId="0" xr:uid="{022BD63F-18A5-594A-BD1E-ACAD1774CF20}">
      <text>
        <r>
          <rPr>
            <b/>
            <sz val="10"/>
            <color rgb="FF000000"/>
            <rFont val="Tahoma"/>
            <family val="2"/>
          </rPr>
          <t>Hannah: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Taken from 10-K </t>
        </r>
      </text>
    </comment>
    <comment ref="J16" authorId="0" shapeId="0" xr:uid="{4336B875-696E-F64B-9735-4105F195C054}">
      <text>
        <r>
          <rPr>
            <b/>
            <sz val="10"/>
            <color rgb="FF000000"/>
            <rFont val="Tahoma"/>
            <family val="2"/>
          </rPr>
          <t xml:space="preserve">Hannah:
</t>
        </r>
        <r>
          <rPr>
            <sz val="10"/>
            <color rgb="FF000000"/>
            <rFont val="Tahoma"/>
            <family val="2"/>
          </rPr>
          <t xml:space="preserve">Will be taken from Debt Schedule
</t>
        </r>
      </text>
    </comment>
    <comment ref="G27" authorId="1" shapeId="0" xr:uid="{D2D4F4EC-2AFE-427D-A1DD-FE2CE85853FF}">
      <text>
        <r>
          <rPr>
            <sz val="12"/>
            <color rgb="FF000000"/>
            <rFont val="Calibri"/>
            <family val="2"/>
            <scheme val="minor"/>
          </rPr>
          <t xml:space="preserve">Hannah Saethereng:
</t>
        </r>
        <r>
          <rPr>
            <sz val="12"/>
            <color rgb="FF000000"/>
            <rFont val="Calibri"/>
            <family val="2"/>
            <scheme val="minor"/>
          </rPr>
          <t>might be understating the dep</t>
        </r>
      </text>
    </comment>
    <comment ref="F29" authorId="0" shapeId="0" xr:uid="{C79DCE94-EBE3-844C-BAE0-01C96F9EF3A0}">
      <text>
        <r>
          <rPr>
            <b/>
            <sz val="10"/>
            <color rgb="FF000000"/>
            <rFont val="Tahoma"/>
            <family val="2"/>
          </rPr>
          <t>Hannah: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Need a Debt Buildup Schedule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F11" authorId="0" shapeId="0" xr:uid="{ABBE63A1-602A-734E-93A0-9A66FCCABB0B}">
      <text>
        <r>
          <rPr>
            <b/>
            <sz val="10"/>
            <color rgb="FF000000"/>
            <rFont val="Tahoma"/>
            <family val="2"/>
          </rPr>
          <t>Hannah: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remmeber to recalculate percentage when revenue changes</t>
        </r>
      </text>
    </comment>
    <comment ref="F52" authorId="0" shapeId="0" xr:uid="{6BAC6B18-C6E0-1340-872B-38B5FD07D981}">
      <text>
        <r>
          <rPr>
            <b/>
            <sz val="10"/>
            <color rgb="FF000000"/>
            <rFont val="Tahoma"/>
            <family val="2"/>
          </rPr>
          <t>Hannah: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Groing with COGS Can cosider using Revenue</t>
        </r>
      </text>
    </comment>
    <comment ref="F53" authorId="0" shapeId="0" xr:uid="{C98C6488-0993-E342-AF42-DEB5B54ED544}">
      <text>
        <r>
          <rPr>
            <b/>
            <sz val="10"/>
            <color rgb="FF000000"/>
            <rFont val="Tahoma"/>
            <family val="2"/>
          </rPr>
          <t xml:space="preserve">Hannah: 
</t>
        </r>
        <r>
          <rPr>
            <sz val="10"/>
            <color rgb="FF000000"/>
            <rFont val="Tahoma"/>
            <family val="2"/>
          </rPr>
          <t xml:space="preserve">Growing with SG&amp;A
</t>
        </r>
        <r>
          <rPr>
            <sz val="10"/>
            <color rgb="FF000000"/>
            <rFont val="Tahoma"/>
            <family val="2"/>
          </rPr>
          <t>Can grow this with revenue</t>
        </r>
      </text>
    </comment>
    <comment ref="F55" authorId="0" shapeId="0" xr:uid="{FF7F6F27-CD21-DA45-A467-31FE710EC133}">
      <text>
        <r>
          <rPr>
            <b/>
            <sz val="10"/>
            <color rgb="FF000000"/>
            <rFont val="Tahoma"/>
            <family val="2"/>
          </rPr>
          <t xml:space="preserve">Hannah: 
</t>
        </r>
        <r>
          <rPr>
            <sz val="10"/>
            <color rgb="FF000000"/>
            <rFont val="Tahoma"/>
            <family val="2"/>
          </rPr>
          <t xml:space="preserve">Growing with Revenue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D9" authorId="0" shapeId="0" xr:uid="{BF8144A4-7DB3-F84C-9303-25981338842C}">
      <text>
        <r>
          <rPr>
            <b/>
            <sz val="10"/>
            <color rgb="FF000000"/>
            <rFont val="Tahoma"/>
            <family val="2"/>
          </rPr>
          <t xml:space="preserve">Hannah: 
</t>
        </r>
        <r>
          <rPr>
            <sz val="10"/>
            <color rgb="FF000000"/>
            <rFont val="Tahoma"/>
            <family val="2"/>
          </rPr>
          <t>Not including Stock based compancation and something else</t>
        </r>
      </text>
    </comment>
    <comment ref="E9" authorId="0" shapeId="0" xr:uid="{525A030A-6845-AD49-890B-13E0131694A2}">
      <text>
        <r>
          <rPr>
            <b/>
            <sz val="10"/>
            <color rgb="FF000000"/>
            <rFont val="Tahoma"/>
            <family val="2"/>
          </rPr>
          <t xml:space="preserve">Hannah: 
</t>
        </r>
        <r>
          <rPr>
            <sz val="10"/>
            <color rgb="FF000000"/>
            <rFont val="Tahoma"/>
            <family val="2"/>
          </rPr>
          <t>Not influding Stock based compancation and something else</t>
        </r>
      </text>
    </comment>
    <comment ref="F9" authorId="0" shapeId="0" xr:uid="{4AF9A9ED-9518-CC4B-8A4E-BEC4E64F5C2B}">
      <text>
        <r>
          <rPr>
            <b/>
            <sz val="10"/>
            <color rgb="FF000000"/>
            <rFont val="Tahoma"/>
            <family val="2"/>
          </rPr>
          <t xml:space="preserve">Hannah: 
</t>
        </r>
        <r>
          <rPr>
            <sz val="10"/>
            <color rgb="FF000000"/>
            <rFont val="Tahoma"/>
            <family val="2"/>
          </rPr>
          <t xml:space="preserve">Not influding Stock based compancation and something else
</t>
        </r>
        <r>
          <rPr>
            <sz val="10"/>
            <color rgb="FF000000"/>
            <rFont val="Tahoma"/>
            <family val="2"/>
          </rPr>
          <t>Goodwill imparement?</t>
        </r>
      </text>
    </comment>
    <comment ref="D10" authorId="0" shapeId="0" xr:uid="{F903070D-07E7-2540-ABEF-7030CC10CE83}">
      <text>
        <r>
          <rPr>
            <b/>
            <sz val="10"/>
            <color rgb="FF000000"/>
            <rFont val="Tahoma"/>
            <family val="2"/>
          </rPr>
          <t>Hannah: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Hidglighted because it does not match with their cash flow statement</t>
        </r>
      </text>
    </comment>
    <comment ref="F11" authorId="0" shapeId="0" xr:uid="{BB4F374C-8576-2D4A-9094-10BF3F2BFB04}">
      <text>
        <r>
          <rPr>
            <b/>
            <sz val="10"/>
            <color rgb="FF000000"/>
            <rFont val="Tahoma"/>
            <family val="2"/>
          </rPr>
          <t>Hannah: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This does not match thair calculations and I dont know why. </t>
        </r>
      </text>
    </comment>
    <comment ref="E12" authorId="0" shapeId="0" xr:uid="{6D344230-2A08-6746-B0A7-05D0DFDD524F}">
      <text>
        <r>
          <rPr>
            <b/>
            <sz val="10"/>
            <color rgb="FF000000"/>
            <rFont val="Tahoma"/>
            <family val="2"/>
          </rPr>
          <t>Hannah: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Does not Match their Calculations and I dont know why. </t>
        </r>
      </text>
    </comment>
    <comment ref="F13" authorId="0" shapeId="0" xr:uid="{7F679730-F954-594E-9B7B-F3635B12647D}">
      <text>
        <r>
          <rPr>
            <b/>
            <sz val="10"/>
            <color rgb="FF000000"/>
            <rFont val="Tahoma"/>
            <family val="2"/>
          </rPr>
          <t>Hannah: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Very diffrent from their numbers and I'm nit sure why.</t>
        </r>
      </text>
    </comment>
    <comment ref="F14" authorId="0" shapeId="0" xr:uid="{9AAD2FA5-0F48-0B42-9F24-0C6D54AB2BE9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Does not match their numbers and I'm not sure why. </t>
        </r>
      </text>
    </comment>
    <comment ref="F15" authorId="0" shapeId="0" xr:uid="{76F20CA5-EC26-4E46-96EB-90A77DED8524}">
      <text>
        <r>
          <rPr>
            <b/>
            <sz val="10"/>
            <color rgb="FF000000"/>
            <rFont val="Tahoma"/>
            <family val="2"/>
          </rPr>
          <t>Hannah: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They do not break this down in the CF</t>
        </r>
      </text>
    </comment>
    <comment ref="F16" authorId="0" shapeId="0" xr:uid="{4D86392F-AB5D-5245-A2E7-67D2E5FF184F}">
      <text>
        <r>
          <rPr>
            <b/>
            <sz val="10"/>
            <color rgb="FF000000"/>
            <rFont val="Tahoma"/>
            <family val="2"/>
          </rPr>
          <t>Hannah: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Does not Match and I'm not sure why.</t>
        </r>
      </text>
    </comment>
    <comment ref="F19" authorId="0" shapeId="0" xr:uid="{5ACEC745-562F-DC4A-9040-C69CA501D14A}">
      <text>
        <r>
          <rPr>
            <b/>
            <sz val="10"/>
            <color rgb="FF000000"/>
            <rFont val="Tahoma"/>
            <family val="2"/>
          </rPr>
          <t>Hannah: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Not sure why this differs from their CF</t>
        </r>
      </text>
    </comment>
    <comment ref="F20" authorId="0" shapeId="0" xr:uid="{BE6D407E-1B8D-1446-A610-8A28F36BAECE}">
      <text>
        <r>
          <rPr>
            <b/>
            <sz val="10"/>
            <color rgb="FF000000"/>
            <rFont val="Tahoma"/>
            <family val="2"/>
          </rPr>
          <t>Hannah: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Does this have to do with the IPO or an aqusition? 
Thes enumbers also differs from their CF</t>
        </r>
      </text>
    </comment>
    <comment ref="F21" authorId="0" shapeId="0" xr:uid="{39747A9E-6DD6-0B45-96A2-7DD3D57F26CF}">
      <text>
        <r>
          <rPr>
            <b/>
            <sz val="10"/>
            <color rgb="FF000000"/>
            <rFont val="Tahoma"/>
            <family val="2"/>
          </rPr>
          <t>Hannah: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Not sure how to calculate this</t>
        </r>
      </text>
    </comment>
    <comment ref="F24" authorId="0" shapeId="0" xr:uid="{6D2C9304-0FA0-E24A-8BAE-34E3DB7EF560}">
      <text>
        <r>
          <rPr>
            <b/>
            <sz val="10"/>
            <color rgb="FF000000"/>
            <rFont val="Tahoma"/>
            <family val="2"/>
          </rPr>
          <t>Hannah: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They don't separate Short term debt out on their CF</t>
        </r>
      </text>
    </comment>
    <comment ref="F25" authorId="0" shapeId="0" xr:uid="{6A671D8E-BEEC-8046-A71A-3BA1E7394650}">
      <text>
        <r>
          <rPr>
            <b/>
            <sz val="10"/>
            <color rgb="FF000000"/>
            <rFont val="Tahoma"/>
            <family val="2"/>
          </rPr>
          <t>Hannah: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Differs from their CF, Not sure why. </t>
        </r>
      </text>
    </comment>
    <comment ref="K26" authorId="0" shapeId="0" xr:uid="{FB00EF07-30D5-C64F-98E1-342B0E4775BA}">
      <text>
        <r>
          <rPr>
            <b/>
            <sz val="10"/>
            <color rgb="FF000000"/>
            <rFont val="Tahoma"/>
            <family val="2"/>
          </rPr>
          <t>Hannah: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Do we think they need to Issue more stock</t>
        </r>
      </text>
    </comment>
    <comment ref="K27" authorId="0" shapeId="0" xr:uid="{D4DBFF1D-EC32-6742-A050-5FF22CB35C0A}">
      <text>
        <r>
          <rPr>
            <b/>
            <sz val="10"/>
            <color rgb="FF000000"/>
            <rFont val="Tahoma"/>
            <family val="2"/>
          </rPr>
          <t>Hannah: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Do we think they will start paying Divided here?</t>
        </r>
      </text>
    </comment>
    <comment ref="F28" authorId="0" shapeId="0" xr:uid="{DCEA9865-63BC-A94C-8BFF-BD4ECB0F93EB}">
      <text>
        <r>
          <rPr>
            <b/>
            <sz val="10"/>
            <color rgb="FF000000"/>
            <rFont val="Tahoma"/>
            <family val="2"/>
          </rPr>
          <t>Hannah: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Differs from their CF Not sure why</t>
        </r>
      </text>
    </comment>
    <comment ref="F33" authorId="0" shapeId="0" xr:uid="{6B448470-EDA6-2D44-8A89-0D4311788434}">
      <text>
        <r>
          <rPr>
            <b/>
            <sz val="10"/>
            <color rgb="FF000000"/>
            <rFont val="Tahoma"/>
            <family val="2"/>
          </rPr>
          <t>Hannah: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There is a circular issue here that I'm not sure how to solve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  <author>Hannah Saethereng</author>
  </authors>
  <commentList>
    <comment ref="B2" authorId="0" shapeId="0" xr:uid="{028AEB6B-01A6-8247-A2EE-C9EDAA546054}">
      <text>
        <r>
          <rPr>
            <b/>
            <sz val="10"/>
            <color rgb="FF000000"/>
            <rFont val="Tahoma"/>
            <family val="2"/>
          </rPr>
          <t>Hannah: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Need to take a look into this</t>
        </r>
      </text>
    </comment>
    <comment ref="B11" authorId="1" shapeId="0" xr:uid="{0222F5CF-4AB6-463E-BF7F-45DBBB379C19}">
      <text>
        <r>
          <rPr>
            <sz val="12"/>
            <color rgb="FF000000"/>
            <rFont val="Calibri"/>
            <family val="2"/>
            <scheme val="minor"/>
          </rPr>
          <t xml:space="preserve">Hannah Saethereng:
</t>
        </r>
        <r>
          <rPr>
            <sz val="12"/>
            <color rgb="FF000000"/>
            <rFont val="Calibri"/>
            <family val="2"/>
            <scheme val="minor"/>
          </rPr>
          <t>Cash and short-term Capital are not included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B6" authorId="0" shapeId="0" xr:uid="{F0F1A1E6-4F86-A143-B872-720A0C10E6F3}">
      <text>
        <r>
          <rPr>
            <b/>
            <sz val="10"/>
            <color rgb="FF000000"/>
            <rFont val="Tahoma"/>
            <family val="2"/>
          </rPr>
          <t xml:space="preserve">Hannah: 
</t>
        </r>
        <r>
          <rPr>
            <sz val="10"/>
            <color rgb="FF000000"/>
            <rFont val="Tahoma"/>
            <family val="2"/>
          </rPr>
          <t xml:space="preserve">We need another way of calculating Beta </t>
        </r>
      </text>
    </comment>
    <comment ref="B11" authorId="0" shapeId="0" xr:uid="{FF6A3265-C138-974D-8C67-97C6B0D4FBA8}">
      <text>
        <r>
          <rPr>
            <b/>
            <sz val="10"/>
            <color rgb="FF000000"/>
            <rFont val="Tahoma"/>
            <family val="2"/>
          </rPr>
          <t>Hannah: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Probably not Calculated correctly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F2" authorId="0" shapeId="0" xr:uid="{6D0012A5-65F2-ED40-A754-84786C73A1AD}">
      <text>
        <r>
          <rPr>
            <b/>
            <sz val="10"/>
            <color rgb="FF000000"/>
            <rFont val="Tahoma"/>
            <family val="2"/>
          </rPr>
          <t>Hannah: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based on undrawn amount 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  <author>Hannah Saethereng</author>
  </authors>
  <commentList>
    <comment ref="B2" authorId="0" shapeId="0" xr:uid="{FAB72EBD-EAF3-4CF7-B123-6706F98DBC51}">
      <text>
        <r>
          <rPr>
            <b/>
            <sz val="10"/>
            <color rgb="FF000000"/>
            <rFont val="Tahoma"/>
            <family val="2"/>
          </rPr>
          <t>Hannah: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Need to take a look into this</t>
        </r>
      </text>
    </comment>
    <comment ref="I2" authorId="0" shapeId="0" xr:uid="{1629810E-3290-49CF-B36B-30D9409B4577}">
      <text>
        <r>
          <rPr>
            <b/>
            <sz val="10"/>
            <color rgb="FF000000"/>
            <rFont val="Tahoma"/>
            <family val="2"/>
          </rPr>
          <t>Hannah: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Need to take a look into this</t>
        </r>
      </text>
    </comment>
    <comment ref="P2" authorId="0" shapeId="0" xr:uid="{72AA28C5-DF05-4B0A-85F8-342BDB37294C}">
      <text>
        <r>
          <rPr>
            <b/>
            <sz val="10"/>
            <color rgb="FF000000"/>
            <rFont val="Tahoma"/>
            <family val="2"/>
          </rPr>
          <t>Hannah: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Need to take a look into this</t>
        </r>
      </text>
    </comment>
    <comment ref="W2" authorId="0" shapeId="0" xr:uid="{EABC4ED3-BD68-4361-808E-9F7D2D149267}">
      <text>
        <r>
          <rPr>
            <b/>
            <sz val="10"/>
            <color rgb="FF000000"/>
            <rFont val="Tahoma"/>
            <family val="2"/>
          </rPr>
          <t>Hannah: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Need to take a look into this</t>
        </r>
      </text>
    </comment>
    <comment ref="AD2" authorId="0" shapeId="0" xr:uid="{5D1AE9AA-2626-491C-815E-E5CF683D02FA}">
      <text>
        <r>
          <rPr>
            <b/>
            <sz val="10"/>
            <color rgb="FF000000"/>
            <rFont val="Tahoma"/>
            <family val="2"/>
          </rPr>
          <t>Hannah: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Need to take a look into this</t>
        </r>
      </text>
    </comment>
    <comment ref="B11" authorId="1" shapeId="0" xr:uid="{1FBBC0AB-A1BD-456A-9DDD-241652678925}">
      <text>
        <r>
          <rPr>
            <sz val="12"/>
            <color rgb="FF000000"/>
            <rFont val="Calibri"/>
            <family val="2"/>
            <scheme val="minor"/>
          </rPr>
          <t xml:space="preserve">Hannah Saethereng:
</t>
        </r>
        <r>
          <rPr>
            <sz val="12"/>
            <color rgb="FF000000"/>
            <rFont val="Calibri"/>
            <family val="2"/>
            <scheme val="minor"/>
          </rPr>
          <t>Cash and short-term Capital are not included</t>
        </r>
      </text>
    </comment>
    <comment ref="I11" authorId="1" shapeId="0" xr:uid="{3A59D947-8079-44AF-B19C-470BF6EAB343}">
      <text>
        <r>
          <rPr>
            <sz val="12"/>
            <color rgb="FF000000"/>
            <rFont val="Calibri"/>
            <family val="2"/>
            <scheme val="minor"/>
          </rPr>
          <t xml:space="preserve">Hannah Saethereng:
</t>
        </r>
        <r>
          <rPr>
            <sz val="12"/>
            <color rgb="FF000000"/>
            <rFont val="Calibri"/>
            <family val="2"/>
            <scheme val="minor"/>
          </rPr>
          <t>Cash and short-term Capital are not included</t>
        </r>
      </text>
    </comment>
    <comment ref="P11" authorId="1" shapeId="0" xr:uid="{E9371EF7-BB36-4425-BB76-10A8D84FF9BE}">
      <text>
        <r>
          <rPr>
            <sz val="12"/>
            <color rgb="FF000000"/>
            <rFont val="Calibri"/>
            <family val="2"/>
            <scheme val="minor"/>
          </rPr>
          <t xml:space="preserve">Hannah Saethereng:
</t>
        </r>
        <r>
          <rPr>
            <sz val="12"/>
            <color rgb="FF000000"/>
            <rFont val="Calibri"/>
            <family val="2"/>
            <scheme val="minor"/>
          </rPr>
          <t>Cash and short-term Capital are not included</t>
        </r>
      </text>
    </comment>
    <comment ref="W11" authorId="1" shapeId="0" xr:uid="{02226DA1-98A8-4F41-BC73-AEC5E3EB90CB}">
      <text>
        <r>
          <rPr>
            <sz val="12"/>
            <color rgb="FF000000"/>
            <rFont val="Calibri"/>
            <family val="2"/>
            <scheme val="minor"/>
          </rPr>
          <t xml:space="preserve">Hannah Saethereng:
</t>
        </r>
        <r>
          <rPr>
            <sz val="12"/>
            <color rgb="FF000000"/>
            <rFont val="Calibri"/>
            <family val="2"/>
            <scheme val="minor"/>
          </rPr>
          <t>Cash and short-term Capital are not included</t>
        </r>
      </text>
    </comment>
    <comment ref="AD11" authorId="1" shapeId="0" xr:uid="{4CDF9E4A-2682-493A-B433-84ABA7167A74}">
      <text>
        <r>
          <rPr>
            <sz val="12"/>
            <color rgb="FF000000"/>
            <rFont val="Calibri"/>
            <family val="2"/>
            <scheme val="minor"/>
          </rPr>
          <t xml:space="preserve">Hannah Saethereng:
</t>
        </r>
        <r>
          <rPr>
            <sz val="12"/>
            <color rgb="FF000000"/>
            <rFont val="Calibri"/>
            <family val="2"/>
            <scheme val="minor"/>
          </rPr>
          <t>Cash and short-term Capital are not included</t>
        </r>
      </text>
    </comment>
    <comment ref="B26" authorId="0" shapeId="0" xr:uid="{7FD48308-0424-4B06-ABC2-DE0B539B5421}">
      <text>
        <r>
          <rPr>
            <b/>
            <sz val="10"/>
            <color rgb="FF000000"/>
            <rFont val="Tahoma"/>
            <family val="2"/>
          </rPr>
          <t>Hannah: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Need to take a look into this</t>
        </r>
      </text>
    </comment>
    <comment ref="I26" authorId="0" shapeId="0" xr:uid="{E05897BB-C097-4106-A79E-374F39807888}">
      <text>
        <r>
          <rPr>
            <b/>
            <sz val="10"/>
            <color rgb="FF000000"/>
            <rFont val="Tahoma"/>
            <family val="2"/>
          </rPr>
          <t>Hannah: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Need to take a look into this</t>
        </r>
      </text>
    </comment>
    <comment ref="P26" authorId="0" shapeId="0" xr:uid="{C6AABE08-C409-4457-A171-C5010514076E}">
      <text>
        <r>
          <rPr>
            <b/>
            <sz val="10"/>
            <color rgb="FF000000"/>
            <rFont val="Tahoma"/>
            <family val="2"/>
          </rPr>
          <t>Hannah: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Need to take a look into this</t>
        </r>
      </text>
    </comment>
    <comment ref="W26" authorId="0" shapeId="0" xr:uid="{FDB590FB-3DB1-4E42-91B6-683D134656C6}">
      <text>
        <r>
          <rPr>
            <b/>
            <sz val="10"/>
            <color rgb="FF000000"/>
            <rFont val="Tahoma"/>
            <family val="2"/>
          </rPr>
          <t>Hannah: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Need to take a look into this</t>
        </r>
      </text>
    </comment>
    <comment ref="AD26" authorId="0" shapeId="0" xr:uid="{4B73930D-7A3B-4B90-8836-D59FB17B0B07}">
      <text>
        <r>
          <rPr>
            <b/>
            <sz val="10"/>
            <color rgb="FF000000"/>
            <rFont val="Tahoma"/>
            <family val="2"/>
          </rPr>
          <t>Hannah: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Need to take a look into this</t>
        </r>
      </text>
    </comment>
    <comment ref="B35" authorId="1" shapeId="0" xr:uid="{09051432-D2F0-4B87-9F75-61BB27407A1C}">
      <text>
        <r>
          <rPr>
            <sz val="12"/>
            <color rgb="FF000000"/>
            <rFont val="Calibri"/>
            <family val="2"/>
            <scheme val="minor"/>
          </rPr>
          <t xml:space="preserve">Hannah Saethereng:
</t>
        </r>
        <r>
          <rPr>
            <sz val="12"/>
            <color rgb="FF000000"/>
            <rFont val="Calibri"/>
            <family val="2"/>
            <scheme val="minor"/>
          </rPr>
          <t>Cash and short-term Capital are not included</t>
        </r>
      </text>
    </comment>
    <comment ref="I35" authorId="1" shapeId="0" xr:uid="{1FAD7459-D00B-4EAB-BFAB-102D2DC5F464}">
      <text>
        <r>
          <rPr>
            <sz val="12"/>
            <color rgb="FF000000"/>
            <rFont val="Calibri"/>
            <family val="2"/>
            <scheme val="minor"/>
          </rPr>
          <t xml:space="preserve">Hannah Saethereng:
</t>
        </r>
        <r>
          <rPr>
            <sz val="12"/>
            <color rgb="FF000000"/>
            <rFont val="Calibri"/>
            <family val="2"/>
            <scheme val="minor"/>
          </rPr>
          <t>Cash and short-term Capital are not included</t>
        </r>
      </text>
    </comment>
    <comment ref="P35" authorId="1" shapeId="0" xr:uid="{5E019111-DEB7-4429-8704-05BFC59455BC}">
      <text>
        <r>
          <rPr>
            <sz val="12"/>
            <color rgb="FF000000"/>
            <rFont val="Calibri"/>
            <family val="2"/>
            <scheme val="minor"/>
          </rPr>
          <t xml:space="preserve">Hannah Saethereng:
</t>
        </r>
        <r>
          <rPr>
            <sz val="12"/>
            <color rgb="FF000000"/>
            <rFont val="Calibri"/>
            <family val="2"/>
            <scheme val="minor"/>
          </rPr>
          <t>Cash and short-term Capital are not included</t>
        </r>
      </text>
    </comment>
    <comment ref="W35" authorId="1" shapeId="0" xr:uid="{1A4C7EC7-5E58-4AF7-B25D-A3A874843C4D}">
      <text>
        <r>
          <rPr>
            <sz val="12"/>
            <color rgb="FF000000"/>
            <rFont val="Calibri"/>
            <family val="2"/>
            <scheme val="minor"/>
          </rPr>
          <t xml:space="preserve">Hannah Saethereng:
</t>
        </r>
        <r>
          <rPr>
            <sz val="12"/>
            <color rgb="FF000000"/>
            <rFont val="Calibri"/>
            <family val="2"/>
            <scheme val="minor"/>
          </rPr>
          <t>Cash and short-term Capital are not included</t>
        </r>
      </text>
    </comment>
    <comment ref="AD35" authorId="1" shapeId="0" xr:uid="{5D0D0730-A11F-4CD7-8D85-B59CE0796CD8}">
      <text>
        <r>
          <rPr>
            <sz val="12"/>
            <color rgb="FF000000"/>
            <rFont val="Calibri"/>
            <family val="2"/>
            <scheme val="minor"/>
          </rPr>
          <t xml:space="preserve">Hannah Saethereng:
</t>
        </r>
        <r>
          <rPr>
            <sz val="12"/>
            <color rgb="FF000000"/>
            <rFont val="Calibri"/>
            <family val="2"/>
            <scheme val="minor"/>
          </rPr>
          <t>Cash and short-term Capital are not included</t>
        </r>
      </text>
    </comment>
    <comment ref="B50" authorId="0" shapeId="0" xr:uid="{E46AD8DC-E5B2-49DF-BFBF-53BFA3D4CF79}">
      <text>
        <r>
          <rPr>
            <b/>
            <sz val="10"/>
            <color rgb="FF000000"/>
            <rFont val="Tahoma"/>
            <family val="2"/>
          </rPr>
          <t>Hannah: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Need to take a look into this</t>
        </r>
      </text>
    </comment>
    <comment ref="I50" authorId="0" shapeId="0" xr:uid="{F11D654B-77DC-4B93-BD27-07C293F1ED8F}">
      <text>
        <r>
          <rPr>
            <b/>
            <sz val="10"/>
            <color rgb="FF000000"/>
            <rFont val="Tahoma"/>
            <family val="2"/>
          </rPr>
          <t>Hannah: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Need to take a look into this</t>
        </r>
      </text>
    </comment>
    <comment ref="P50" authorId="0" shapeId="0" xr:uid="{EFD31400-D3A0-4496-A6B8-C0297A1DBBFA}">
      <text>
        <r>
          <rPr>
            <b/>
            <sz val="10"/>
            <color rgb="FF000000"/>
            <rFont val="Tahoma"/>
            <family val="2"/>
          </rPr>
          <t>Hannah: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Need to take a look into this</t>
        </r>
      </text>
    </comment>
    <comment ref="W50" authorId="0" shapeId="0" xr:uid="{AA7C4F40-726D-42AB-B97D-A2557F837097}">
      <text>
        <r>
          <rPr>
            <b/>
            <sz val="10"/>
            <color rgb="FF000000"/>
            <rFont val="Tahoma"/>
            <family val="2"/>
          </rPr>
          <t>Hannah: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Need to take a look into this</t>
        </r>
      </text>
    </comment>
    <comment ref="AD50" authorId="0" shapeId="0" xr:uid="{7D995178-D204-4A70-A0F5-3CF7D4B68043}">
      <text>
        <r>
          <rPr>
            <b/>
            <sz val="10"/>
            <color rgb="FF000000"/>
            <rFont val="Tahoma"/>
            <family val="2"/>
          </rPr>
          <t>Hannah: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Need to take a look into this</t>
        </r>
      </text>
    </comment>
    <comment ref="B59" authorId="1" shapeId="0" xr:uid="{EC7786E2-39C5-498A-9BF7-7BEA0B38DA33}">
      <text>
        <r>
          <rPr>
            <sz val="12"/>
            <color rgb="FF000000"/>
            <rFont val="Calibri"/>
            <family val="2"/>
            <scheme val="minor"/>
          </rPr>
          <t xml:space="preserve">Hannah Saethereng:
</t>
        </r>
        <r>
          <rPr>
            <sz val="12"/>
            <color rgb="FF000000"/>
            <rFont val="Calibri"/>
            <family val="2"/>
            <scheme val="minor"/>
          </rPr>
          <t>Cash and short-term Capital are not included</t>
        </r>
      </text>
    </comment>
    <comment ref="I59" authorId="1" shapeId="0" xr:uid="{CDA857A1-913B-4476-A95D-E4D695169525}">
      <text>
        <r>
          <rPr>
            <sz val="12"/>
            <color rgb="FF000000"/>
            <rFont val="Calibri"/>
            <family val="2"/>
            <scheme val="minor"/>
          </rPr>
          <t xml:space="preserve">Hannah Saethereng:
</t>
        </r>
        <r>
          <rPr>
            <sz val="12"/>
            <color rgb="FF000000"/>
            <rFont val="Calibri"/>
            <family val="2"/>
            <scheme val="minor"/>
          </rPr>
          <t>Cash and short-term Capital are not included</t>
        </r>
      </text>
    </comment>
    <comment ref="P59" authorId="1" shapeId="0" xr:uid="{D89BC62E-F0F5-4D6F-A3E8-5C91558CB9EE}">
      <text>
        <r>
          <rPr>
            <sz val="12"/>
            <color rgb="FF000000"/>
            <rFont val="Calibri"/>
            <family val="2"/>
            <scheme val="minor"/>
          </rPr>
          <t xml:space="preserve">Hannah Saethereng:
</t>
        </r>
        <r>
          <rPr>
            <sz val="12"/>
            <color rgb="FF000000"/>
            <rFont val="Calibri"/>
            <family val="2"/>
            <scheme val="minor"/>
          </rPr>
          <t>Cash and short-term Capital are not included</t>
        </r>
      </text>
    </comment>
    <comment ref="W59" authorId="1" shapeId="0" xr:uid="{4FF753CC-04ED-4757-BAE1-F962866A3FC1}">
      <text>
        <r>
          <rPr>
            <sz val="12"/>
            <color rgb="FF000000"/>
            <rFont val="Calibri"/>
            <family val="2"/>
            <scheme val="minor"/>
          </rPr>
          <t xml:space="preserve">Hannah Saethereng:
</t>
        </r>
        <r>
          <rPr>
            <sz val="12"/>
            <color rgb="FF000000"/>
            <rFont val="Calibri"/>
            <family val="2"/>
            <scheme val="minor"/>
          </rPr>
          <t>Cash and short-term Capital are not included</t>
        </r>
      </text>
    </comment>
    <comment ref="AD59" authorId="1" shapeId="0" xr:uid="{9E16B947-5097-477D-9616-7A6C88A2FFE1}">
      <text>
        <r>
          <rPr>
            <sz val="12"/>
            <color rgb="FF000000"/>
            <rFont val="Calibri"/>
            <family val="2"/>
            <scheme val="minor"/>
          </rPr>
          <t xml:space="preserve">Hannah Saethereng:
</t>
        </r>
        <r>
          <rPr>
            <sz val="12"/>
            <color rgb="FF000000"/>
            <rFont val="Calibri"/>
            <family val="2"/>
            <scheme val="minor"/>
          </rPr>
          <t>Cash and short-term Capital are not included</t>
        </r>
      </text>
    </comment>
    <comment ref="B74" authorId="0" shapeId="0" xr:uid="{04035140-B8B1-4217-852E-F68F59A69E85}">
      <text>
        <r>
          <rPr>
            <b/>
            <sz val="10"/>
            <color rgb="FF000000"/>
            <rFont val="Tahoma"/>
            <family val="2"/>
          </rPr>
          <t>Hannah: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Need to take a look into this</t>
        </r>
      </text>
    </comment>
    <comment ref="I74" authorId="0" shapeId="0" xr:uid="{E73104FF-9DF7-4DB3-8B5A-F230C75D4F41}">
      <text>
        <r>
          <rPr>
            <b/>
            <sz val="10"/>
            <color rgb="FF000000"/>
            <rFont val="Tahoma"/>
            <family val="2"/>
          </rPr>
          <t>Hannah: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Need to take a look into this</t>
        </r>
      </text>
    </comment>
    <comment ref="P74" authorId="0" shapeId="0" xr:uid="{EB826275-9A2F-4C90-936F-405EC9B349D9}">
      <text>
        <r>
          <rPr>
            <b/>
            <sz val="10"/>
            <color rgb="FF000000"/>
            <rFont val="Tahoma"/>
            <family val="2"/>
          </rPr>
          <t>Hannah: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Need to take a look into this</t>
        </r>
      </text>
    </comment>
    <comment ref="W74" authorId="0" shapeId="0" xr:uid="{2B17E698-A4A6-417A-BFE6-5A804C9D5F5F}">
      <text>
        <r>
          <rPr>
            <b/>
            <sz val="10"/>
            <color rgb="FF000000"/>
            <rFont val="Tahoma"/>
            <family val="2"/>
          </rPr>
          <t>Hannah: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Need to take a look into this</t>
        </r>
      </text>
    </comment>
    <comment ref="AD74" authorId="0" shapeId="0" xr:uid="{7F27D2E0-E539-4321-9148-279B0C440FE2}">
      <text>
        <r>
          <rPr>
            <b/>
            <sz val="10"/>
            <color rgb="FF000000"/>
            <rFont val="Tahoma"/>
            <family val="2"/>
          </rPr>
          <t>Hannah: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Need to take a look into this</t>
        </r>
      </text>
    </comment>
    <comment ref="B83" authorId="1" shapeId="0" xr:uid="{11C5B3C7-37E9-443C-BF8A-E10F28E735A7}">
      <text>
        <r>
          <rPr>
            <sz val="12"/>
            <color rgb="FF000000"/>
            <rFont val="Calibri"/>
            <family val="2"/>
            <scheme val="minor"/>
          </rPr>
          <t xml:space="preserve">Hannah Saethereng:
</t>
        </r>
        <r>
          <rPr>
            <sz val="12"/>
            <color rgb="FF000000"/>
            <rFont val="Calibri"/>
            <family val="2"/>
            <scheme val="minor"/>
          </rPr>
          <t>Cash and short-term Capital are not included</t>
        </r>
      </text>
    </comment>
    <comment ref="I83" authorId="1" shapeId="0" xr:uid="{EEFFAAE3-9587-4068-A346-AD419F82A56A}">
      <text>
        <r>
          <rPr>
            <sz val="12"/>
            <color rgb="FF000000"/>
            <rFont val="Calibri"/>
            <family val="2"/>
            <scheme val="minor"/>
          </rPr>
          <t xml:space="preserve">Hannah Saethereng:
</t>
        </r>
        <r>
          <rPr>
            <sz val="12"/>
            <color rgb="FF000000"/>
            <rFont val="Calibri"/>
            <family val="2"/>
            <scheme val="minor"/>
          </rPr>
          <t>Cash and short-term Capital are not included</t>
        </r>
      </text>
    </comment>
    <comment ref="P83" authorId="1" shapeId="0" xr:uid="{DAA3B4CB-6220-4B31-9FC5-F90043B5195A}">
      <text>
        <r>
          <rPr>
            <sz val="12"/>
            <color rgb="FF000000"/>
            <rFont val="Calibri"/>
            <family val="2"/>
            <scheme val="minor"/>
          </rPr>
          <t xml:space="preserve">Hannah Saethereng:
</t>
        </r>
        <r>
          <rPr>
            <sz val="12"/>
            <color rgb="FF000000"/>
            <rFont val="Calibri"/>
            <family val="2"/>
            <scheme val="minor"/>
          </rPr>
          <t>Cash and short-term Capital are not included</t>
        </r>
      </text>
    </comment>
    <comment ref="W83" authorId="1" shapeId="0" xr:uid="{04E42AAC-047C-4F32-947F-60E78F2062A4}">
      <text>
        <r>
          <rPr>
            <sz val="12"/>
            <color rgb="FF000000"/>
            <rFont val="Calibri"/>
            <family val="2"/>
            <scheme val="minor"/>
          </rPr>
          <t xml:space="preserve">Hannah Saethereng:
</t>
        </r>
        <r>
          <rPr>
            <sz val="12"/>
            <color rgb="FF000000"/>
            <rFont val="Calibri"/>
            <family val="2"/>
            <scheme val="minor"/>
          </rPr>
          <t>Cash and short-term Capital are not included</t>
        </r>
      </text>
    </comment>
    <comment ref="AD83" authorId="1" shapeId="0" xr:uid="{9660CE00-3EF9-4B8E-9E38-41F33113A568}">
      <text>
        <r>
          <rPr>
            <sz val="12"/>
            <color rgb="FF000000"/>
            <rFont val="Calibri"/>
            <family val="2"/>
            <scheme val="minor"/>
          </rPr>
          <t xml:space="preserve">Hannah Saethereng:
</t>
        </r>
        <r>
          <rPr>
            <sz val="12"/>
            <color rgb="FF000000"/>
            <rFont val="Calibri"/>
            <family val="2"/>
            <scheme val="minor"/>
          </rPr>
          <t>Cash and short-term Capital are not included</t>
        </r>
      </text>
    </comment>
    <comment ref="B98" authorId="0" shapeId="0" xr:uid="{2D09656A-3C3A-4DA0-BCB4-81B161A5891E}">
      <text>
        <r>
          <rPr>
            <b/>
            <sz val="10"/>
            <color rgb="FF000000"/>
            <rFont val="Tahoma"/>
            <family val="2"/>
          </rPr>
          <t>Hannah: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Need to take a look into this</t>
        </r>
      </text>
    </comment>
    <comment ref="I98" authorId="0" shapeId="0" xr:uid="{0FAC83A9-0BAE-4771-AA8D-5461CAF90264}">
      <text>
        <r>
          <rPr>
            <b/>
            <sz val="10"/>
            <color rgb="FF000000"/>
            <rFont val="Tahoma"/>
            <family val="2"/>
          </rPr>
          <t>Hannah: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Need to take a look into this</t>
        </r>
      </text>
    </comment>
    <comment ref="P98" authorId="0" shapeId="0" xr:uid="{33D3D9FC-6705-4BFD-8578-E7927D3F992B}">
      <text>
        <r>
          <rPr>
            <b/>
            <sz val="10"/>
            <color rgb="FF000000"/>
            <rFont val="Tahoma"/>
            <family val="2"/>
          </rPr>
          <t>Hannah: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Need to take a look into this</t>
        </r>
      </text>
    </comment>
    <comment ref="W98" authorId="0" shapeId="0" xr:uid="{334EC0F2-B1EC-40A6-A3C3-294ACC7BB364}">
      <text>
        <r>
          <rPr>
            <b/>
            <sz val="10"/>
            <color rgb="FF000000"/>
            <rFont val="Tahoma"/>
            <family val="2"/>
          </rPr>
          <t>Hannah: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Need to take a look into this</t>
        </r>
      </text>
    </comment>
    <comment ref="AD98" authorId="0" shapeId="0" xr:uid="{804B6DDA-F05C-4B0C-AEEE-ED2DAF844967}">
      <text>
        <r>
          <rPr>
            <b/>
            <sz val="10"/>
            <color rgb="FF000000"/>
            <rFont val="Tahoma"/>
            <family val="2"/>
          </rPr>
          <t>Hannah: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Need to take a look into this</t>
        </r>
      </text>
    </comment>
    <comment ref="B107" authorId="1" shapeId="0" xr:uid="{277DED13-F719-4788-AD23-DB89D575B2CD}">
      <text>
        <r>
          <rPr>
            <sz val="12"/>
            <color rgb="FF000000"/>
            <rFont val="Calibri"/>
            <family val="2"/>
            <scheme val="minor"/>
          </rPr>
          <t xml:space="preserve">Hannah Saethereng:
</t>
        </r>
        <r>
          <rPr>
            <sz val="12"/>
            <color rgb="FF000000"/>
            <rFont val="Calibri"/>
            <family val="2"/>
            <scheme val="minor"/>
          </rPr>
          <t>Cash and short-term Capital are not included</t>
        </r>
      </text>
    </comment>
    <comment ref="I107" authorId="1" shapeId="0" xr:uid="{2F9553D3-7F2A-410A-BB79-645DF3002980}">
      <text>
        <r>
          <rPr>
            <sz val="12"/>
            <color rgb="FF000000"/>
            <rFont val="Calibri"/>
            <family val="2"/>
            <scheme val="minor"/>
          </rPr>
          <t xml:space="preserve">Hannah Saethereng:
</t>
        </r>
        <r>
          <rPr>
            <sz val="12"/>
            <color rgb="FF000000"/>
            <rFont val="Calibri"/>
            <family val="2"/>
            <scheme val="minor"/>
          </rPr>
          <t>Cash and short-term Capital are not included</t>
        </r>
      </text>
    </comment>
    <comment ref="P107" authorId="1" shapeId="0" xr:uid="{4191EFA3-6139-45A1-B645-9EB74946B3C5}">
      <text>
        <r>
          <rPr>
            <sz val="12"/>
            <color rgb="FF000000"/>
            <rFont val="Calibri"/>
            <family val="2"/>
            <scheme val="minor"/>
          </rPr>
          <t xml:space="preserve">Hannah Saethereng:
</t>
        </r>
        <r>
          <rPr>
            <sz val="12"/>
            <color rgb="FF000000"/>
            <rFont val="Calibri"/>
            <family val="2"/>
            <scheme val="minor"/>
          </rPr>
          <t>Cash and short-term Capital are not included</t>
        </r>
      </text>
    </comment>
    <comment ref="W107" authorId="1" shapeId="0" xr:uid="{E43336EF-550E-44EB-B5BA-D9EA680CA2B2}">
      <text>
        <r>
          <rPr>
            <sz val="12"/>
            <color rgb="FF000000"/>
            <rFont val="Calibri"/>
            <family val="2"/>
            <scheme val="minor"/>
          </rPr>
          <t xml:space="preserve">Hannah Saethereng:
</t>
        </r>
        <r>
          <rPr>
            <sz val="12"/>
            <color rgb="FF000000"/>
            <rFont val="Calibri"/>
            <family val="2"/>
            <scheme val="minor"/>
          </rPr>
          <t>Cash and short-term Capital are not included</t>
        </r>
      </text>
    </comment>
    <comment ref="AD107" authorId="1" shapeId="0" xr:uid="{26567394-307D-451C-B395-EC2F9135DF6C}">
      <text>
        <r>
          <rPr>
            <sz val="12"/>
            <color rgb="FF000000"/>
            <rFont val="Calibri"/>
            <family val="2"/>
            <scheme val="minor"/>
          </rPr>
          <t xml:space="preserve">Hannah Saethereng:
</t>
        </r>
        <r>
          <rPr>
            <sz val="12"/>
            <color rgb="FF000000"/>
            <rFont val="Calibri"/>
            <family val="2"/>
            <scheme val="minor"/>
          </rPr>
          <t>Cash and short-term Capital are not included</t>
        </r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2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<sst xmlns="http://schemas.openxmlformats.org/spreadsheetml/2006/main" count="952" uniqueCount="389">
  <si>
    <t>FactSet Filings Wizard</t>
  </si>
  <si>
    <t>TRAEGER INC</t>
  </si>
  <si>
    <t>COOK-US</t>
  </si>
  <si>
    <t>Annual Report - FY 2022 - Balance Sheet</t>
  </si>
  <si>
    <t>Open in Workstation</t>
  </si>
  <si>
    <t>Open in Web</t>
  </si>
  <si>
    <t>CONSOLIDATED BALANCE SHEETS - USD 
($) $ in Thousands</t>
  </si>
  <si>
    <t>LTM</t>
  </si>
  <si>
    <t>Dec. 31, 2019</t>
  </si>
  <si>
    <t>Dec. 31, 2020</t>
  </si>
  <si>
    <t>Dec. 31, 2021</t>
  </si>
  <si>
    <t>Dec. 31, 2022</t>
  </si>
  <si>
    <t>Sep. 30, 2023</t>
  </si>
  <si>
    <t>Current Assets</t>
  </si>
  <si>
    <t>Cash and cash equivalents</t>
  </si>
  <si>
    <t>Restricted cash</t>
  </si>
  <si>
    <t>Accounts receivable, net</t>
  </si>
  <si>
    <t>Inventories</t>
  </si>
  <si>
    <t>Prepaid expenses and other current assets</t>
  </si>
  <si>
    <t>Total current assets</t>
  </si>
  <si>
    <t>Property, plant, and equipment, net</t>
  </si>
  <si>
    <t>Operating lease right-of-use assets</t>
  </si>
  <si>
    <t>Goodwill</t>
  </si>
  <si>
    <t>Intangible assets, net</t>
  </si>
  <si>
    <t>Other long-term assets</t>
  </si>
  <si>
    <t>Total assets</t>
  </si>
  <si>
    <t>Current Liabilities</t>
  </si>
  <si>
    <t>Accounts payable</t>
  </si>
  <si>
    <t>Accrued expenses</t>
  </si>
  <si>
    <t>Line of credit</t>
  </si>
  <si>
    <t>Current portion of notes payable</t>
  </si>
  <si>
    <t>Current portion of operating lease liabilities</t>
  </si>
  <si>
    <t>Current portion of contingent consideration</t>
  </si>
  <si>
    <t>Other current liabilities</t>
  </si>
  <si>
    <t>Total current liabilities</t>
  </si>
  <si>
    <t>Notes payable, net of current portion</t>
  </si>
  <si>
    <t>Capital leases, net of current portion</t>
  </si>
  <si>
    <t>Operating lease liabilities, net of current portion</t>
  </si>
  <si>
    <t>Contingent consideration, net of current portion</t>
  </si>
  <si>
    <t>Deferred tax liability</t>
  </si>
  <si>
    <t>Other non-current liabilities</t>
  </si>
  <si>
    <t>Total liabilities</t>
  </si>
  <si>
    <t>Commitments and contingencies (see Note 14)</t>
  </si>
  <si>
    <t>-</t>
  </si>
  <si>
    <t>Stockholders' equity</t>
  </si>
  <si>
    <t>Preferred stock, $0.0001 par value; 25,000,000 shares authorized and no shares issued or outstanding as of December 31, 2022 and 2021</t>
  </si>
  <si>
    <t xml:space="preserve"> — </t>
  </si>
  <si>
    <t>Common stock value</t>
  </si>
  <si>
    <t>Member's capital</t>
  </si>
  <si>
    <t>Additional paid-in capital</t>
  </si>
  <si>
    <t>Accumulated deficit</t>
  </si>
  <si>
    <t>Accumulated other comprehensive income (loss)</t>
  </si>
  <si>
    <t>Total stockholders' equity</t>
  </si>
  <si>
    <t>Total liabilities and stockholders' equity</t>
  </si>
  <si>
    <t>Annual Report - FY 2022 - Cash Flow Statement</t>
  </si>
  <si>
    <t>CONSOLIDATED STATEMENTS OF CASH FLOWS - USD 
($)</t>
  </si>
  <si>
    <t>12 Months Ended Dec. 31, 2019</t>
  </si>
  <si>
    <t>12 Months Ended Dec. 31, 2020</t>
  </si>
  <si>
    <t>12 Months Ended Dec. 31, 2021</t>
  </si>
  <si>
    <t>12 Months Ended Dec. 31, 2022</t>
  </si>
  <si>
    <t>CASH FLOWS FROM OPERATING ACTIVITIES</t>
  </si>
  <si>
    <t>Net income (loss)</t>
  </si>
  <si>
    <t>Adjustments to reconcile net income (loss) to net cash provided by (used in) operating activities:</t>
  </si>
  <si>
    <t>Depreciation of property, plant, and equipment</t>
  </si>
  <si>
    <t>Amortization of intangible assets</t>
  </si>
  <si>
    <t>Amortization of deferred financing costs</t>
  </si>
  <si>
    <t>Loss on disposal of property, plant, and equipment</t>
  </si>
  <si>
    <t>Loss on extinguishment of debt</t>
  </si>
  <si>
    <t>Equity-based compensation expense</t>
  </si>
  <si>
    <t>Bad debt expense</t>
  </si>
  <si>
    <t>Unrealized loss (gain) on derivative contracts</t>
  </si>
  <si>
    <t>Change in fair value of contingent consideration</t>
  </si>
  <si>
    <t>Goodwill impairment</t>
  </si>
  <si>
    <t>Restructuring costs</t>
  </si>
  <si>
    <t>Other non-cash adjustments</t>
  </si>
  <si>
    <t>Change in operating assets and liabilities:</t>
  </si>
  <si>
    <t>Accounts receivable</t>
  </si>
  <si>
    <t>Other non-current assets</t>
  </si>
  <si>
    <t>Accounts payable and accrued expenses</t>
  </si>
  <si>
    <t>Net cash provided by (used in) operating activities</t>
  </si>
  <si>
    <t>CASH FLOWS FROM INVESTING ACTIVITIES</t>
  </si>
  <si>
    <t>Purchase of property, plant, and equipment</t>
  </si>
  <si>
    <t>Capitalization of patent costs</t>
  </si>
  <si>
    <t>Proceeds from notes receivable</t>
  </si>
  <si>
    <t>Business combination, net of cash acquired</t>
  </si>
  <si>
    <t>Net cash used in investing activities</t>
  </si>
  <si>
    <t>CASH FLOWS FROM FINANCING ACTIVITIES</t>
  </si>
  <si>
    <t>Proceeds from line of credit</t>
  </si>
  <si>
    <t>Repayments on line of credit</t>
  </si>
  <si>
    <t>Proceeds from long-term debt</t>
  </si>
  <si>
    <t>Payment of deferred financing costs</t>
  </si>
  <si>
    <t>Repayments of long-term debt</t>
  </si>
  <si>
    <t>Principal payments on finance lease liabilities</t>
  </si>
  <si>
    <t>Payment of acquisition related contingent consideration</t>
  </si>
  <si>
    <t>Taxes paid related to net share settlement of equity awards</t>
  </si>
  <si>
    <t>Proceeds from initial public offering, net of issuance costs</t>
  </si>
  <si>
    <t>Distribution to members</t>
  </si>
  <si>
    <t>Net cash provided by (used in) financing activities</t>
  </si>
  <si>
    <t>Net increase in cash, cash equivalents, and restricted cash</t>
  </si>
  <si>
    <t>CASH, CASH EQUIVALENTS, AND RESTRICTED CASH AT END OF PERIOD</t>
  </si>
  <si>
    <t>SUPPLEMENTAL DISCLOSURES OF CASH FLOW INFORMATION:</t>
  </si>
  <si>
    <t>Cash paid during the period for interest</t>
  </si>
  <si>
    <t>Cash paid for income taxes</t>
  </si>
  <si>
    <t>NON-CASH FINANCING AND INVESTING ACTIVITIES</t>
  </si>
  <si>
    <t>Equipment purchased under finance leases</t>
  </si>
  <si>
    <t>Property, plant, and equipment included in accounts payable and accrued expenses</t>
  </si>
  <si>
    <t>Unpaid amount for acquisition of subsidiaries included in accrued expenses</t>
  </si>
  <si>
    <t>Annual Report - FY 2022 - Income Statement</t>
  </si>
  <si>
    <t>CONSOLIDATED STATEMENTS OF OPERATIONS AND COMPREHENSIVE INCOME 
(LOSS) - USD 
($)</t>
  </si>
  <si>
    <t xml:space="preserve"> Sep. 30, 2023</t>
  </si>
  <si>
    <t>9 Months Ended Sep. 30, 2023</t>
  </si>
  <si>
    <t>9 Months Ended Sep. 30, 2022</t>
  </si>
  <si>
    <t>Q4 2022</t>
  </si>
  <si>
    <t>3 Months Ended Sep. 30, 2023</t>
  </si>
  <si>
    <t>Income Statement [Abstract]</t>
  </si>
  <si>
    <t>Revenue</t>
  </si>
  <si>
    <t>Cost of revenue</t>
  </si>
  <si>
    <t>Gross profit</t>
  </si>
  <si>
    <t>Operating expense:</t>
  </si>
  <si>
    <t>Sales and marketing</t>
  </si>
  <si>
    <t>General and administrative</t>
  </si>
  <si>
    <t>Total operating expense</t>
  </si>
  <si>
    <t>Income (loss) from operations</t>
  </si>
  <si>
    <t>Other income (expense):</t>
  </si>
  <si>
    <t>Interest expense</t>
  </si>
  <si>
    <t>Other income (expense)</t>
  </si>
  <si>
    <t>Total other expense</t>
  </si>
  <si>
    <t>Income (loss) before provision for income taxes</t>
  </si>
  <si>
    <t>Provision for income taxes</t>
  </si>
  <si>
    <t>Net income (loss) per share - basic (in dollars per share)</t>
  </si>
  <si>
    <t>Net income (loss) per share - diluted (in dollars per share)</t>
  </si>
  <si>
    <t>Weighted average common shares outstanding - basic (in shares)</t>
  </si>
  <si>
    <t>Weighted average common shares outstanding - diluted (in shares)</t>
  </si>
  <si>
    <t>Other comprehensive income (loss):</t>
  </si>
  <si>
    <t>Foreign currency translation adjustments</t>
  </si>
  <si>
    <t>Change in cash flow hedge</t>
  </si>
  <si>
    <t>Amortization of dedesignated cash flow hedge</t>
  </si>
  <si>
    <t>Total other comprehensive income</t>
  </si>
  <si>
    <t>Comprehensive income (loss)</t>
  </si>
  <si>
    <t>Income Statement</t>
  </si>
  <si>
    <t>Check</t>
  </si>
  <si>
    <t>Historicals</t>
  </si>
  <si>
    <t>Forcasts</t>
  </si>
  <si>
    <t>30/09/2023</t>
  </si>
  <si>
    <t>NTM</t>
  </si>
  <si>
    <t>Q3</t>
  </si>
  <si>
    <t>Q4</t>
  </si>
  <si>
    <t>9 months end</t>
  </si>
  <si>
    <t>COGS</t>
  </si>
  <si>
    <t>Gross Income</t>
  </si>
  <si>
    <t>S&amp;M</t>
  </si>
  <si>
    <t>Other Operating Expenses</t>
  </si>
  <si>
    <t>EBITDA</t>
  </si>
  <si>
    <t>Depreciation</t>
  </si>
  <si>
    <t>Amortization</t>
  </si>
  <si>
    <t>EBIT</t>
  </si>
  <si>
    <t>Intrest Expense</t>
  </si>
  <si>
    <t>Other Expenses</t>
  </si>
  <si>
    <t>Taxes</t>
  </si>
  <si>
    <t>Net Income</t>
  </si>
  <si>
    <t>Revenue Growth Rate</t>
  </si>
  <si>
    <t>COGS as percent of revenue</t>
  </si>
  <si>
    <t>Gross Income growth rate</t>
  </si>
  <si>
    <t>S&amp;M as percent of revenue</t>
  </si>
  <si>
    <t>Dep as Percentage of PP&amp;E</t>
  </si>
  <si>
    <t>Net Income growth rate</t>
  </si>
  <si>
    <t>Balance Sheet</t>
  </si>
  <si>
    <t>Assets</t>
  </si>
  <si>
    <t>Cash</t>
  </si>
  <si>
    <t>Acounts Recivable</t>
  </si>
  <si>
    <t>Inventory</t>
  </si>
  <si>
    <t>Other Current Assets</t>
  </si>
  <si>
    <t>Total Current Assets</t>
  </si>
  <si>
    <t>PP&amp;E</t>
  </si>
  <si>
    <t>Other Intagible assets</t>
  </si>
  <si>
    <t>Other assets</t>
  </si>
  <si>
    <t>Total Long-Term Assets</t>
  </si>
  <si>
    <t>Total Assets</t>
  </si>
  <si>
    <t>Liabilities and Shareholders' Equity</t>
  </si>
  <si>
    <t>Accounts Payable</t>
  </si>
  <si>
    <t>Accrued Liabilities</t>
  </si>
  <si>
    <t xml:space="preserve">ST Debt </t>
  </si>
  <si>
    <t>Other Current Liabilities</t>
  </si>
  <si>
    <t>Total Current liabilities</t>
  </si>
  <si>
    <t>Long-Term Debt</t>
  </si>
  <si>
    <t>Other Long-Term Liabilities</t>
  </si>
  <si>
    <t>Total Long-Term Liabilities</t>
  </si>
  <si>
    <t>Total Liabilities</t>
  </si>
  <si>
    <t>Total Equity</t>
  </si>
  <si>
    <t>Total Liabilities and Shareholders' Equity</t>
  </si>
  <si>
    <t>Balance</t>
  </si>
  <si>
    <t>Working Capital</t>
  </si>
  <si>
    <t>Change in Working Capital</t>
  </si>
  <si>
    <t>ST Debt as percent of Accounts Receivable</t>
  </si>
  <si>
    <t>Days Sales Outstanding</t>
  </si>
  <si>
    <t>Inventory Turnover Ratio</t>
  </si>
  <si>
    <t>CapEx as percent of Rev</t>
  </si>
  <si>
    <t>Should match the one above:</t>
  </si>
  <si>
    <t>Debt to EBITDA</t>
  </si>
  <si>
    <t>Cash Flow Statement</t>
  </si>
  <si>
    <t>Cash Provided (used) by Operations</t>
  </si>
  <si>
    <t>NWC</t>
  </si>
  <si>
    <t>Other Non-Cash (expenses) income</t>
  </si>
  <si>
    <t>Decrease (increase) in Receivables</t>
  </si>
  <si>
    <t>Change</t>
  </si>
  <si>
    <t>Decrease (increase) in Inventories</t>
  </si>
  <si>
    <t>Decrease (increase) in Other Current Assets</t>
  </si>
  <si>
    <t>Increase (decrease) in  Accounts Payable</t>
  </si>
  <si>
    <t>Increase (decrease) in  Accrued Liabilities</t>
  </si>
  <si>
    <t>Increase (decrease) in  Other Current Liabilities</t>
  </si>
  <si>
    <t>Cash Provided (used) by Investments</t>
  </si>
  <si>
    <t>Capital Expenditures</t>
  </si>
  <si>
    <t>Acqusitions</t>
  </si>
  <si>
    <t>Other Investing Activities</t>
  </si>
  <si>
    <t>Cash Provided (used) by Financing Activities</t>
  </si>
  <si>
    <t>Additions (reductions) to short-term Debt</t>
  </si>
  <si>
    <t>Additions (reductions) to Long-Term Debt</t>
  </si>
  <si>
    <t>Net Issues (repurchases) of Stock</t>
  </si>
  <si>
    <t>Dividends (Paid)</t>
  </si>
  <si>
    <t>Other Financing Activities</t>
  </si>
  <si>
    <t>Cash Provided (used) by Fin. Activities</t>
  </si>
  <si>
    <t>Net increase (decrease) in cash</t>
  </si>
  <si>
    <t>Beginning Cash Balance</t>
  </si>
  <si>
    <t>Ending Cash Balance</t>
  </si>
  <si>
    <t>DCF</t>
  </si>
  <si>
    <t>Tax rate</t>
  </si>
  <si>
    <t xml:space="preserve">Long-term growth rate </t>
  </si>
  <si>
    <t>WACC before 02/28/2026</t>
  </si>
  <si>
    <t>WACC after 02/28/2026</t>
  </si>
  <si>
    <t>EBIT (adjusted for tax)</t>
  </si>
  <si>
    <t>*not adjusted for tax</t>
  </si>
  <si>
    <t>Capex</t>
  </si>
  <si>
    <t>Depreciation/amortization</t>
  </si>
  <si>
    <t>FCF</t>
  </si>
  <si>
    <t>Discounted FCF</t>
  </si>
  <si>
    <t>Sum of PV FCF</t>
  </si>
  <si>
    <t>Terminal Value GGM</t>
  </si>
  <si>
    <t>PV of Terminal Value</t>
  </si>
  <si>
    <t>Value</t>
  </si>
  <si>
    <t xml:space="preserve">NTM Rev Multiple </t>
  </si>
  <si>
    <t>LTM Rev Multiple</t>
  </si>
  <si>
    <t>Diluted Shares from FactSet</t>
  </si>
  <si>
    <t>Per share value</t>
  </si>
  <si>
    <t>Shares outstanding</t>
  </si>
  <si>
    <t>WACC</t>
  </si>
  <si>
    <t>FactSet</t>
  </si>
  <si>
    <t>Column1</t>
  </si>
  <si>
    <t>Column2</t>
  </si>
  <si>
    <t>*3 year raw beta from FactSet</t>
  </si>
  <si>
    <t xml:space="preserve">Risk Free Rate </t>
  </si>
  <si>
    <t>*3 year adjusted beta from FactSet</t>
  </si>
  <si>
    <t>Beta</t>
  </si>
  <si>
    <t>*From Matt's file</t>
  </si>
  <si>
    <t>Equity Risk Premium</t>
  </si>
  <si>
    <t>CAPM</t>
  </si>
  <si>
    <t xml:space="preserve">Cost of Debt </t>
  </si>
  <si>
    <t>Cost of Debt after 02/28/2026</t>
  </si>
  <si>
    <t>Debt to Asset</t>
  </si>
  <si>
    <t>Equity To Asset</t>
  </si>
  <si>
    <t>Price History: SP50</t>
  </si>
  <si>
    <t>Price History: COOK</t>
  </si>
  <si>
    <t>Return</t>
  </si>
  <si>
    <t>Date</t>
  </si>
  <si>
    <t>Price</t>
  </si>
  <si>
    <t>SP50</t>
  </si>
  <si>
    <t>COOK</t>
  </si>
  <si>
    <t>Average</t>
  </si>
  <si>
    <t>Issue Date</t>
  </si>
  <si>
    <t xml:space="preserve">Maturity Date </t>
  </si>
  <si>
    <t>Term</t>
  </si>
  <si>
    <t>Rate</t>
  </si>
  <si>
    <t>Fee</t>
  </si>
  <si>
    <t>Available Credit</t>
  </si>
  <si>
    <t>Revolving Credit Facility</t>
  </si>
  <si>
    <t>we are required to maintain a First Lien Net Leverage Ratio (as defined in the First Lien Credit Agreement) not to exceed 6.20 to 1.00.</t>
  </si>
  <si>
    <t>First Lien Term Loan Facility</t>
  </si>
  <si>
    <t>our springing First Lien Net Leverage Ratio covenant will be increased from 6.20 : 1.00 to 8.50 : 1.00 and a minimum liquidity covenant of $35.0 million will be in effect.</t>
  </si>
  <si>
    <t>“Fixed Dollar Amount” definition shall decrease from $127.0 million to $102.0 million, and the use of certain restricted payments baskets will be reduced or eliminated entirely.</t>
  </si>
  <si>
    <t>Revolver Intrest Expense</t>
  </si>
  <si>
    <t>Long Term Debt Intrest expense</t>
  </si>
  <si>
    <t>Total Yearly Intrest Expense</t>
  </si>
  <si>
    <t>Required Payments Revolver</t>
  </si>
  <si>
    <t>Required Payments Long term</t>
  </si>
  <si>
    <t>Total Yearly Required Payment</t>
  </si>
  <si>
    <t>Locked in Eurocurrency Base Rate</t>
  </si>
  <si>
    <t>Applicible Rate</t>
  </si>
  <si>
    <t>https://www.chathamfinancial.com/technology/us-forward-curves</t>
  </si>
  <si>
    <t>Rate before 02/28/2026</t>
  </si>
  <si>
    <t>SOFR 1-month feb 2026</t>
  </si>
  <si>
    <t>Add to SOFR</t>
  </si>
  <si>
    <t>Rate after 02/28/2026</t>
  </si>
  <si>
    <t>Traeger, Inc. (COOK)</t>
  </si>
  <si>
    <t>$2.72</t>
  </si>
  <si>
    <t>Comps Tables - Named Competitors</t>
  </si>
  <si>
    <t>EV Valuation</t>
  </si>
  <si>
    <t>Market</t>
  </si>
  <si>
    <t>Long</t>
  </si>
  <si>
    <t>EV/</t>
  </si>
  <si>
    <t>Enterprise</t>
  </si>
  <si>
    <t>Company</t>
  </si>
  <si>
    <t>Fiscal</t>
  </si>
  <si>
    <t>Shares</t>
  </si>
  <si>
    <t>Shares Out</t>
  </si>
  <si>
    <t>Total</t>
  </si>
  <si>
    <t>Preferred</t>
  </si>
  <si>
    <t>Accumulated</t>
  </si>
  <si>
    <t>Cash &amp;</t>
  </si>
  <si>
    <t>Sales (x)</t>
  </si>
  <si>
    <t>EV/EBITDA</t>
  </si>
  <si>
    <t>Name</t>
  </si>
  <si>
    <t>Ticker</t>
  </si>
  <si>
    <t>Period</t>
  </si>
  <si>
    <t>Outstanding</t>
  </si>
  <si>
    <t>(Diluted)</t>
  </si>
  <si>
    <t>Diluted</t>
  </si>
  <si>
    <t>Debt</t>
  </si>
  <si>
    <t>Stock</t>
  </si>
  <si>
    <t>Min Interest</t>
  </si>
  <si>
    <t>ST Inv</t>
  </si>
  <si>
    <t>Sales</t>
  </si>
  <si>
    <t>NTM (x)</t>
  </si>
  <si>
    <t>EBITDA (x)</t>
  </si>
  <si>
    <t>Vista Outdoor</t>
  </si>
  <si>
    <t>VSTO-US</t>
  </si>
  <si>
    <t>09/24/2023</t>
  </si>
  <si>
    <t>Solo Brands A</t>
  </si>
  <si>
    <t>DTC-US</t>
  </si>
  <si>
    <t>09/30/2023</t>
  </si>
  <si>
    <t>YETI Holdings</t>
  </si>
  <si>
    <t>YETI-US</t>
  </si>
  <si>
    <t>Lovesac</t>
  </si>
  <si>
    <t>LOVE-US</t>
  </si>
  <si>
    <t>10/29/2023</t>
  </si>
  <si>
    <t>Peloton Interactive A</t>
  </si>
  <si>
    <t>PTON-US</t>
  </si>
  <si>
    <t>Fox Factory Holding</t>
  </si>
  <si>
    <t>FOXF-US</t>
  </si>
  <si>
    <t>09/29/2023</t>
  </si>
  <si>
    <t>Thule Grp UnSp ADR</t>
  </si>
  <si>
    <t>THUPY-US</t>
  </si>
  <si>
    <t>Median</t>
  </si>
  <si>
    <t>Currency Dropdown Widget</t>
  </si>
  <si>
    <t>Percentile</t>
  </si>
  <si>
    <t>Traeger</t>
  </si>
  <si>
    <t>Ratio Model Price Sensitivity</t>
  </si>
  <si>
    <t>25th Percentile</t>
  </si>
  <si>
    <t>75th Percentile</t>
  </si>
  <si>
    <t>Weber Acqusition</t>
  </si>
  <si>
    <t>Price Target</t>
  </si>
  <si>
    <t>Market Value (Sales)</t>
  </si>
  <si>
    <t>Enterprise Value (Sales)</t>
  </si>
  <si>
    <t>Enterprise Ratio Target</t>
  </si>
  <si>
    <t>EV/Sales</t>
  </si>
  <si>
    <t>*Weber's Sales Multiple</t>
  </si>
  <si>
    <t>25 Percentile</t>
  </si>
  <si>
    <t>75 percentile</t>
  </si>
  <si>
    <t>Market Value(EBITDA NTM)</t>
  </si>
  <si>
    <t>Enterprise Value(NTM EBITDA)</t>
  </si>
  <si>
    <t>Method</t>
  </si>
  <si>
    <t>Weighting</t>
  </si>
  <si>
    <t xml:space="preserve">Target Price </t>
  </si>
  <si>
    <t>Traeger Sales Multiple</t>
  </si>
  <si>
    <t>Capital expenditure</t>
  </si>
  <si>
    <t>Life of the asset</t>
  </si>
  <si>
    <t>Total Depreciation</t>
  </si>
  <si>
    <t>Opening Balance</t>
  </si>
  <si>
    <t>Closing Balance</t>
  </si>
  <si>
    <t>Sensitivity Model</t>
  </si>
  <si>
    <t>Chosen WACC</t>
  </si>
  <si>
    <t>Chosen Growth rate</t>
  </si>
  <si>
    <t>Increments</t>
  </si>
  <si>
    <t>DCF Sensitivity Analysis</t>
  </si>
  <si>
    <t>Long-term growth rate</t>
  </si>
  <si>
    <t>Financial Analysis</t>
  </si>
  <si>
    <t>2017-2021</t>
  </si>
  <si>
    <t>2021-2023</t>
  </si>
  <si>
    <t>2017-2023</t>
  </si>
  <si>
    <t>CAGR</t>
  </si>
  <si>
    <t>2023E</t>
  </si>
  <si>
    <t>2024E</t>
  </si>
  <si>
    <t>2025E</t>
  </si>
  <si>
    <t>2026E</t>
  </si>
  <si>
    <t>2027E</t>
  </si>
  <si>
    <t>%Change</t>
  </si>
  <si>
    <t>Total Debt</t>
  </si>
  <si>
    <t>LT Debt-to-EBITDA Ratio</t>
  </si>
  <si>
    <t>Gross Margin</t>
  </si>
  <si>
    <t>Operating Margin (EBITDA)</t>
  </si>
  <si>
    <t>Why did sales dropp a lot in 2022-23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</si>
</sst>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%"/>
    <numFmt numFmtId="165" formatCode="_(* #,##0_);_(* \(#,##0\);_(* &quot;-&quot;??_);_(@_)"/>
    <numFmt numFmtId="166" formatCode="_(* #,##0.000_);_(* \(#,##0.000\);_(* &quot;-&quot;??_);_(@_)"/>
    <numFmt numFmtId="167" formatCode="mm/dd/yy"/>
    <numFmt numFmtId="168" formatCode="\$#,###"/>
    <numFmt numFmtId="169" formatCode="#,###"/>
    <numFmt numFmtId="170" formatCode="\$#,##0.00"/>
    <numFmt numFmtId="171" formatCode="_([$$-409]* #,##0.00_);_([$$-409]* \(#,##0.00\);_([$$-409]* &quot;-&quot;??_);_(@_)"/>
    <numFmt numFmtId="172" formatCode="0.0000"/>
    <numFmt numFmtId="173" formatCode="#,##0.0"/>
    <numFmt numFmtId="174" formatCode="#,##0.00\x"/>
    <numFmt numFmtId="175" formatCode="_(&quot;$&quot;* #,##0.000_);_(&quot;$&quot;* \(#,##0.000\);_(&quot;$&quot;* &quot;-&quot;??_);_(@_)"/>
  </numFmts>
  <fonts count="2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rgb="FF000000"/>
      <name val="Times New Roman"/>
      <family val="1"/>
    </font>
    <font>
      <b/>
      <sz val="10"/>
      <color rgb="FF000000"/>
      <name val="Arial"/>
      <family val="2"/>
    </font>
    <font>
      <u/>
      <sz val="10"/>
      <color rgb="FF0000FF"/>
      <name val="Arial"/>
      <family val="2"/>
    </font>
    <font>
      <b/>
      <u/>
      <sz val="10"/>
      <color rgb="FF003366"/>
      <name val="Arial"/>
      <family val="2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b/>
      <sz val="16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rgb="FFFF0000"/>
      <name val="Arial"/>
      <family val="2"/>
    </font>
    <font>
      <sz val="12"/>
      <color theme="4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  <fill>
      <patternFill patternType="solid">
        <fgColor rgb="FFC8C8C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48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indexed="64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 style="thin">
        <color indexed="64"/>
      </bottom>
      <diagonal/>
    </border>
    <border>
      <left style="thin">
        <color indexed="64"/>
      </left>
      <right/>
      <top style="medium">
        <color rgb="FF000000"/>
      </top>
      <bottom style="thin">
        <color indexed="64"/>
      </bottom>
      <diagonal/>
    </border>
    <border>
      <left/>
      <right style="medium">
        <color rgb="FF000000"/>
      </right>
      <top style="medium">
        <color rgb="FF000000"/>
      </top>
      <bottom style="thin">
        <color indexed="64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double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rgb="FF000000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rgb="FF000000"/>
      </left>
      <right style="medium">
        <color indexed="64"/>
      </right>
      <top/>
      <bottom style="thin">
        <color rgb="FF000000"/>
      </bottom>
      <diagonal/>
    </border>
    <border>
      <left style="thin">
        <color rgb="FF000000"/>
      </left>
      <right style="medium">
        <color indexed="64"/>
      </right>
      <top/>
      <bottom/>
      <diagonal/>
    </border>
    <border>
      <left style="thin">
        <color rgb="FF000000"/>
      </left>
      <right style="medium">
        <color indexed="64"/>
      </right>
      <top style="thin">
        <color rgb="FF000000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8">
    <xf numFmtId="0" fontId="0" fillId="0" borderId="0"/>
    <xf numFmtId="9" fontId="1" fillId="0" borderId="0" applyFont="0" applyFill="0" applyBorder="0" applyAlignment="0" applyProtection="0"/>
    <xf numFmtId="0" fontId="3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12" fillId="0" borderId="0"/>
    <xf numFmtId="44" fontId="3" fillId="0" borderId="0" applyFont="0" applyFill="0" applyBorder="0" applyAlignment="0" applyProtection="0"/>
  </cellStyleXfs>
  <cellXfs count="292">
    <xf numFmtId="0" fontId="0" fillId="0" borderId="0" xfId="0"/>
    <xf numFmtId="0" fontId="2" fillId="0" borderId="0" xfId="0" applyFont="1"/>
    <xf numFmtId="0" fontId="3" fillId="0" borderId="0" xfId="2"/>
    <xf numFmtId="0" fontId="4" fillId="0" borderId="0" xfId="2" applyFont="1"/>
    <xf numFmtId="0" fontId="0" fillId="0" borderId="3" xfId="0" applyBorder="1"/>
    <xf numFmtId="4" fontId="0" fillId="0" borderId="0" xfId="0" applyNumberFormat="1"/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9" fontId="0" fillId="0" borderId="0" xfId="0" applyNumberFormat="1"/>
    <xf numFmtId="164" fontId="0" fillId="0" borderId="0" xfId="1" applyNumberFormat="1" applyFont="1"/>
    <xf numFmtId="164" fontId="0" fillId="0" borderId="3" xfId="1" applyNumberFormat="1" applyFont="1" applyBorder="1"/>
    <xf numFmtId="164" fontId="0" fillId="0" borderId="6" xfId="1" applyNumberFormat="1" applyFont="1" applyBorder="1"/>
    <xf numFmtId="14" fontId="0" fillId="0" borderId="0" xfId="0" applyNumberFormat="1"/>
    <xf numFmtId="9" fontId="2" fillId="0" borderId="7" xfId="0" applyNumberFormat="1" applyFont="1" applyBorder="1"/>
    <xf numFmtId="164" fontId="2" fillId="0" borderId="7" xfId="1" applyNumberFormat="1" applyFont="1" applyBorder="1"/>
    <xf numFmtId="164" fontId="2" fillId="0" borderId="6" xfId="1" applyNumberFormat="1" applyFont="1" applyBorder="1"/>
    <xf numFmtId="164" fontId="0" fillId="0" borderId="0" xfId="1" applyNumberFormat="1" applyFont="1" applyFill="1"/>
    <xf numFmtId="0" fontId="2" fillId="0" borderId="7" xfId="0" applyFont="1" applyBorder="1"/>
    <xf numFmtId="0" fontId="2" fillId="0" borderId="8" xfId="0" applyFont="1" applyBorder="1"/>
    <xf numFmtId="0" fontId="7" fillId="0" borderId="3" xfId="0" applyFont="1" applyBorder="1"/>
    <xf numFmtId="0" fontId="8" fillId="0" borderId="0" xfId="0" applyFont="1"/>
    <xf numFmtId="0" fontId="8" fillId="0" borderId="3" xfId="0" applyFont="1" applyBorder="1"/>
    <xf numFmtId="165" fontId="8" fillId="0" borderId="0" xfId="3" applyNumberFormat="1" applyFont="1" applyBorder="1"/>
    <xf numFmtId="0" fontId="7" fillId="0" borderId="0" xfId="0" applyFont="1"/>
    <xf numFmtId="0" fontId="9" fillId="0" borderId="3" xfId="0" applyFont="1" applyBorder="1"/>
    <xf numFmtId="166" fontId="0" fillId="0" borderId="0" xfId="0" applyNumberFormat="1"/>
    <xf numFmtId="0" fontId="9" fillId="0" borderId="5" xfId="0" applyFont="1" applyBorder="1"/>
    <xf numFmtId="166" fontId="0" fillId="0" borderId="4" xfId="0" applyNumberFormat="1" applyBorder="1"/>
    <xf numFmtId="2" fontId="0" fillId="0" borderId="0" xfId="0" applyNumberFormat="1"/>
    <xf numFmtId="0" fontId="0" fillId="0" borderId="10" xfId="0" applyBorder="1"/>
    <xf numFmtId="0" fontId="0" fillId="0" borderId="11" xfId="0" applyBorder="1"/>
    <xf numFmtId="0" fontId="2" fillId="0" borderId="0" xfId="0" applyFont="1" applyAlignment="1">
      <alignment horizontal="center"/>
    </xf>
    <xf numFmtId="0" fontId="2" fillId="0" borderId="10" xfId="0" applyFont="1" applyBorder="1"/>
    <xf numFmtId="165" fontId="0" fillId="0" borderId="0" xfId="3" applyNumberFormat="1" applyFont="1"/>
    <xf numFmtId="165" fontId="0" fillId="0" borderId="10" xfId="3" applyNumberFormat="1" applyFont="1" applyBorder="1"/>
    <xf numFmtId="165" fontId="2" fillId="0" borderId="0" xfId="3" applyNumberFormat="1" applyFont="1"/>
    <xf numFmtId="2" fontId="2" fillId="0" borderId="0" xfId="0" applyNumberFormat="1" applyFont="1"/>
    <xf numFmtId="10" fontId="0" fillId="0" borderId="0" xfId="0" applyNumberFormat="1"/>
    <xf numFmtId="4" fontId="0" fillId="2" borderId="0" xfId="0" applyNumberFormat="1" applyFill="1" applyAlignment="1">
      <alignment horizontal="right"/>
    </xf>
    <xf numFmtId="167" fontId="0" fillId="2" borderId="0" xfId="0" applyNumberFormat="1" applyFill="1"/>
    <xf numFmtId="4" fontId="0" fillId="0" borderId="0" xfId="0" applyNumberFormat="1" applyAlignment="1">
      <alignment horizontal="right"/>
    </xf>
    <xf numFmtId="167" fontId="0" fillId="0" borderId="0" xfId="0" applyNumberFormat="1"/>
    <xf numFmtId="0" fontId="4" fillId="3" borderId="0" xfId="0" applyFont="1" applyFill="1" applyAlignment="1">
      <alignment horizontal="left"/>
    </xf>
    <xf numFmtId="0" fontId="4" fillId="0" borderId="0" xfId="0" applyFont="1"/>
    <xf numFmtId="10" fontId="0" fillId="0" borderId="0" xfId="1" applyNumberFormat="1" applyFont="1"/>
    <xf numFmtId="164" fontId="0" fillId="0" borderId="0" xfId="0" applyNumberFormat="1"/>
    <xf numFmtId="164" fontId="1" fillId="0" borderId="0" xfId="1" applyNumberFormat="1" applyFont="1" applyFill="1" applyBorder="1"/>
    <xf numFmtId="164" fontId="0" fillId="0" borderId="0" xfId="1" applyNumberFormat="1" applyFont="1" applyBorder="1"/>
    <xf numFmtId="164" fontId="1" fillId="0" borderId="3" xfId="1" applyNumberFormat="1" applyFont="1" applyFill="1" applyBorder="1"/>
    <xf numFmtId="2" fontId="0" fillId="0" borderId="3" xfId="0" applyNumberFormat="1" applyBorder="1"/>
    <xf numFmtId="164" fontId="1" fillId="4" borderId="3" xfId="1" applyNumberFormat="1" applyFont="1" applyFill="1" applyBorder="1"/>
    <xf numFmtId="164" fontId="0" fillId="0" borderId="0" xfId="1" applyNumberFormat="1" applyFont="1" applyFill="1" applyBorder="1"/>
    <xf numFmtId="164" fontId="0" fillId="0" borderId="3" xfId="1" applyNumberFormat="1" applyFont="1" applyFill="1" applyBorder="1"/>
    <xf numFmtId="9" fontId="0" fillId="0" borderId="7" xfId="0" applyNumberFormat="1" applyBorder="1"/>
    <xf numFmtId="164" fontId="1" fillId="0" borderId="7" xfId="1" applyNumberFormat="1" applyFont="1" applyFill="1" applyBorder="1"/>
    <xf numFmtId="164" fontId="1" fillId="0" borderId="6" xfId="1" applyNumberFormat="1" applyFont="1" applyFill="1" applyBorder="1"/>
    <xf numFmtId="0" fontId="0" fillId="0" borderId="4" xfId="0" applyBorder="1"/>
    <xf numFmtId="0" fontId="10" fillId="0" borderId="0" xfId="0" applyFont="1"/>
    <xf numFmtId="14" fontId="0" fillId="4" borderId="0" xfId="0" applyNumberFormat="1" applyFill="1"/>
    <xf numFmtId="165" fontId="0" fillId="4" borderId="0" xfId="3" applyNumberFormat="1" applyFont="1" applyFill="1"/>
    <xf numFmtId="165" fontId="0" fillId="0" borderId="0" xfId="5" applyNumberFormat="1" applyFont="1"/>
    <xf numFmtId="168" fontId="3" fillId="0" borderId="0" xfId="2" applyNumberFormat="1" applyAlignment="1">
      <alignment wrapText="1"/>
    </xf>
    <xf numFmtId="0" fontId="3" fillId="0" borderId="0" xfId="2" applyAlignment="1">
      <alignment horizontal="left" wrapText="1"/>
    </xf>
    <xf numFmtId="0" fontId="3" fillId="0" borderId="0" xfId="2" applyAlignment="1">
      <alignment wrapText="1"/>
    </xf>
    <xf numFmtId="165" fontId="4" fillId="0" borderId="0" xfId="5" applyNumberFormat="1" applyFont="1"/>
    <xf numFmtId="169" fontId="11" fillId="0" borderId="0" xfId="2" applyNumberFormat="1" applyFont="1" applyAlignment="1">
      <alignment horizontal="right" wrapText="1"/>
    </xf>
    <xf numFmtId="0" fontId="11" fillId="0" borderId="0" xfId="2" applyFont="1" applyAlignment="1">
      <alignment horizontal="right" wrapText="1"/>
    </xf>
    <xf numFmtId="0" fontId="11" fillId="0" borderId="0" xfId="2" applyFont="1" applyAlignment="1">
      <alignment horizontal="left" wrapText="1"/>
    </xf>
    <xf numFmtId="0" fontId="3" fillId="0" borderId="0" xfId="2" applyAlignment="1">
      <alignment horizontal="right" wrapText="1"/>
    </xf>
    <xf numFmtId="169" fontId="3" fillId="0" borderId="0" xfId="2" applyNumberFormat="1" applyAlignment="1">
      <alignment horizontal="right" wrapText="1"/>
    </xf>
    <xf numFmtId="170" fontId="3" fillId="0" borderId="0" xfId="2" applyNumberFormat="1" applyAlignment="1">
      <alignment wrapText="1"/>
    </xf>
    <xf numFmtId="168" fontId="3" fillId="0" borderId="0" xfId="2" applyNumberFormat="1"/>
    <xf numFmtId="0" fontId="11" fillId="0" borderId="0" xfId="2" applyFont="1" applyAlignment="1">
      <alignment wrapText="1"/>
    </xf>
    <xf numFmtId="0" fontId="13" fillId="0" borderId="0" xfId="6" applyFont="1"/>
    <xf numFmtId="0" fontId="14" fillId="0" borderId="0" xfId="2" applyFont="1"/>
    <xf numFmtId="0" fontId="11" fillId="0" borderId="0" xfId="2" applyFont="1"/>
    <xf numFmtId="169" fontId="4" fillId="0" borderId="0" xfId="2" applyNumberFormat="1" applyFont="1" applyAlignment="1">
      <alignment wrapText="1"/>
    </xf>
    <xf numFmtId="169" fontId="3" fillId="0" borderId="0" xfId="2" applyNumberFormat="1" applyAlignment="1">
      <alignment wrapText="1"/>
    </xf>
    <xf numFmtId="168" fontId="4" fillId="0" borderId="0" xfId="2" applyNumberFormat="1" applyFont="1" applyAlignment="1">
      <alignment wrapText="1"/>
    </xf>
    <xf numFmtId="3" fontId="0" fillId="0" borderId="0" xfId="0" applyNumberFormat="1"/>
    <xf numFmtId="3" fontId="0" fillId="0" borderId="4" xfId="0" applyNumberFormat="1" applyBorder="1"/>
    <xf numFmtId="3" fontId="2" fillId="0" borderId="0" xfId="0" applyNumberFormat="1" applyFont="1"/>
    <xf numFmtId="3" fontId="0" fillId="4" borderId="0" xfId="0" applyNumberFormat="1" applyFill="1"/>
    <xf numFmtId="3" fontId="0" fillId="0" borderId="6" xfId="0" applyNumberFormat="1" applyBorder="1"/>
    <xf numFmtId="3" fontId="0" fillId="0" borderId="5" xfId="0" applyNumberFormat="1" applyBorder="1"/>
    <xf numFmtId="3" fontId="2" fillId="0" borderId="3" xfId="0" applyNumberFormat="1" applyFont="1" applyBorder="1"/>
    <xf numFmtId="3" fontId="0" fillId="0" borderId="3" xfId="0" applyNumberFormat="1" applyBorder="1"/>
    <xf numFmtId="3" fontId="0" fillId="4" borderId="3" xfId="0" applyNumberFormat="1" applyFill="1" applyBorder="1"/>
    <xf numFmtId="0" fontId="3" fillId="4" borderId="0" xfId="2" applyFill="1" applyAlignment="1">
      <alignment horizontal="left" wrapText="1"/>
    </xf>
    <xf numFmtId="169" fontId="3" fillId="4" borderId="0" xfId="2" applyNumberFormat="1" applyFill="1" applyAlignment="1">
      <alignment wrapText="1"/>
    </xf>
    <xf numFmtId="0" fontId="3" fillId="4" borderId="0" xfId="2" applyFill="1" applyAlignment="1">
      <alignment horizontal="right" wrapText="1"/>
    </xf>
    <xf numFmtId="169" fontId="3" fillId="4" borderId="0" xfId="2" applyNumberFormat="1" applyFill="1" applyAlignment="1">
      <alignment horizontal="right" wrapText="1"/>
    </xf>
    <xf numFmtId="165" fontId="2" fillId="0" borderId="7" xfId="3" applyNumberFormat="1" applyFont="1" applyBorder="1"/>
    <xf numFmtId="165" fontId="2" fillId="0" borderId="8" xfId="3" applyNumberFormat="1" applyFont="1" applyBorder="1"/>
    <xf numFmtId="165" fontId="0" fillId="0" borderId="3" xfId="3" applyNumberFormat="1" applyFont="1" applyBorder="1"/>
    <xf numFmtId="165" fontId="0" fillId="0" borderId="4" xfId="3" applyNumberFormat="1" applyFont="1" applyBorder="1"/>
    <xf numFmtId="165" fontId="2" fillId="0" borderId="6" xfId="3" applyNumberFormat="1" applyFont="1" applyBorder="1"/>
    <xf numFmtId="165" fontId="0" fillId="0" borderId="0" xfId="3" applyNumberFormat="1" applyFont="1" applyFill="1" applyBorder="1"/>
    <xf numFmtId="165" fontId="2" fillId="0" borderId="9" xfId="3" applyNumberFormat="1" applyFont="1" applyBorder="1"/>
    <xf numFmtId="165" fontId="2" fillId="0" borderId="0" xfId="3" applyNumberFormat="1" applyFont="1" applyBorder="1"/>
    <xf numFmtId="165" fontId="2" fillId="0" borderId="3" xfId="3" applyNumberFormat="1" applyFont="1" applyBorder="1"/>
    <xf numFmtId="165" fontId="0" fillId="0" borderId="0" xfId="0" applyNumberFormat="1"/>
    <xf numFmtId="0" fontId="11" fillId="0" borderId="0" xfId="0" applyFont="1" applyAlignment="1">
      <alignment horizontal="right" wrapText="1"/>
    </xf>
    <xf numFmtId="0" fontId="0" fillId="0" borderId="0" xfId="0" applyAlignment="1">
      <alignment wrapText="1"/>
    </xf>
    <xf numFmtId="168" fontId="0" fillId="0" borderId="0" xfId="0" applyNumberFormat="1" applyAlignment="1">
      <alignment wrapText="1"/>
    </xf>
    <xf numFmtId="169" fontId="0" fillId="0" borderId="0" xfId="0" applyNumberFormat="1" applyAlignment="1">
      <alignment horizontal="right" wrapText="1"/>
    </xf>
    <xf numFmtId="0" fontId="0" fillId="0" borderId="0" xfId="0" applyAlignment="1">
      <alignment horizontal="right" wrapText="1"/>
    </xf>
    <xf numFmtId="169" fontId="11" fillId="0" borderId="0" xfId="0" applyNumberFormat="1" applyFont="1" applyAlignment="1">
      <alignment horizontal="right" wrapText="1"/>
    </xf>
    <xf numFmtId="170" fontId="0" fillId="0" borderId="0" xfId="0" applyNumberFormat="1" applyAlignment="1">
      <alignment wrapText="1"/>
    </xf>
    <xf numFmtId="10" fontId="1" fillId="0" borderId="3" xfId="1" applyNumberFormat="1" applyFont="1" applyFill="1" applyBorder="1"/>
    <xf numFmtId="10" fontId="1" fillId="0" borderId="0" xfId="1" applyNumberFormat="1" applyFont="1" applyFill="1" applyBorder="1"/>
    <xf numFmtId="3" fontId="15" fillId="0" borderId="0" xfId="0" applyNumberFormat="1" applyFont="1"/>
    <xf numFmtId="164" fontId="0" fillId="0" borderId="3" xfId="0" applyNumberFormat="1" applyBorder="1"/>
    <xf numFmtId="10" fontId="0" fillId="0" borderId="3" xfId="0" applyNumberFormat="1" applyBorder="1"/>
    <xf numFmtId="165" fontId="0" fillId="0" borderId="0" xfId="3" applyNumberFormat="1" applyFont="1" applyBorder="1"/>
    <xf numFmtId="165" fontId="0" fillId="0" borderId="3" xfId="3" applyNumberFormat="1" applyFont="1" applyFill="1" applyBorder="1"/>
    <xf numFmtId="164" fontId="0" fillId="4" borderId="0" xfId="1" applyNumberFormat="1" applyFont="1" applyFill="1" applyBorder="1"/>
    <xf numFmtId="164" fontId="2" fillId="0" borderId="0" xfId="1" applyNumberFormat="1" applyFont="1" applyBorder="1"/>
    <xf numFmtId="164" fontId="0" fillId="0" borderId="4" xfId="1" applyNumberFormat="1" applyFont="1" applyBorder="1"/>
    <xf numFmtId="164" fontId="0" fillId="4" borderId="4" xfId="1" applyNumberFormat="1" applyFont="1" applyFill="1" applyBorder="1"/>
    <xf numFmtId="165" fontId="0" fillId="0" borderId="0" xfId="3" applyNumberFormat="1" applyFont="1" applyFill="1"/>
    <xf numFmtId="43" fontId="0" fillId="0" borderId="0" xfId="0" applyNumberFormat="1"/>
    <xf numFmtId="165" fontId="1" fillId="0" borderId="0" xfId="3" applyNumberFormat="1" applyFont="1" applyBorder="1"/>
    <xf numFmtId="165" fontId="1" fillId="0" borderId="4" xfId="3" applyNumberFormat="1" applyFont="1" applyBorder="1"/>
    <xf numFmtId="165" fontId="3" fillId="0" borderId="0" xfId="2" applyNumberFormat="1"/>
    <xf numFmtId="0" fontId="2" fillId="0" borderId="2" xfId="0" applyFont="1" applyBorder="1"/>
    <xf numFmtId="0" fontId="2" fillId="0" borderId="12" xfId="0" applyFont="1" applyBorder="1"/>
    <xf numFmtId="3" fontId="0" fillId="0" borderId="13" xfId="0" applyNumberFormat="1" applyBorder="1"/>
    <xf numFmtId="3" fontId="2" fillId="0" borderId="1" xfId="0" applyNumberFormat="1" applyFont="1" applyBorder="1"/>
    <xf numFmtId="3" fontId="2" fillId="0" borderId="14" xfId="0" applyNumberFormat="1" applyFont="1" applyBorder="1"/>
    <xf numFmtId="171" fontId="0" fillId="0" borderId="0" xfId="0" applyNumberFormat="1"/>
    <xf numFmtId="0" fontId="0" fillId="0" borderId="0" xfId="0" applyAlignment="1">
      <alignment horizontal="right"/>
    </xf>
    <xf numFmtId="10" fontId="2" fillId="0" borderId="0" xfId="0" applyNumberFormat="1" applyFont="1"/>
    <xf numFmtId="0" fontId="12" fillId="0" borderId="0" xfId="6"/>
    <xf numFmtId="0" fontId="17" fillId="0" borderId="0" xfId="0" applyFont="1"/>
    <xf numFmtId="1" fontId="18" fillId="0" borderId="0" xfId="0" applyNumberFormat="1" applyFont="1" applyAlignment="1">
      <alignment horizontal="center"/>
    </xf>
    <xf numFmtId="1" fontId="18" fillId="0" borderId="3" xfId="0" applyNumberFormat="1" applyFont="1" applyBorder="1" applyAlignment="1">
      <alignment horizontal="center"/>
    </xf>
    <xf numFmtId="1" fontId="18" fillId="0" borderId="0" xfId="0" applyNumberFormat="1" applyFont="1"/>
    <xf numFmtId="3" fontId="0" fillId="0" borderId="3" xfId="3" applyNumberFormat="1" applyFont="1" applyFill="1" applyBorder="1"/>
    <xf numFmtId="3" fontId="2" fillId="0" borderId="6" xfId="3" applyNumberFormat="1" applyFont="1" applyFill="1" applyBorder="1"/>
    <xf numFmtId="164" fontId="0" fillId="0" borderId="5" xfId="1" applyNumberFormat="1" applyFont="1" applyFill="1" applyBorder="1"/>
    <xf numFmtId="164" fontId="0" fillId="0" borderId="6" xfId="1" applyNumberFormat="1" applyFont="1" applyFill="1" applyBorder="1"/>
    <xf numFmtId="165" fontId="0" fillId="0" borderId="8" xfId="3" applyNumberFormat="1" applyFont="1" applyBorder="1"/>
    <xf numFmtId="165" fontId="0" fillId="0" borderId="9" xfId="3" applyNumberFormat="1" applyFont="1" applyBorder="1"/>
    <xf numFmtId="165" fontId="0" fillId="0" borderId="7" xfId="3" applyNumberFormat="1" applyFont="1" applyBorder="1"/>
    <xf numFmtId="0" fontId="2" fillId="0" borderId="3" xfId="0" applyFont="1" applyBorder="1" applyAlignment="1">
      <alignment horizontal="center"/>
    </xf>
    <xf numFmtId="164" fontId="19" fillId="0" borderId="3" xfId="1" applyNumberFormat="1" applyFont="1" applyFill="1" applyBorder="1"/>
    <xf numFmtId="164" fontId="19" fillId="0" borderId="0" xfId="1" applyNumberFormat="1" applyFont="1" applyFill="1"/>
    <xf numFmtId="0" fontId="19" fillId="0" borderId="0" xfId="0" applyFont="1"/>
    <xf numFmtId="164" fontId="19" fillId="0" borderId="0" xfId="1" applyNumberFormat="1" applyFont="1" applyFill="1" applyBorder="1"/>
    <xf numFmtId="164" fontId="2" fillId="0" borderId="16" xfId="1" applyNumberFormat="1" applyFont="1" applyBorder="1"/>
    <xf numFmtId="164" fontId="2" fillId="0" borderId="16" xfId="1" applyNumberFormat="1" applyFont="1" applyFill="1" applyBorder="1"/>
    <xf numFmtId="0" fontId="0" fillId="0" borderId="13" xfId="0" applyBorder="1"/>
    <xf numFmtId="9" fontId="0" fillId="0" borderId="13" xfId="0" applyNumberFormat="1" applyBorder="1"/>
    <xf numFmtId="43" fontId="0" fillId="4" borderId="3" xfId="3" applyFont="1" applyFill="1" applyBorder="1"/>
    <xf numFmtId="43" fontId="0" fillId="0" borderId="0" xfId="3" applyFont="1" applyBorder="1"/>
    <xf numFmtId="43" fontId="0" fillId="4" borderId="0" xfId="3" applyFont="1" applyFill="1" applyBorder="1"/>
    <xf numFmtId="0" fontId="0" fillId="0" borderId="17" xfId="0" applyBorder="1"/>
    <xf numFmtId="0" fontId="2" fillId="0" borderId="18" xfId="0" applyFont="1" applyBorder="1" applyAlignment="1">
      <alignment horizontal="center"/>
    </xf>
    <xf numFmtId="0" fontId="2" fillId="0" borderId="19" xfId="0" applyFont="1" applyBorder="1" applyAlignment="1">
      <alignment horizontal="center"/>
    </xf>
    <xf numFmtId="0" fontId="2" fillId="0" borderId="20" xfId="0" applyFont="1" applyBorder="1" applyAlignment="1">
      <alignment horizontal="center"/>
    </xf>
    <xf numFmtId="0" fontId="0" fillId="0" borderId="21" xfId="0" applyBorder="1"/>
    <xf numFmtId="43" fontId="0" fillId="0" borderId="22" xfId="0" applyNumberFormat="1" applyBorder="1"/>
    <xf numFmtId="43" fontId="0" fillId="4" borderId="22" xfId="3" applyFont="1" applyFill="1" applyBorder="1"/>
    <xf numFmtId="0" fontId="0" fillId="0" borderId="23" xfId="0" applyBorder="1"/>
    <xf numFmtId="43" fontId="0" fillId="0" borderId="24" xfId="0" applyNumberFormat="1" applyBorder="1"/>
    <xf numFmtId="43" fontId="0" fillId="4" borderId="24" xfId="0" applyNumberFormat="1" applyFill="1" applyBorder="1"/>
    <xf numFmtId="43" fontId="0" fillId="0" borderId="25" xfId="0" applyNumberFormat="1" applyBorder="1"/>
    <xf numFmtId="3" fontId="0" fillId="4" borderId="13" xfId="0" applyNumberFormat="1" applyFill="1" applyBorder="1"/>
    <xf numFmtId="9" fontId="19" fillId="0" borderId="0" xfId="1" applyFont="1" applyFill="1"/>
    <xf numFmtId="10" fontId="2" fillId="0" borderId="26" xfId="0" applyNumberFormat="1" applyFont="1" applyBorder="1"/>
    <xf numFmtId="10" fontId="0" fillId="0" borderId="2" xfId="0" applyNumberFormat="1" applyBorder="1"/>
    <xf numFmtId="10" fontId="2" fillId="0" borderId="1" xfId="0" applyNumberFormat="1" applyFont="1" applyBorder="1"/>
    <xf numFmtId="172" fontId="0" fillId="0" borderId="0" xfId="0" applyNumberFormat="1"/>
    <xf numFmtId="0" fontId="3" fillId="0" borderId="2" xfId="2" applyBorder="1"/>
    <xf numFmtId="0" fontId="3" fillId="0" borderId="1" xfId="2" applyBorder="1"/>
    <xf numFmtId="0" fontId="4" fillId="3" borderId="0" xfId="2" applyFont="1" applyFill="1" applyAlignment="1">
      <alignment horizontal="left"/>
    </xf>
    <xf numFmtId="0" fontId="3" fillId="0" borderId="0" xfId="2" applyAlignment="1">
      <alignment horizontal="left"/>
    </xf>
    <xf numFmtId="4" fontId="3" fillId="0" borderId="0" xfId="2" applyNumberFormat="1" applyAlignment="1">
      <alignment horizontal="right"/>
    </xf>
    <xf numFmtId="173" fontId="3" fillId="0" borderId="0" xfId="2" applyNumberFormat="1" applyAlignment="1">
      <alignment horizontal="right"/>
    </xf>
    <xf numFmtId="174" fontId="3" fillId="0" borderId="0" xfId="2" applyNumberFormat="1" applyAlignment="1">
      <alignment horizontal="right"/>
    </xf>
    <xf numFmtId="0" fontId="3" fillId="2" borderId="0" xfId="2" applyFill="1" applyAlignment="1">
      <alignment horizontal="left"/>
    </xf>
    <xf numFmtId="4" fontId="3" fillId="2" borderId="0" xfId="2" applyNumberFormat="1" applyFill="1" applyAlignment="1">
      <alignment horizontal="right"/>
    </xf>
    <xf numFmtId="173" fontId="3" fillId="2" borderId="0" xfId="2" applyNumberFormat="1" applyFill="1" applyAlignment="1">
      <alignment horizontal="right"/>
    </xf>
    <xf numFmtId="174" fontId="3" fillId="2" borderId="0" xfId="2" applyNumberFormat="1" applyFill="1" applyAlignment="1">
      <alignment horizontal="right"/>
    </xf>
    <xf numFmtId="173" fontId="20" fillId="0" borderId="0" xfId="2" applyNumberFormat="1" applyFont="1" applyAlignment="1">
      <alignment horizontal="right"/>
    </xf>
    <xf numFmtId="4" fontId="3" fillId="2" borderId="0" xfId="2" applyNumberFormat="1" applyFill="1" applyAlignment="1">
      <alignment horizontal="left"/>
    </xf>
    <xf numFmtId="0" fontId="4" fillId="0" borderId="0" xfId="2" applyFont="1" applyAlignment="1">
      <alignment horizontal="left"/>
    </xf>
    <xf numFmtId="173" fontId="4" fillId="0" borderId="0" xfId="2" applyNumberFormat="1" applyFont="1" applyAlignment="1">
      <alignment horizontal="right"/>
    </xf>
    <xf numFmtId="4" fontId="4" fillId="5" borderId="0" xfId="2" applyNumberFormat="1" applyFont="1" applyFill="1" applyAlignment="1">
      <alignment horizontal="right"/>
    </xf>
    <xf numFmtId="4" fontId="4" fillId="0" borderId="0" xfId="2" applyNumberFormat="1" applyFont="1" applyAlignment="1">
      <alignment horizontal="left"/>
    </xf>
    <xf numFmtId="173" fontId="20" fillId="2" borderId="0" xfId="2" applyNumberFormat="1" applyFont="1" applyFill="1" applyAlignment="1">
      <alignment horizontal="right"/>
    </xf>
    <xf numFmtId="173" fontId="3" fillId="0" borderId="0" xfId="2" applyNumberFormat="1"/>
    <xf numFmtId="175" fontId="0" fillId="0" borderId="0" xfId="7" applyNumberFormat="1" applyFont="1"/>
    <xf numFmtId="174" fontId="3" fillId="0" borderId="0" xfId="2" applyNumberFormat="1"/>
    <xf numFmtId="44" fontId="0" fillId="0" borderId="0" xfId="7" applyFont="1"/>
    <xf numFmtId="44" fontId="4" fillId="0" borderId="0" xfId="2" applyNumberFormat="1" applyFont="1"/>
    <xf numFmtId="44" fontId="0" fillId="0" borderId="27" xfId="4" applyFont="1" applyBorder="1"/>
    <xf numFmtId="0" fontId="0" fillId="0" borderId="28" xfId="0" applyBorder="1"/>
    <xf numFmtId="9" fontId="0" fillId="0" borderId="9" xfId="0" applyNumberFormat="1" applyBorder="1"/>
    <xf numFmtId="0" fontId="2" fillId="0" borderId="11" xfId="0" applyFont="1" applyBorder="1"/>
    <xf numFmtId="0" fontId="2" fillId="0" borderId="29" xfId="0" applyFont="1" applyBorder="1"/>
    <xf numFmtId="0" fontId="2" fillId="0" borderId="5" xfId="0" applyFont="1" applyBorder="1"/>
    <xf numFmtId="0" fontId="2" fillId="0" borderId="30" xfId="0" applyFont="1" applyBorder="1"/>
    <xf numFmtId="44" fontId="2" fillId="0" borderId="31" xfId="4" applyFont="1" applyBorder="1"/>
    <xf numFmtId="9" fontId="2" fillId="0" borderId="6" xfId="0" applyNumberFormat="1" applyFont="1" applyBorder="1"/>
    <xf numFmtId="3" fontId="0" fillId="0" borderId="32" xfId="0" applyNumberFormat="1" applyBorder="1"/>
    <xf numFmtId="0" fontId="2" fillId="0" borderId="36" xfId="0" applyFont="1" applyBorder="1"/>
    <xf numFmtId="0" fontId="0" fillId="0" borderId="37" xfId="0" applyBorder="1"/>
    <xf numFmtId="0" fontId="0" fillId="0" borderId="36" xfId="0" applyBorder="1"/>
    <xf numFmtId="0" fontId="2" fillId="0" borderId="38" xfId="0" applyFont="1" applyBorder="1"/>
    <xf numFmtId="3" fontId="0" fillId="0" borderId="39" xfId="0" applyNumberFormat="1" applyBorder="1"/>
    <xf numFmtId="3" fontId="0" fillId="0" borderId="37" xfId="0" applyNumberFormat="1" applyBorder="1"/>
    <xf numFmtId="3" fontId="2" fillId="0" borderId="40" xfId="0" applyNumberFormat="1" applyFont="1" applyBorder="1"/>
    <xf numFmtId="0" fontId="2" fillId="0" borderId="36" xfId="0" applyFont="1" applyBorder="1" applyAlignment="1">
      <alignment horizontal="left"/>
    </xf>
    <xf numFmtId="3" fontId="15" fillId="0" borderId="37" xfId="0" applyNumberFormat="1" applyFont="1" applyBorder="1"/>
    <xf numFmtId="0" fontId="2" fillId="0" borderId="41" xfId="0" applyFont="1" applyBorder="1"/>
    <xf numFmtId="0" fontId="0" fillId="0" borderId="42" xfId="0" applyBorder="1"/>
    <xf numFmtId="44" fontId="0" fillId="0" borderId="43" xfId="4" applyFont="1" applyBorder="1"/>
    <xf numFmtId="3" fontId="0" fillId="0" borderId="10" xfId="0" applyNumberFormat="1" applyBorder="1"/>
    <xf numFmtId="164" fontId="2" fillId="0" borderId="6" xfId="1" applyNumberFormat="1" applyFont="1" applyFill="1" applyBorder="1"/>
    <xf numFmtId="164" fontId="2" fillId="0" borderId="7" xfId="1" applyNumberFormat="1" applyFont="1" applyFill="1" applyBorder="1"/>
    <xf numFmtId="164" fontId="0" fillId="0" borderId="11" xfId="1" applyNumberFormat="1" applyFont="1" applyFill="1" applyBorder="1"/>
    <xf numFmtId="165" fontId="0" fillId="0" borderId="14" xfId="3" applyNumberFormat="1" applyFont="1" applyFill="1" applyBorder="1"/>
    <xf numFmtId="165" fontId="0" fillId="0" borderId="1" xfId="3" applyNumberFormat="1" applyFont="1" applyFill="1" applyBorder="1"/>
    <xf numFmtId="3" fontId="0" fillId="0" borderId="1" xfId="0" applyNumberFormat="1" applyBorder="1"/>
    <xf numFmtId="3" fontId="0" fillId="0" borderId="15" xfId="0" applyNumberFormat="1" applyBorder="1"/>
    <xf numFmtId="165" fontId="0" fillId="0" borderId="4" xfId="3" applyNumberFormat="1" applyFont="1" applyFill="1" applyBorder="1"/>
    <xf numFmtId="3" fontId="2" fillId="0" borderId="6" xfId="0" applyNumberFormat="1" applyFont="1" applyBorder="1"/>
    <xf numFmtId="165" fontId="2" fillId="0" borderId="7" xfId="3" applyNumberFormat="1" applyFont="1" applyFill="1" applyBorder="1"/>
    <xf numFmtId="3" fontId="2" fillId="0" borderId="5" xfId="0" applyNumberFormat="1" applyFont="1" applyBorder="1"/>
    <xf numFmtId="165" fontId="2" fillId="0" borderId="4" xfId="3" applyNumberFormat="1" applyFont="1" applyFill="1" applyBorder="1"/>
    <xf numFmtId="165" fontId="2" fillId="0" borderId="0" xfId="3" applyNumberFormat="1" applyFont="1" applyFill="1" applyBorder="1"/>
    <xf numFmtId="3" fontId="2" fillId="0" borderId="9" xfId="3" applyNumberFormat="1" applyFont="1" applyFill="1" applyBorder="1"/>
    <xf numFmtId="165" fontId="2" fillId="0" borderId="8" xfId="3" applyNumberFormat="1" applyFont="1" applyFill="1" applyBorder="1"/>
    <xf numFmtId="3" fontId="2" fillId="0" borderId="3" xfId="3" applyNumberFormat="1" applyFont="1" applyFill="1" applyBorder="1"/>
    <xf numFmtId="165" fontId="2" fillId="0" borderId="0" xfId="3" applyNumberFormat="1" applyFont="1" applyFill="1"/>
    <xf numFmtId="3" fontId="0" fillId="0" borderId="9" xfId="3" applyNumberFormat="1" applyFont="1" applyFill="1" applyBorder="1"/>
    <xf numFmtId="165" fontId="0" fillId="0" borderId="8" xfId="3" applyNumberFormat="1" applyFont="1" applyFill="1" applyBorder="1"/>
    <xf numFmtId="44" fontId="0" fillId="6" borderId="14" xfId="0" applyNumberFormat="1" applyFill="1" applyBorder="1"/>
    <xf numFmtId="44" fontId="0" fillId="6" borderId="1" xfId="0" applyNumberFormat="1" applyFill="1" applyBorder="1"/>
    <xf numFmtId="44" fontId="0" fillId="6" borderId="15" xfId="0" applyNumberFormat="1" applyFill="1" applyBorder="1"/>
    <xf numFmtId="44" fontId="0" fillId="6" borderId="13" xfId="0" applyNumberFormat="1" applyFill="1" applyBorder="1"/>
    <xf numFmtId="44" fontId="0" fillId="6" borderId="0" xfId="0" applyNumberFormat="1" applyFill="1"/>
    <xf numFmtId="44" fontId="0" fillId="6" borderId="32" xfId="0" applyNumberFormat="1" applyFill="1" applyBorder="1"/>
    <xf numFmtId="44" fontId="2" fillId="6" borderId="0" xfId="0" applyNumberFormat="1" applyFont="1" applyFill="1"/>
    <xf numFmtId="44" fontId="0" fillId="6" borderId="12" xfId="0" applyNumberFormat="1" applyFill="1" applyBorder="1"/>
    <xf numFmtId="44" fontId="0" fillId="6" borderId="2" xfId="0" applyNumberFormat="1" applyFill="1" applyBorder="1"/>
    <xf numFmtId="44" fontId="0" fillId="6" borderId="44" xfId="0" applyNumberFormat="1" applyFill="1" applyBorder="1"/>
    <xf numFmtId="0" fontId="0" fillId="7" borderId="14" xfId="0" applyFill="1" applyBorder="1"/>
    <xf numFmtId="10" fontId="0" fillId="7" borderId="13" xfId="0" applyNumberFormat="1" applyFill="1" applyBorder="1"/>
    <xf numFmtId="10" fontId="2" fillId="7" borderId="13" xfId="0" applyNumberFormat="1" applyFont="1" applyFill="1" applyBorder="1"/>
    <xf numFmtId="10" fontId="0" fillId="7" borderId="12" xfId="0" applyNumberFormat="1" applyFill="1" applyBorder="1"/>
    <xf numFmtId="10" fontId="0" fillId="7" borderId="1" xfId="0" applyNumberFormat="1" applyFill="1" applyBorder="1"/>
    <xf numFmtId="10" fontId="2" fillId="7" borderId="1" xfId="0" applyNumberFormat="1" applyFont="1" applyFill="1" applyBorder="1"/>
    <xf numFmtId="10" fontId="0" fillId="7" borderId="15" xfId="0" applyNumberFormat="1" applyFill="1" applyBorder="1"/>
    <xf numFmtId="10" fontId="21" fillId="0" borderId="0" xfId="0" applyNumberFormat="1" applyFont="1"/>
    <xf numFmtId="44" fontId="0" fillId="4" borderId="43" xfId="4" applyFont="1" applyFill="1" applyBorder="1"/>
    <xf numFmtId="43" fontId="0" fillId="0" borderId="13" xfId="0" applyNumberFormat="1" applyBorder="1"/>
    <xf numFmtId="9" fontId="3" fillId="0" borderId="0" xfId="2" applyNumberFormat="1"/>
    <xf numFmtId="171" fontId="3" fillId="6" borderId="14" xfId="2" applyNumberFormat="1" applyFill="1" applyBorder="1"/>
    <xf numFmtId="171" fontId="4" fillId="6" borderId="1" xfId="2" applyNumberFormat="1" applyFont="1" applyFill="1" applyBorder="1"/>
    <xf numFmtId="171" fontId="3" fillId="6" borderId="1" xfId="2" applyNumberFormat="1" applyFill="1" applyBorder="1"/>
    <xf numFmtId="171" fontId="3" fillId="6" borderId="15" xfId="2" applyNumberFormat="1" applyFill="1" applyBorder="1"/>
    <xf numFmtId="171" fontId="3" fillId="6" borderId="12" xfId="2" applyNumberFormat="1" applyFill="1" applyBorder="1"/>
    <xf numFmtId="171" fontId="4" fillId="6" borderId="2" xfId="2" applyNumberFormat="1" applyFont="1" applyFill="1" applyBorder="1"/>
    <xf numFmtId="171" fontId="3" fillId="6" borderId="2" xfId="2" applyNumberFormat="1" applyFill="1" applyBorder="1"/>
    <xf numFmtId="171" fontId="3" fillId="6" borderId="44" xfId="2" applyNumberFormat="1" applyFill="1" applyBorder="1"/>
    <xf numFmtId="0" fontId="4" fillId="7" borderId="14" xfId="2" applyFont="1" applyFill="1" applyBorder="1"/>
    <xf numFmtId="0" fontId="4" fillId="7" borderId="1" xfId="2" applyFont="1" applyFill="1" applyBorder="1" applyAlignment="1">
      <alignment horizontal="center"/>
    </xf>
    <xf numFmtId="0" fontId="3" fillId="7" borderId="1" xfId="2" applyFill="1" applyBorder="1" applyAlignment="1">
      <alignment horizontal="center"/>
    </xf>
    <xf numFmtId="0" fontId="3" fillId="7" borderId="15" xfId="2" applyFill="1" applyBorder="1" applyAlignment="1">
      <alignment horizontal="center"/>
    </xf>
    <xf numFmtId="0" fontId="3" fillId="7" borderId="13" xfId="2" applyFill="1" applyBorder="1" applyAlignment="1">
      <alignment horizontal="right"/>
    </xf>
    <xf numFmtId="0" fontId="3" fillId="7" borderId="12" xfId="2" applyFill="1" applyBorder="1" applyAlignment="1">
      <alignment horizontal="right"/>
    </xf>
    <xf numFmtId="0" fontId="16" fillId="0" borderId="33" xfId="0" applyFont="1" applyBorder="1" applyAlignment="1">
      <alignment horizontal="center"/>
    </xf>
    <xf numFmtId="0" fontId="16" fillId="0" borderId="34" xfId="0" applyFont="1" applyBorder="1" applyAlignment="1">
      <alignment horizontal="center"/>
    </xf>
    <xf numFmtId="0" fontId="16" fillId="0" borderId="35" xfId="0" applyFont="1" applyBorder="1" applyAlignment="1">
      <alignment horizontal="center"/>
    </xf>
    <xf numFmtId="0" fontId="3" fillId="8" borderId="14" xfId="2" applyFill="1" applyBorder="1" applyAlignment="1">
      <alignment horizontal="center"/>
    </xf>
    <xf numFmtId="0" fontId="3" fillId="8" borderId="1" xfId="2" applyFill="1" applyBorder="1" applyAlignment="1">
      <alignment horizontal="center"/>
    </xf>
    <xf numFmtId="0" fontId="3" fillId="8" borderId="15" xfId="2" applyFill="1" applyBorder="1" applyAlignment="1">
      <alignment horizontal="center"/>
    </xf>
    <xf numFmtId="0" fontId="0" fillId="8" borderId="13" xfId="0" applyFill="1" applyBorder="1" applyAlignment="1">
      <alignment horizontal="center" vertical="center" textRotation="90"/>
    </xf>
    <xf numFmtId="0" fontId="0" fillId="8" borderId="12" xfId="0" applyFill="1" applyBorder="1" applyAlignment="1">
      <alignment horizontal="center" vertical="center" textRotation="90"/>
    </xf>
    <xf numFmtId="0" fontId="0" fillId="6" borderId="45" xfId="0" applyFill="1" applyBorder="1" applyAlignment="1">
      <alignment horizontal="center"/>
    </xf>
    <xf numFmtId="0" fontId="0" fillId="6" borderId="46" xfId="0" applyFill="1" applyBorder="1" applyAlignment="1">
      <alignment horizontal="center"/>
    </xf>
    <xf numFmtId="0" fontId="0" fillId="6" borderId="47" xfId="0" applyFill="1" applyBorder="1" applyAlignment="1">
      <alignment horizontal="center"/>
    </xf>
    <xf numFmtId="0" fontId="0" fillId="8" borderId="13" xfId="0" applyFill="1" applyBorder="1" applyAlignment="1">
      <alignment horizontal="center"/>
    </xf>
    <xf numFmtId="0" fontId="0" fillId="8" borderId="0" xfId="0" applyFill="1" applyAlignment="1">
      <alignment horizontal="center"/>
    </xf>
    <xf numFmtId="0" fontId="0" fillId="8" borderId="32" xfId="0" applyFill="1" applyBorder="1" applyAlignment="1">
      <alignment horizontal="center"/>
    </xf>
    <xf numFmtId="0" fontId="16" fillId="4" borderId="33" xfId="0" applyFont="1" applyFill="1" applyBorder="1" applyAlignment="1">
      <alignment horizontal="center"/>
    </xf>
    <xf numFmtId="0" fontId="16" fillId="4" borderId="34" xfId="0" applyFont="1" applyFill="1" applyBorder="1" applyAlignment="1">
      <alignment horizontal="center"/>
    </xf>
    <xf numFmtId="0" fontId="16" fillId="4" borderId="35" xfId="0" applyFont="1" applyFill="1" applyBorder="1" applyAlignment="1">
      <alignment horizontal="center"/>
    </xf>
    <xf numFmtId="0" fontId="2" fillId="0" borderId="0" xfId="0" applyFont="1" applyAlignment="1">
      <alignment horizontal="center"/>
    </xf>
  </cellXfs>
  <cellStyles count="8">
    <cellStyle name="Comma" xfId="3" builtinId="3"/>
    <cellStyle name="Comma 2" xfId="5" xr:uid="{20DF3028-FAFD-4F42-B309-36A63C903678}"/>
    <cellStyle name="Currency" xfId="4" builtinId="4"/>
    <cellStyle name="Currency 2" xfId="7" xr:uid="{A1BD332A-81F3-AC41-8ECD-0978205924F9}"/>
    <cellStyle name="Hyperlink" xfId="6" builtinId="8"/>
    <cellStyle name="Normal" xfId="0" builtinId="0"/>
    <cellStyle name="Normal 2" xfId="2" xr:uid="{DC1FD969-0291-E749-9B03-59929C8D7A36}"/>
    <cellStyle name="Percent" xfId="1" builtinId="5"/>
  </cellStyles>
  <dxfs count="8">
    <dxf>
      <numFmt numFmtId="13" formatCode="0%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14" formatCode="0.00%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26" Type="http://schemas.microsoft.com/office/2017/06/relationships/rdRichValueTypes" Target="richData/rdRichValueTypes.xml"/><Relationship Id="rId3" Type="http://schemas.openxmlformats.org/officeDocument/2006/relationships/worksheet" Target="worksheets/sheet3.xml"/><Relationship Id="rId21" Type="http://schemas.microsoft.com/office/2017/06/relationships/rdRichValue" Target="richData/rdrichvalue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5" Type="http://schemas.microsoft.com/office/2017/06/relationships/rdSupportingPropertyBag" Target="richData/rdsupportingpropertybag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eetMetadata" Target="metadata.xml"/><Relationship Id="rId29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microsoft.com/office/2017/06/relationships/rdSupportingPropertyBagStructure" Target="richData/rdsupportingpropertybagstructure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microsoft.com/office/2017/06/relationships/richStyles" Target="richData/richStyles.xml"/><Relationship Id="rId28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microsoft.com/office/2017/06/relationships/rdRichValueStructure" Target="richData/rdrichvaluestructure.xml"/><Relationship Id="rId27" Type="http://schemas.openxmlformats.org/officeDocument/2006/relationships/calcChain" Target="calcChain.xml"/><Relationship Id="rId30" Type="http://schemas.openxmlformats.org/officeDocument/2006/relationships/customXml" Target="../customXml/item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Sales Traeger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'Income Statement'!$B$6:$F$6</c:f>
              <c:numCache>
                <c:formatCode>General</c:formatCode>
                <c:ptCount val="5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  <c:pt idx="4">
                  <c:v>2023</c:v>
                </c:pt>
              </c:numCache>
            </c:numRef>
          </c:cat>
          <c:val>
            <c:numRef>
              <c:f>'Income Statement'!$B$7:$F$7</c:f>
              <c:numCache>
                <c:formatCode>#,##0</c:formatCode>
                <c:ptCount val="5"/>
                <c:pt idx="0">
                  <c:v>363319</c:v>
                </c:pt>
                <c:pt idx="1">
                  <c:v>545772</c:v>
                </c:pt>
                <c:pt idx="2">
                  <c:v>785545</c:v>
                </c:pt>
                <c:pt idx="3">
                  <c:v>655901</c:v>
                </c:pt>
                <c:pt idx="4">
                  <c:v>595452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A645-4352-B766-BBBF11564E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5239047"/>
        <c:axId val="145245191"/>
      </c:barChart>
      <c:catAx>
        <c:axId val="1452390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245191"/>
        <c:crosses val="autoZero"/>
        <c:auto val="1"/>
        <c:lblAlgn val="ctr"/>
        <c:lblOffset val="100"/>
        <c:noMultiLvlLbl val="0"/>
      </c:catAx>
      <c:valAx>
        <c:axId val="1452451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23904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Gross and Operating Margins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'Financial Analysis'!$A$20</c:f>
              <c:strCache>
                <c:ptCount val="1"/>
                <c:pt idx="0">
                  <c:v>Gross Margin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'Financial Analysis'!$B$11:$J$11</c:f>
              <c:strCache>
                <c:ptCount val="9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  <c:pt idx="4">
                  <c:v>2023E</c:v>
                </c:pt>
                <c:pt idx="5">
                  <c:v>2024E</c:v>
                </c:pt>
                <c:pt idx="6">
                  <c:v>2025E</c:v>
                </c:pt>
                <c:pt idx="7">
                  <c:v>2026E</c:v>
                </c:pt>
                <c:pt idx="8">
                  <c:v>2027E</c:v>
                </c:pt>
              </c:strCache>
            </c:strRef>
          </c:cat>
          <c:val>
            <c:numRef>
              <c:f>'Financial Analysis'!$B$20:$J$20</c:f>
              <c:numCache>
                <c:formatCode>0%</c:formatCode>
                <c:ptCount val="9"/>
                <c:pt idx="0">
                  <c:v>0.42876920832656701</c:v>
                </c:pt>
                <c:pt idx="1">
                  <c:v>0.43023826799469378</c:v>
                </c:pt>
                <c:pt idx="2">
                  <c:v>0.3828743101922869</c:v>
                </c:pt>
                <c:pt idx="3">
                  <c:v>0.34879044246006641</c:v>
                </c:pt>
                <c:pt idx="4">
                  <c:v>0.37196247556478101</c:v>
                </c:pt>
                <c:pt idx="5">
                  <c:v>0.39</c:v>
                </c:pt>
                <c:pt idx="6">
                  <c:v>0.4</c:v>
                </c:pt>
                <c:pt idx="7">
                  <c:v>0.41000000000000009</c:v>
                </c:pt>
                <c:pt idx="8">
                  <c:v>0.42000000000000004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BC4-4700-B5A2-44AB582F6EE0}"/>
            </c:ext>
          </c:extLst>
        </c:ser>
        <c:ser>
          <c:idx val="1"/>
          <c:order val="1"/>
          <c:tx>
            <c:strRef>
              <c:f>'Financial Analysis'!$A$21</c:f>
              <c:strCache>
                <c:ptCount val="1"/>
                <c:pt idx="0">
                  <c:v>Operating Margin (EBITDA)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'Financial Analysis'!$B$11:$J$11</c:f>
              <c:strCache>
                <c:ptCount val="9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  <c:pt idx="4">
                  <c:v>2023E</c:v>
                </c:pt>
                <c:pt idx="5">
                  <c:v>2024E</c:v>
                </c:pt>
                <c:pt idx="6">
                  <c:v>2025E</c:v>
                </c:pt>
                <c:pt idx="7">
                  <c:v>2026E</c:v>
                </c:pt>
                <c:pt idx="8">
                  <c:v>2027E</c:v>
                </c:pt>
              </c:strCache>
            </c:strRef>
          </c:cat>
          <c:val>
            <c:numRef>
              <c:f>'Financial Analysis'!$B$21:$J$21</c:f>
              <c:numCache>
                <c:formatCode>0%</c:formatCode>
                <c:ptCount val="9"/>
                <c:pt idx="0">
                  <c:v>0.1365521759115268</c:v>
                </c:pt>
                <c:pt idx="1">
                  <c:v>0.18196976026619174</c:v>
                </c:pt>
                <c:pt idx="2">
                  <c:v>-1.7375198110865703E-2</c:v>
                </c:pt>
                <c:pt idx="3">
                  <c:v>-0.44121750081186034</c:v>
                </c:pt>
                <c:pt idx="4">
                  <c:v>9.727419982576372E-3</c:v>
                </c:pt>
                <c:pt idx="5">
                  <c:v>4.8380201779287292E-2</c:v>
                </c:pt>
                <c:pt idx="6">
                  <c:v>6.800567263835991E-2</c:v>
                </c:pt>
                <c:pt idx="7">
                  <c:v>8.7086305524277513E-2</c:v>
                </c:pt>
                <c:pt idx="8">
                  <c:v>0.10565294032231295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BC4-4700-B5A2-44AB582F6E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00378120"/>
        <c:axId val="901056520"/>
      </c:lineChart>
      <c:catAx>
        <c:axId val="9003781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1056520"/>
        <c:crosses val="autoZero"/>
        <c:auto val="1"/>
        <c:lblAlgn val="ctr"/>
        <c:lblOffset val="100"/>
        <c:noMultiLvlLbl val="0"/>
      </c:catAx>
      <c:valAx>
        <c:axId val="901056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03781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kumimoji="0" lang="en-US" sz="1400" b="0" i="0" u="none" strike="noStrike" kern="1200" cap="none" spc="0" normalizeH="0" baseline="0" noProof="0">
                <a:ln>
                  <a:noFill/>
                </a:ln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  <a:uLnTx/>
                <a:uFillTx/>
                <a:latin typeface="Calibri" panose="020F0502020204030204"/>
              </a:rPr>
              <a:t>Sales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'Financial Analysis'!$A$7</c:f>
              <c:strCache>
                <c:ptCount val="1"/>
                <c:pt idx="0">
                  <c:v>Sales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'Financial Analysis'!$D$6:$L$6</c:f>
              <c:strCache>
                <c:ptCount val="9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  <c:pt idx="4">
                  <c:v>2023E</c:v>
                </c:pt>
                <c:pt idx="5">
                  <c:v>2024E</c:v>
                </c:pt>
                <c:pt idx="6">
                  <c:v>2025E</c:v>
                </c:pt>
                <c:pt idx="7">
                  <c:v>2026E</c:v>
                </c:pt>
                <c:pt idx="8">
                  <c:v>2027E</c:v>
                </c:pt>
              </c:strCache>
            </c:strRef>
          </c:cat>
          <c:val>
            <c:numRef>
              <c:f>'Financial Analysis'!$D$7:$L$7</c:f>
              <c:numCache>
                <c:formatCode>General</c:formatCode>
                <c:ptCount val="9"/>
                <c:pt idx="0">
                  <c:v>363319</c:v>
                </c:pt>
                <c:pt idx="1">
                  <c:v>545772</c:v>
                </c:pt>
                <c:pt idx="2">
                  <c:v>785545</c:v>
                </c:pt>
                <c:pt idx="3">
                  <c:v>655901</c:v>
                </c:pt>
                <c:pt idx="4">
                  <c:v>595452</c:v>
                </c:pt>
                <c:pt idx="5">
                  <c:v>631179.12</c:v>
                </c:pt>
                <c:pt idx="6">
                  <c:v>669049.86719999998</c:v>
                </c:pt>
                <c:pt idx="7">
                  <c:v>709192.85923199996</c:v>
                </c:pt>
                <c:pt idx="8">
                  <c:v>751744.43078592001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555-5244-B59D-18CFEC4218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13128383"/>
        <c:axId val="119222255"/>
      </c:barChart>
      <c:catAx>
        <c:axId val="1131283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222255"/>
        <c:crosses val="autoZero"/>
        <c:auto val="1"/>
        <c:lblAlgn val="ctr"/>
        <c:lblOffset val="100"/>
        <c:noMultiLvlLbl val="0"/>
      </c:catAx>
      <c:valAx>
        <c:axId val="1192222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12838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Projected LT Debt-to-EBITDA Ratio</a:t>
            </a:r>
          </a:p>
        </c:rich>
      </c:tx>
      <c:layout>
        <c:manualLayout>
          <c:xMode val="edge"/>
          <c:yMode val="edge"/>
          <c:x val="0.22677211388790444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'Financial Analysis'!$B$18</c:f>
              <c:strCache>
                <c:ptCount val="1"/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'Financial Analysis'!$F$11:$J$11</c:f>
              <c:strCache>
                <c:ptCount val="5"/>
                <c:pt idx="0">
                  <c:v>2023E</c:v>
                </c:pt>
                <c:pt idx="1">
                  <c:v>2024E</c:v>
                </c:pt>
                <c:pt idx="2">
                  <c:v>2025E</c:v>
                </c:pt>
                <c:pt idx="3">
                  <c:v>2026E</c:v>
                </c:pt>
                <c:pt idx="4">
                  <c:v>2027E</c:v>
                </c:pt>
              </c:strCache>
            </c:strRef>
          </c:cat>
          <c:val>
            <c:numRef>
              <c:f>'Balance Sheet'!$F$69:$J$69</c:f>
              <c:numCache>
                <c:formatCode>_(* #,##0.00_);_(* \(#,##0.00\);_(* "-"??_);_(@_)</c:formatCode>
                <c:ptCount val="5"/>
                <c:pt idx="0">
                  <c:v>75.447455131542213</c:v>
                </c:pt>
                <c:pt idx="1">
                  <c:v>14.934673072726374</c:v>
                </c:pt>
                <c:pt idx="2">
                  <c:v>10.170444785323642</c:v>
                </c:pt>
                <c:pt idx="3">
                  <c:v>7.390649156564594</c:v>
                </c:pt>
                <c:pt idx="4">
                  <c:v>5.4263315180519944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2E9-45F1-868E-9A1A28FCC1B7}"/>
            </c:ext>
          </c:extLst>
        </c:ser>
        <c:dLbls>
          <c:dLblPos val="inBase"/>
          <c:showLegendKey val="0"/>
          <c:showVal val="1"/>
          <c:showCatName val="0"/>
          <c:showSerName val="0"/>
          <c:showPercent val="0"/>
          <c:showBubbleSize val="0"/>
        </c:dLbls>
        <c:gapWidth val="253"/>
        <c:axId val="1705385992"/>
        <c:axId val="1126179336"/>
      </c:barChart>
      <c:catAx>
        <c:axId val="17053859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6179336"/>
        <c:crosses val="autoZero"/>
        <c:auto val="1"/>
        <c:lblAlgn val="ctr"/>
        <c:lblOffset val="100"/>
        <c:noMultiLvlLbl val="0"/>
      </c:catAx>
      <c:valAx>
        <c:axId val="1126179336"/>
        <c:scaling>
          <c:orientation val="minMax"/>
          <c:max val="16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.00_);_(* \(#,##0.0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5385992"/>
        <c:crosses val="autoZero"/>
        <c:crossBetween val="between"/>
      </c:valAx>
      <c:dTable>
        <c:showHorzBorder val="0"/>
        <c:showVertBorder val="0"/>
        <c:showOutline val="0"/>
        <c:showKeys val="0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CAGR</a:t>
            </a:r>
          </a:p>
        </c:rich>
      </c:tx>
      <c:layout>
        <c:manualLayout>
          <c:xMode val="edge"/>
          <c:yMode val="edge"/>
          <c:x val="0.44526973596874919"/>
          <c:y val="3.508366858170031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'Financial Analysis'!$A$4</c:f>
              <c:strCache>
                <c:ptCount val="1"/>
                <c:pt idx="0">
                  <c:v>CAGR</c:v>
                </c:pt>
              </c:strCache>
            </c:strRef>
          </c:tx>
          <c:spPr>
            <a:solidFill>
              <a:srgbClr val="4472C4"/>
            </a:solidFill>
            <a:ln>
              <a:solidFill>
                <a:srgbClr val="ED7D31"/>
              </a:solidFill>
              <a:prstDash val="solid"/>
            </a:ln>
            <a:effectLst/>
          </c:spPr>
          <c:invertIfNegative val="0"/>
          <c:cat>
            <c:strRef>
              <c:f>'Financial Analysis'!$B$3:$D$3</c:f>
              <c:strCache>
                <c:ptCount val="3"/>
                <c:pt idx="0">
                  <c:v>2017-2021</c:v>
                </c:pt>
                <c:pt idx="1">
                  <c:v>2021-2023</c:v>
                </c:pt>
                <c:pt idx="2">
                  <c:v>2017-2023</c:v>
                </c:pt>
              </c:strCache>
            </c:strRef>
          </c:cat>
          <c:val>
            <c:numRef>
              <c:f>'Financial Analysis'!$B$4:$D$4</c:f>
              <c:numCache>
                <c:formatCode>0.00%</c:formatCode>
                <c:ptCount val="3"/>
                <c:pt idx="0">
                  <c:v>0.31575797776832104</c:v>
                </c:pt>
                <c:pt idx="1">
                  <c:v>-0.12936154634443686</c:v>
                </c:pt>
                <c:pt idx="2">
                  <c:v>0.14655956810555892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8D802781-A942-45AF-B7DA-5879A8F8A1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3"/>
        <c:overlap val="-30"/>
        <c:axId val="324839944"/>
        <c:axId val="324850184"/>
      </c:barChart>
      <c:catAx>
        <c:axId val="3248399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4850184"/>
        <c:crosses val="autoZero"/>
        <c:auto val="1"/>
        <c:lblAlgn val="ctr"/>
        <c:lblOffset val="100"/>
        <c:noMultiLvlLbl val="0"/>
      </c:catAx>
      <c:valAx>
        <c:axId val="324850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48399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Sales and Debt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Sales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'Financial Analysis'!$D$6:$L$6</c:f>
              <c:strCache>
                <c:ptCount val="9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  <c:pt idx="4">
                  <c:v>2023E</c:v>
                </c:pt>
                <c:pt idx="5">
                  <c:v>2024E</c:v>
                </c:pt>
                <c:pt idx="6">
                  <c:v>2025E</c:v>
                </c:pt>
                <c:pt idx="7">
                  <c:v>2026E</c:v>
                </c:pt>
                <c:pt idx="8">
                  <c:v>2027E</c:v>
                </c:pt>
              </c:strCache>
            </c:strRef>
          </c:cat>
          <c:val>
            <c:numRef>
              <c:f>'Financial Analysis'!$D$7:$L$7</c:f>
              <c:numCache>
                <c:formatCode>General</c:formatCode>
                <c:ptCount val="9"/>
                <c:pt idx="0">
                  <c:v>363319</c:v>
                </c:pt>
                <c:pt idx="1">
                  <c:v>545772</c:v>
                </c:pt>
                <c:pt idx="2">
                  <c:v>785545</c:v>
                </c:pt>
                <c:pt idx="3">
                  <c:v>655901</c:v>
                </c:pt>
                <c:pt idx="4">
                  <c:v>595452</c:v>
                </c:pt>
                <c:pt idx="5">
                  <c:v>631179.12</c:v>
                </c:pt>
                <c:pt idx="6">
                  <c:v>669049.86719999998</c:v>
                </c:pt>
                <c:pt idx="7">
                  <c:v>709192.85923199996</c:v>
                </c:pt>
                <c:pt idx="8">
                  <c:v>751744.43078592001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D8C-4E41-8F02-4F38992928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812077328"/>
        <c:axId val="1812079056"/>
      </c:barChart>
      <c:lineChart>
        <c:grouping val="standard"/>
        <c:varyColors val="0"/>
        <c:ser>
          <c:idx val="1"/>
          <c:order val="1"/>
          <c:tx>
            <c:v>Debt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'Financial Analysis'!$B$6:$L$6</c:f>
              <c:strCache>
                <c:ptCount val="11"/>
                <c:pt idx="0">
                  <c:v>2017</c:v>
                </c:pt>
                <c:pt idx="1">
                  <c:v>2018</c:v>
                </c:pt>
                <c:pt idx="2">
                  <c:v>2019</c:v>
                </c:pt>
                <c:pt idx="3">
                  <c:v>2020</c:v>
                </c:pt>
                <c:pt idx="4">
                  <c:v>2021</c:v>
                </c:pt>
                <c:pt idx="5">
                  <c:v>2022</c:v>
                </c:pt>
                <c:pt idx="6">
                  <c:v>2023E</c:v>
                </c:pt>
                <c:pt idx="7">
                  <c:v>2024E</c:v>
                </c:pt>
                <c:pt idx="8">
                  <c:v>2025E</c:v>
                </c:pt>
                <c:pt idx="9">
                  <c:v>2026E</c:v>
                </c:pt>
                <c:pt idx="10">
                  <c:v>2027E</c:v>
                </c:pt>
              </c:strCache>
            </c:strRef>
          </c:cat>
          <c:val>
            <c:numRef>
              <c:f>'Financial Analysis'!$B$12:$J$12</c:f>
              <c:numCache>
                <c:formatCode>_(* #,##0.00_);_(* \(#,##0.00\);_(* "-"??_);_(@_)</c:formatCode>
                <c:ptCount val="9"/>
                <c:pt idx="0">
                  <c:v>448222</c:v>
                </c:pt>
                <c:pt idx="1">
                  <c:v>437844</c:v>
                </c:pt>
                <c:pt idx="2">
                  <c:v>420533</c:v>
                </c:pt>
                <c:pt idx="3">
                  <c:v>494253</c:v>
                </c:pt>
                <c:pt idx="4">
                  <c:v>437007.63110062515</c:v>
                </c:pt>
                <c:pt idx="5">
                  <c:v>456053.73727148701</c:v>
                </c:pt>
                <c:pt idx="6">
                  <c:v>462746.96150777629</c:v>
                </c:pt>
                <c:pt idx="7">
                  <c:v>456453.77919824282</c:v>
                </c:pt>
                <c:pt idx="8">
                  <c:v>430981.00595013739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D8C-4E41-8F02-4F38992928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12077328"/>
        <c:axId val="1812079056"/>
      </c:lineChart>
      <c:catAx>
        <c:axId val="18120773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12079056"/>
        <c:crosses val="autoZero"/>
        <c:auto val="1"/>
        <c:lblAlgn val="ctr"/>
        <c:lblOffset val="100"/>
        <c:noMultiLvlLbl val="0"/>
      </c:catAx>
      <c:valAx>
        <c:axId val="1812079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120773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EBITDA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'Financial Analysis'!$A$27</c:f>
              <c:strCache>
                <c:ptCount val="1"/>
                <c:pt idx="0">
                  <c:v>EBITDA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'Financial Analysis'!$B$26:$J$26</c:f>
              <c:numCache>
                <c:formatCode>General</c:formatCode>
                <c:ptCount val="9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  <c:pt idx="4">
                  <c:v>2023</c:v>
                </c:pt>
                <c:pt idx="5">
                  <c:v>2024</c:v>
                </c:pt>
                <c:pt idx="6">
                  <c:v>2025</c:v>
                </c:pt>
                <c:pt idx="7">
                  <c:v>2026</c:v>
                </c:pt>
                <c:pt idx="8">
                  <c:v>2027</c:v>
                </c:pt>
              </c:numCache>
            </c:numRef>
          </c:cat>
          <c:val>
            <c:numRef>
              <c:f>'Financial Analysis'!$B$27:$J$27</c:f>
              <c:numCache>
                <c:formatCode>#,##0</c:formatCode>
                <c:ptCount val="9"/>
                <c:pt idx="0">
                  <c:v>49612</c:v>
                </c:pt>
                <c:pt idx="1">
                  <c:v>99314</c:v>
                </c:pt>
                <c:pt idx="2">
                  <c:v>-13649</c:v>
                </c:pt>
                <c:pt idx="3">
                  <c:v>-289395</c:v>
                </c:pt>
                <c:pt idx="4">
                  <c:v>5792.211683465066</c:v>
                </c:pt>
                <c:pt idx="5">
                  <c:v>30536.573184472989</c:v>
                </c:pt>
                <c:pt idx="6">
                  <c:v>45499.186247541365</c:v>
                </c:pt>
                <c:pt idx="7">
                  <c:v>61760.986014713882</c:v>
                </c:pt>
                <c:pt idx="8">
                  <c:v>79424.009483455928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5E7E2EE7-9B77-45B6-9C1F-63E99E5BED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3"/>
        <c:overlap val="-30"/>
        <c:axId val="252881927"/>
        <c:axId val="217814023"/>
      </c:barChart>
      <c:catAx>
        <c:axId val="2528819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7814023"/>
        <c:crosses val="autoZero"/>
        <c:auto val="1"/>
        <c:lblAlgn val="ctr"/>
        <c:lblOffset val="100"/>
        <c:noMultiLvlLbl val="0"/>
      </c:catAx>
      <c:valAx>
        <c:axId val="217814023"/>
        <c:scaling>
          <c:orientation val="minMax"/>
          <c:max val="120000"/>
          <c:min val="-30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EBITDA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2881927"/>
        <c:crosses val="autoZero"/>
        <c:crossBetween val="between"/>
        <c:dispUnits>
          <c:builtInUnit val="thousands"/>
          <c:dispUnitsLbl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</c:dispUnitsLbl>
        </c:dispUnits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Relationship Id="rId6" Type="http://schemas.openxmlformats.org/officeDocument/2006/relationships/chart" Target="../charts/chart7.xml"/><Relationship Id="rId5" Type="http://schemas.openxmlformats.org/officeDocument/2006/relationships/chart" Target="../charts/chart6.xml"/><Relationship Id="rId4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266700</xdr:colOff>
      <xdr:row>39</xdr:row>
      <xdr:rowOff>76200</xdr:rowOff>
    </xdr:from>
    <xdr:to>
      <xdr:col>6</xdr:col>
      <xdr:colOff>619125</xdr:colOff>
      <xdr:row>53</xdr:row>
      <xdr:rowOff>19050</xdr:rowOff>
    </xdr:to>
    <xdr:graphicFrame macro="">
      <xdr:nvGraphicFramePr>
        <xdr:cNvPr id="3" name="Chart 1">
          <a:extLst>
            <a:ext uri="{FF2B5EF4-FFF2-40B4-BE49-F238E27FC236}">
              <a16:creationId xmlns:a16="http://schemas.microsoft.com/office/drawing/2014/main" id="{E7F4FF1B-7897-DA7D-C5D2-2DA47654E85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729543</xdr:colOff>
      <xdr:row>6</xdr:row>
      <xdr:rowOff>63500</xdr:rowOff>
    </xdr:from>
    <xdr:to>
      <xdr:col>21</xdr:col>
      <xdr:colOff>88900</xdr:colOff>
      <xdr:row>8</xdr:row>
      <xdr:rowOff>181552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58F2B77-4E59-F515-A917-6C2FD3A873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844843" y="1308100"/>
          <a:ext cx="10255957" cy="524452"/>
        </a:xfrm>
        <a:prstGeom prst="rect">
          <a:avLst/>
        </a:prstGeom>
      </xdr:spPr>
    </xdr:pic>
    <xdr:clientData/>
  </xdr:twoCellAnchor>
  <xdr:twoCellAnchor editAs="oneCell">
    <xdr:from>
      <xdr:col>9</xdr:col>
      <xdr:colOff>91719</xdr:colOff>
      <xdr:row>11</xdr:row>
      <xdr:rowOff>165100</xdr:rowOff>
    </xdr:from>
    <xdr:to>
      <xdr:col>21</xdr:col>
      <xdr:colOff>266700</xdr:colOff>
      <xdr:row>15</xdr:row>
      <xdr:rowOff>197257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A7ECA9E-48AA-2C58-5CC3-BD86A6742E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045219" y="2222500"/>
          <a:ext cx="10233381" cy="844957"/>
        </a:xfrm>
        <a:prstGeom prst="rect">
          <a:avLst/>
        </a:prstGeom>
      </xdr:spPr>
    </xdr:pic>
    <xdr:clientData/>
  </xdr:twoCellAnchor>
  <xdr:twoCellAnchor editAs="oneCell">
    <xdr:from>
      <xdr:col>10</xdr:col>
      <xdr:colOff>127000</xdr:colOff>
      <xdr:row>19</xdr:row>
      <xdr:rowOff>114300</xdr:rowOff>
    </xdr:from>
    <xdr:to>
      <xdr:col>19</xdr:col>
      <xdr:colOff>355600</xdr:colOff>
      <xdr:row>24</xdr:row>
      <xdr:rowOff>34391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B4443D48-403B-2AFE-5DBD-A08ECA976D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223500" y="3797300"/>
          <a:ext cx="7772400" cy="936091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304800</xdr:colOff>
      <xdr:row>23</xdr:row>
      <xdr:rowOff>47625</xdr:rowOff>
    </xdr:from>
    <xdr:to>
      <xdr:col>22</xdr:col>
      <xdr:colOff>76200</xdr:colOff>
      <xdr:row>36</xdr:row>
      <xdr:rowOff>190500</xdr:rowOff>
    </xdr:to>
    <xdr:graphicFrame macro="">
      <xdr:nvGraphicFramePr>
        <xdr:cNvPr id="4" name="Chart 5">
          <a:extLst>
            <a:ext uri="{FF2B5EF4-FFF2-40B4-BE49-F238E27FC236}">
              <a16:creationId xmlns:a16="http://schemas.microsoft.com/office/drawing/2014/main" id="{B0F59A69-D913-4398-AF95-3F40BAFB994D}"/>
            </a:ext>
            <a:ext uri="{147F2762-F138-4A5C-976F-8EAC2B608ADB}">
              <a16:predDERef xmlns:a16="http://schemas.microsoft.com/office/drawing/2014/main" pred="{E7F4FF1B-7897-DA7D-C5D2-2DA47654E85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504825</xdr:colOff>
      <xdr:row>2</xdr:row>
      <xdr:rowOff>19050</xdr:rowOff>
    </xdr:from>
    <xdr:to>
      <xdr:col>19</xdr:col>
      <xdr:colOff>276225</xdr:colOff>
      <xdr:row>15</xdr:row>
      <xdr:rowOff>161925</xdr:rowOff>
    </xdr:to>
    <xdr:graphicFrame macro="">
      <xdr:nvGraphicFramePr>
        <xdr:cNvPr id="12" name="Chart 1" descr="Chart type: Clustered Column. 'Sales'&#10;&#10;Description automatically generated">
          <a:extLst>
            <a:ext uri="{FF2B5EF4-FFF2-40B4-BE49-F238E27FC236}">
              <a16:creationId xmlns:a16="http://schemas.microsoft.com/office/drawing/2014/main" id="{73B6F4CB-31B3-B66B-CE8B-263E197AA503}"/>
            </a:ext>
            <a:ext uri="{147F2762-F138-4A5C-976F-8EAC2B608ADB}">
              <a16:predDERef xmlns:a16="http://schemas.microsoft.com/office/drawing/2014/main" pred="{B0F59A69-D913-4398-AF95-3F40BAFB994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400050</xdr:colOff>
      <xdr:row>31</xdr:row>
      <xdr:rowOff>95250</xdr:rowOff>
    </xdr:from>
    <xdr:to>
      <xdr:col>15</xdr:col>
      <xdr:colOff>276225</xdr:colOff>
      <xdr:row>46</xdr:row>
      <xdr:rowOff>85725</xdr:rowOff>
    </xdr:to>
    <xdr:graphicFrame macro="">
      <xdr:nvGraphicFramePr>
        <xdr:cNvPr id="51" name="Chart 2">
          <a:extLst>
            <a:ext uri="{FF2B5EF4-FFF2-40B4-BE49-F238E27FC236}">
              <a16:creationId xmlns:a16="http://schemas.microsoft.com/office/drawing/2014/main" id="{54C99310-AA1E-D317-6848-4F98D4A1B7E1}"/>
            </a:ext>
            <a:ext uri="{147F2762-F138-4A5C-976F-8EAC2B608ADB}">
              <a16:predDERef xmlns:a16="http://schemas.microsoft.com/office/drawing/2014/main" pred="{73B6F4CB-31B3-B66B-CE8B-263E197AA50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</xdr:col>
      <xdr:colOff>619125</xdr:colOff>
      <xdr:row>33</xdr:row>
      <xdr:rowOff>57150</xdr:rowOff>
    </xdr:from>
    <xdr:to>
      <xdr:col>9</xdr:col>
      <xdr:colOff>276225</xdr:colOff>
      <xdr:row>45</xdr:row>
      <xdr:rowOff>47625</xdr:rowOff>
    </xdr:to>
    <xdr:graphicFrame macro="">
      <xdr:nvGraphicFramePr>
        <xdr:cNvPr id="5" name="Chart 4" descr="Chart type: Clustered Column. '31.58%'&#10;&#10;Description automatically generated">
          <a:extLst>
            <a:ext uri="{FF2B5EF4-FFF2-40B4-BE49-F238E27FC236}">
              <a16:creationId xmlns:a16="http://schemas.microsoft.com/office/drawing/2014/main" id="{5F3CEE7B-3EF4-2CE2-0064-8EA295D6F2E3}"/>
            </a:ext>
            <a:ext uri="{147F2762-F138-4A5C-976F-8EAC2B608ADB}">
              <a16:predDERef xmlns:a16="http://schemas.microsoft.com/office/drawing/2014/main" pred="{54C99310-AA1E-D317-6848-4F98D4A1B7E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19</xdr:col>
      <xdr:colOff>635000</xdr:colOff>
      <xdr:row>6</xdr:row>
      <xdr:rowOff>63500</xdr:rowOff>
    </xdr:from>
    <xdr:to>
      <xdr:col>26</xdr:col>
      <xdr:colOff>406400</xdr:colOff>
      <xdr:row>19</xdr:row>
      <xdr:rowOff>165100</xdr:rowOff>
    </xdr:to>
    <xdr:graphicFrame macro="">
      <xdr:nvGraphicFramePr>
        <xdr:cNvPr id="38" name="Chart 6">
          <a:extLst>
            <a:ext uri="{FF2B5EF4-FFF2-40B4-BE49-F238E27FC236}">
              <a16:creationId xmlns:a16="http://schemas.microsoft.com/office/drawing/2014/main" id="{5553A017-2146-21D7-69F6-29CB391C77E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0</xdr:col>
      <xdr:colOff>285750</xdr:colOff>
      <xdr:row>29</xdr:row>
      <xdr:rowOff>95250</xdr:rowOff>
    </xdr:from>
    <xdr:to>
      <xdr:col>4</xdr:col>
      <xdr:colOff>438150</xdr:colOff>
      <xdr:row>43</xdr:row>
      <xdr:rowOff>38100</xdr:rowOff>
    </xdr:to>
    <xdr:graphicFrame macro="">
      <xdr:nvGraphicFramePr>
        <xdr:cNvPr id="3" name="Chart 2" descr="Chart type: Clustered Column. 'EBITDA'&#10;&#10;Description automatically generated">
          <a:extLst>
            <a:ext uri="{FF2B5EF4-FFF2-40B4-BE49-F238E27FC236}">
              <a16:creationId xmlns:a16="http://schemas.microsoft.com/office/drawing/2014/main" id="{637E6A64-9297-0095-446C-464418B8D457}"/>
            </a:ext>
            <a:ext uri="{147F2762-F138-4A5C-976F-8EAC2B608ADB}">
              <a16:predDERef xmlns:a16="http://schemas.microsoft.com/office/drawing/2014/main" pred="{5553A017-2146-21D7-69F6-29CB391C77E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  <types>
    <type name="_linkedentity">
      <keyFlags>
        <key name="%cvi">
          <flag name="ShowInCardView" value="0"/>
          <flag name="ShowInDotNotation" value="0"/>
          <flag name="ShowInAutoComplete" value="0"/>
          <flag name="ExcludeFromCalcComparison" value="1"/>
        </key>
      </keyFlags>
    </type>
    <type name="_linkedentitycore">
      <keyFlags>
        <key name="%EntityServiceId">
          <flag name="ShowInCardView" value="0"/>
          <flag name="ShowInDotNotation" value="0"/>
          <flag name="ShowInAutoComplete" value="0"/>
        </key>
        <key name="%EntitySubDomainId">
          <flag name="ShowInCardView" value="0"/>
          <flag name="ShowInDotNotation" value="0"/>
          <flag name="ShowInAutoComplete" value="0"/>
        </key>
        <key name="%EntityCulture">
          <flag name="ShowInCardView" value="0"/>
          <flag name="ShowInDotNotation" value="0"/>
          <flag name="ShowInAutoComplete" value="0"/>
        </key>
        <key name="%EntityId">
          <flag name="ShowInCardView" value="0"/>
          <flag name="ShowInDotNotation" value="0"/>
          <flag name="ShowInAutoComplete" value="0"/>
        </key>
        <key name="%IsRefreshable">
          <flag name="ShowInCardView" value="0"/>
          <flag name="ShowInAutoComplete" value="0"/>
          <flag name="ExcludeFromCalcComparison" value="1"/>
        </key>
        <key name="%ProviderInfo">
          <flag name="ShowInCardView" value="0"/>
          <flag name="ShowInDotNotation" value="0"/>
          <flag name="ShowInAutoComplete" value="0"/>
        </key>
        <key name="%DataProviderExternalLinkLogo">
          <flag name="ShowInCardView" value="0"/>
          <flag name="ShowInDotNotation" value="0"/>
          <flag name="ShowInAutoComplete" value="0"/>
        </key>
        <key name="%DataProviderExternalLink">
          <flag name="ShowInCardView" value="0"/>
          <flag name="ShowInDotNotation" value="0"/>
          <flag name="ShowInAutoComplete" value="0"/>
        </key>
        <key name="%OutdatedReason">
          <flag name="ShowInCardView" value="0"/>
          <flag name="ShowInDotNotation" value="0"/>
          <flag name="ShowInAutoComplete" value="0"/>
          <flag name="ExcludeFromCalcComparison" value="1"/>
        </key>
      </keyFlags>
    </type>
  </types>
</rvTypesInfo>
</file>

<file path=xl/richData/rdrichvalue.xml><?xml version="1.0" encoding="utf-8"?>
<rvData xmlns="http://schemas.microsoft.com/office/spreadsheetml/2017/richdata" count="3">
  <rv s="0">
    <v>https://www.bing.com/financeapi/forcetrigger?t=a33knm&amp;q=10+Y+TSY+YLD+NDX&amp;form=skydnc</v>
    <v>Learn more on Bing</v>
  </rv>
  <rv s="1">
    <v>0</v>
    <v>10 Y TSY YLD NDX</v>
    <v>2</v>
    <v>3</v>
    <v>Finance</v>
    <v>4</v>
    <v>en-US</v>
    <v>a33knm</v>
    <v>268435456</v>
    <v>1</v>
    <v>Powered by Refinitiv</v>
    <v>48.09</v>
    <v>36.03</v>
    <v>-0.59</v>
    <v>-1.3252E-2</v>
    <v>US</v>
    <v>44.42</v>
    <v>Index</v>
    <v>0</v>
    <v>43.81</v>
    <v>10 Y TSY YLD NDX</v>
    <v>44.03</v>
    <v>44.52</v>
    <v>43.93</v>
    <v>TNX</v>
    <v>10 Y TSY YLD NDX</v>
  </rv>
  <rv s="2">
    <v>1</v>
  </rv>
</rvData>
</file>

<file path=xl/richData/rdrichvaluestructure.xml><?xml version="1.0" encoding="utf-8"?>
<rvStructures xmlns="http://schemas.microsoft.com/office/spreadsheetml/2017/richdata" count="3">
  <s t="_hyperlink">
    <k n="Address" t="s"/>
    <k n="Text" t="s"/>
  </s>
  <s t="_linkedentitycore">
    <k n="_Display" t="spb"/>
    <k n="_DisplayString" t="s"/>
    <k n="_Flags" t="spb"/>
    <k n="_Format" t="spb"/>
    <k n="_Icon" t="s"/>
    <k n="_SubLabel" t="spb"/>
    <k n="%EntityCulture" t="s"/>
    <k n="%EntityId" t="s"/>
    <k n="%EntityServiceId"/>
    <k n="%IsRefreshable" t="b"/>
    <k n="%ProviderInfo" t="s"/>
    <k n="52 week high"/>
    <k n="52 week low"/>
    <k n="Change"/>
    <k n="Change (%)"/>
    <k n="Country/region" t="s"/>
    <k n="High"/>
    <k n="Instrument type" t="s"/>
    <k n="LearnMoreOnLink" t="r"/>
    <k n="Low"/>
    <k n="Name" t="s"/>
    <k n="Open"/>
    <k n="Previous close"/>
    <k n="Price"/>
    <k n="Ticker symbol" t="s"/>
    <k n="UniqueName" t="s"/>
  </s>
  <s t="_linkedentity">
    <k n="%cvi" t="r"/>
  </s>
</rvStructures>
</file>

<file path=xl/richData/rdsupportingpropertybag.xml><?xml version="1.0" encoding="utf-8"?>
<supportingPropertyBags xmlns="http://schemas.microsoft.com/office/spreadsheetml/2017/richdata2">
  <spbArrays count="1">
    <a count="26">
      <v t="s">%EntityServiceId</v>
      <v t="s">_Format</v>
      <v t="s">%IsRefreshable</v>
      <v t="s">%EntityCulture</v>
      <v t="s">%EntityId</v>
      <v t="s">_Icon</v>
      <v t="s">_Display</v>
      <v t="s">Name</v>
      <v t="s">Price</v>
      <v t="s">Ticker symbol</v>
      <v t="s">_SubLabel</v>
      <v t="s">Change</v>
      <v t="s">Change (%)</v>
      <v t="s">Country/region</v>
      <v t="s">Previous close</v>
      <v t="s">Open</v>
      <v t="s">High</v>
      <v t="s">Low</v>
      <v t="s">52 week high</v>
      <v t="s">52 week low</v>
      <v t="s">Instrument type</v>
      <v t="s">_Flags</v>
      <v t="s">UniqueName</v>
      <v t="s">_DisplayString</v>
      <v t="s">LearnMoreOnLink</v>
      <v t="s">%ProviderInfo</v>
    </a>
  </spbArrays>
  <spbData count="5">
    <spb s="0">
      <v>0</v>
      <v>Name</v>
      <v>LearnMoreOnLink</v>
    </spb>
    <spb s="1">
      <v>0</v>
      <v>0</v>
      <v>0</v>
    </spb>
    <spb s="2">
      <v>1</v>
      <v>1</v>
      <v>1</v>
    </spb>
    <spb s="3">
      <v>1</v>
      <v>1</v>
      <v>2</v>
      <v>1</v>
      <v>1</v>
      <v>1</v>
      <v>3</v>
      <v>1</v>
      <v>1</v>
      <v>1</v>
      <v>4</v>
    </spb>
    <spb s="4">
      <v>from previous close</v>
      <v>from previous close</v>
    </spb>
  </spbData>
</supportingPropertyBags>
</file>

<file path=xl/richData/rdsupportingpropertybagstructure.xml><?xml version="1.0" encoding="utf-8"?>
<spbStructures xmlns="http://schemas.microsoft.com/office/spreadsheetml/2017/richdata2" count="5">
  <s>
    <k n="^Order" t="spba"/>
    <k n="TitleProperty" t="s"/>
    <k n="SubTitleProperty" t="s"/>
  </s>
  <s>
    <k n="ShowInCardView" t="b"/>
    <k n="ShowInDotNotation" t="b"/>
    <k n="ShowInAutoComplete" t="b"/>
  </s>
  <s>
    <k n="UniqueName" t="spb"/>
    <k n="`%ProviderInfo" t="spb"/>
    <k n="LearnMoreOnLink" t="spb"/>
  </s>
  <s>
    <k n="Low" t="i"/>
    <k n="High" t="i"/>
    <k n="Name" t="i"/>
    <k n="Open" t="i"/>
    <k n="Price" t="i"/>
    <k n="Change" t="i"/>
    <k n="Change (%)" t="i"/>
    <k n="52 week low" t="i"/>
    <k n="52 week high" t="i"/>
    <k n="Previous close" t="i"/>
    <k n="`%EntityServiceId" t="i"/>
  </s>
  <s>
    <k n="Change" t="s"/>
    <k n="Change (%)" t="s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3">
    <x:dxf>
      <x:numFmt numFmtId="2" formatCode="0.00"/>
    </x:dxf>
    <x:dxf>
      <x:numFmt numFmtId="0" formatCode="General"/>
    </x:dxf>
    <x:dxf>
      <x:numFmt numFmtId="14" formatCode="0.00%"/>
    </x:dxf>
  </dxfs>
  <richProperties>
    <rPr n="NumberFormat" t="s"/>
    <rPr n="IsTitleField" t="b"/>
  </richProperties>
  <richStyles>
    <rSty dxfid="1">
      <rpv i="0">_([$$-en-US]* #,##0.00_);_([$$-en-US]* (#,##0.00);_([$$-en-US]* "-"??_);_(@_)</rpv>
    </rSty>
    <rSty>
      <rpv i="1">1</rpv>
    </rSty>
    <rSty dxfid="2"/>
    <rSty dxfid="0">
      <rpv i="0">0.00</rpv>
    </rSty>
  </richStyles>
</richStyleShee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F8AF8B7-BFDC-4555-8B6E-68131CB63DC1}" name="Table1" displayName="Table1" ref="A4:B14" totalsRowShown="0">
  <autoFilter ref="A4:B14" xr:uid="{FF8AF8B7-BFDC-4555-8B6E-68131CB63DC1}"/>
  <tableColumns count="2">
    <tableColumn id="1" xr3:uid="{FBBCE009-481C-4E78-8A45-312457CB5352}" name="Column1"/>
    <tableColumn id="2" xr3:uid="{DD10F46D-1596-4B82-A69E-8DE43D303F02}" name="Column2"/>
  </tableColumns>
  <tableStyleInfo name="TableStyleLight20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3035E0E-3BAA-4D49-92C7-A04CA77D4534}" name="Table3" displayName="Table3" ref="A15:B21" totalsRowShown="0">
  <autoFilter ref="A15:B21" xr:uid="{B3035E0E-3BAA-4D49-92C7-A04CA77D4534}"/>
  <tableColumns count="2">
    <tableColumn id="1" xr3:uid="{72F811B8-A1EA-9945-92F0-FF8B902B5788}" name="Column1"/>
    <tableColumn id="2" xr3:uid="{FC3E07A3-DAEF-3648-A9F2-EC9F73ADF2A1}" name="Column2" dataDxfId="7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AC030CD-01C9-6C42-90CD-7CB7043FD026}" name="Table2" displayName="Table2" ref="A2:C6" totalsRowShown="0" headerRowDxfId="6" headerRowBorderDxfId="5" tableBorderDxfId="4" totalsRowBorderDxfId="3">
  <autoFilter ref="A2:C6" xr:uid="{7AC030CD-01C9-6C42-90CD-7CB7043FD026}"/>
  <tableColumns count="3">
    <tableColumn id="1" xr3:uid="{41C1B871-EA24-6149-9E06-F8E8B3F9F691}" name="Method" dataDxfId="2"/>
    <tableColumn id="2" xr3:uid="{E1171141-F446-3845-826B-FEC96304BC93}" name="Price" dataDxfId="1" dataCellStyle="Currency"/>
    <tableColumn id="3" xr3:uid="{A51C6B65-F62D-BA46-8E73-2B38967F88C8}" name="Weighting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viewer.apps.factset.com/?&amp;_doc_date=20230316&amp;_doc_product=EDG&amp;_doc_id=0001857853-23-000017&amp;_doc_sequence=1&amp;_doc_title=COOK-US%20(Annual)%2031%20Dec%202022&amp;_app_id=Filings%20Wizard&amp;_table_values=39,055%7C12,500%7C42,050%7C153,471%7C27,162" TargetMode="External"/><Relationship Id="rId1" Type="http://schemas.openxmlformats.org/officeDocument/2006/relationships/hyperlink" Target="fdsup://FACTSET/Doc%20Viewer%20Single?float_window=true&amp;positioning_strategy=center_on_screen&amp;&amp;_doc_date=20230316&amp;_doc_product=EDG&amp;_doc_id=0001857853-23-000017&amp;_doc_sequence=1&amp;_doc_title=COOK-US%20(Annual)%2031%20Dec%202022&amp;_app_id=Filings%20Wizard&amp;_table_values=39,055%7C12,500%7C42,050%7C153,471%7C27,162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viewer.apps.factset.com/?&amp;_doc_date=20230316&amp;_doc_product=EDG&amp;_doc_id=0001857853-23-000017&amp;_doc_sequence=1&amp;_doc_title=COOK-US%20(Annual)%2031%20Dec%202022&amp;_app_id=Filings%20Wizard&amp;_table_values=(382,140,000%7C13,821,000%7C42,726,000%7C1,957,000%7C1,140,000" TargetMode="External"/><Relationship Id="rId1" Type="http://schemas.openxmlformats.org/officeDocument/2006/relationships/hyperlink" Target="fdsup://FACTSET/Doc%20Viewer%20Single?float_window=true&amp;positioning_strategy=center_on_screen&amp;&amp;_doc_date=20230316&amp;_doc_product=EDG&amp;_doc_id=0001857853-23-000017&amp;_doc_sequence=1&amp;_doc_title=COOK-US%20(Annual)%2031%20Dec%202022&amp;_app_id=Filings%20Wizard&amp;_table_values=(382,140,000%7C13,821,000%7C42,726,000%7C1,957,000%7C1,140,000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viewer.apps.factset.com/?&amp;_doc_date=20230316&amp;_doc_product=EDG&amp;_doc_id=0001857853-23-000017&amp;_doc_sequence=1&amp;_doc_title=COOK-US%20(Annual)%2031%20Dec%202022&amp;_app_id=Filings%20Wizard&amp;_table_values=655,901,000%7C427,129,000%7C228,772,000%7C130,688,000%7C166,824,000" TargetMode="External"/><Relationship Id="rId1" Type="http://schemas.openxmlformats.org/officeDocument/2006/relationships/hyperlink" Target="fdsup://FACTSET/Doc%20Viewer%20Single?float_window=true&amp;positioning_strategy=center_on_screen&amp;&amp;_doc_date=20230316&amp;_doc_product=EDG&amp;_doc_id=0001857853-23-000017&amp;_doc_sequence=1&amp;_doc_title=COOK-US%20(Annual)%2031%20Dec%202022&amp;_app_id=Filings%20Wizard&amp;_table_values=655,901,000%7C427,129,000%7C228,772,000%7C130,688,000%7C166,824,000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5.v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6.vml"/><Relationship Id="rId2" Type="http://schemas.openxmlformats.org/officeDocument/2006/relationships/drawing" Target="../drawings/drawing2.xml"/><Relationship Id="rId1" Type="http://schemas.openxmlformats.org/officeDocument/2006/relationships/hyperlink" Target="https://www.chathamfinancial.com/technology/us-forward-curves" TargetMode="External"/><Relationship Id="rId5" Type="http://schemas.openxmlformats.org/officeDocument/2006/relationships/comments" Target="../comments6.xml"/><Relationship Id="rId4" Type="http://schemas.openxmlformats.org/officeDocument/2006/relationships/table" Target="../tables/table2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F6AB7F-D3AD-F54F-A180-9A7867A36109}">
  <sheetPr codeName="Sheet4">
    <tabColor rgb="FFFFC000"/>
    <outlinePr summaryBelow="0" summaryRight="0"/>
  </sheetPr>
  <dimension ref="A1:F60"/>
  <sheetViews>
    <sheetView topLeftCell="A7" workbookViewId="0">
      <selection activeCell="F15" sqref="F15"/>
    </sheetView>
  </sheetViews>
  <sheetFormatPr baseColWidth="10" defaultColWidth="9.1640625" defaultRowHeight="15" customHeight="1" x14ac:dyDescent="0.15"/>
  <cols>
    <col min="1" max="1" width="64.6640625" style="2" customWidth="1"/>
    <col min="2" max="2" width="14.33203125" style="2" customWidth="1"/>
    <col min="3" max="3" width="13.5" style="2" customWidth="1"/>
    <col min="4" max="5" width="18.6640625" style="2" customWidth="1"/>
    <col min="6" max="6" width="16.83203125" style="2" customWidth="1"/>
    <col min="7" max="16384" width="9.1640625" style="2"/>
  </cols>
  <sheetData>
    <row r="1" spans="1:6" ht="13" x14ac:dyDescent="0.15">
      <c r="A1" s="75" t="s">
        <v>0</v>
      </c>
    </row>
    <row r="2" spans="1:6" ht="13" x14ac:dyDescent="0.15">
      <c r="A2" s="75" t="s">
        <v>1</v>
      </c>
    </row>
    <row r="3" spans="1:6" ht="13" x14ac:dyDescent="0.15">
      <c r="A3" s="3" t="s">
        <v>2</v>
      </c>
    </row>
    <row r="4" spans="1:6" ht="13" x14ac:dyDescent="0.15">
      <c r="A4" s="3"/>
    </row>
    <row r="5" spans="1:6" ht="14" x14ac:dyDescent="0.15">
      <c r="A5" s="74" t="s">
        <v>3</v>
      </c>
    </row>
    <row r="6" spans="1:6" ht="13" x14ac:dyDescent="0.15">
      <c r="A6" s="73" t="s">
        <v>4</v>
      </c>
    </row>
    <row r="7" spans="1:6" ht="13" x14ac:dyDescent="0.15">
      <c r="A7" s="73" t="s">
        <v>5</v>
      </c>
    </row>
    <row r="8" spans="1:6" ht="13" x14ac:dyDescent="0.15"/>
    <row r="9" spans="1:6" ht="25.5" customHeight="1" x14ac:dyDescent="0.15">
      <c r="A9" s="72" t="s">
        <v>6</v>
      </c>
      <c r="D9" s="72"/>
      <c r="E9" s="72"/>
    </row>
    <row r="10" spans="1:6" ht="12.75" customHeight="1" x14ac:dyDescent="0.15">
      <c r="A10" s="63"/>
      <c r="B10" s="68"/>
      <c r="F10" s="3" t="s">
        <v>7</v>
      </c>
    </row>
    <row r="11" spans="1:6" ht="14" x14ac:dyDescent="0.15">
      <c r="A11" s="63"/>
      <c r="B11" s="66" t="s">
        <v>8</v>
      </c>
      <c r="C11" s="66" t="s">
        <v>9</v>
      </c>
      <c r="D11" s="66" t="s">
        <v>10</v>
      </c>
      <c r="E11" s="66" t="s">
        <v>11</v>
      </c>
      <c r="F11" s="66" t="s">
        <v>12</v>
      </c>
    </row>
    <row r="12" spans="1:6" ht="13" x14ac:dyDescent="0.15">
      <c r="A12" s="63"/>
      <c r="B12" s="68"/>
      <c r="C12" s="63"/>
      <c r="D12" s="63"/>
      <c r="E12" s="63"/>
      <c r="F12" s="63"/>
    </row>
    <row r="13" spans="1:6" ht="14" x14ac:dyDescent="0.15">
      <c r="A13" s="67" t="s">
        <v>13</v>
      </c>
      <c r="B13" s="68"/>
      <c r="C13" s="63"/>
      <c r="D13" s="63"/>
      <c r="E13" s="63"/>
      <c r="F13" s="63"/>
    </row>
    <row r="14" spans="1:6" ht="14" x14ac:dyDescent="0.15">
      <c r="A14" s="62" t="s">
        <v>14</v>
      </c>
      <c r="B14" s="61">
        <v>7077</v>
      </c>
      <c r="C14" s="61">
        <v>11556</v>
      </c>
      <c r="D14" s="61">
        <v>16740</v>
      </c>
      <c r="E14" s="61">
        <v>39055</v>
      </c>
      <c r="F14" s="61">
        <v>11280</v>
      </c>
    </row>
    <row r="15" spans="1:6" ht="14" x14ac:dyDescent="0.15">
      <c r="A15" s="62" t="s">
        <v>15</v>
      </c>
      <c r="B15" s="61"/>
      <c r="C15" s="61"/>
      <c r="D15" s="68">
        <v>0</v>
      </c>
      <c r="E15" s="69">
        <v>12500</v>
      </c>
      <c r="F15" s="68">
        <v>0</v>
      </c>
    </row>
    <row r="16" spans="1:6" ht="14" x14ac:dyDescent="0.15">
      <c r="A16" s="62" t="s">
        <v>16</v>
      </c>
      <c r="B16" s="77">
        <v>34670</v>
      </c>
      <c r="C16" s="69">
        <v>64840</v>
      </c>
      <c r="D16" s="69">
        <v>92927</v>
      </c>
      <c r="E16" s="69">
        <v>42050</v>
      </c>
      <c r="F16" s="69">
        <v>50996</v>
      </c>
    </row>
    <row r="17" spans="1:6" ht="14" x14ac:dyDescent="0.15">
      <c r="A17" s="62" t="s">
        <v>17</v>
      </c>
      <c r="B17" s="77">
        <v>39304</v>
      </c>
      <c r="C17" s="69">
        <v>68835</v>
      </c>
      <c r="D17" s="69">
        <v>141540</v>
      </c>
      <c r="E17" s="69">
        <v>153471</v>
      </c>
      <c r="F17" s="69">
        <v>101891</v>
      </c>
    </row>
    <row r="18" spans="1:6" ht="14" x14ac:dyDescent="0.15">
      <c r="A18" s="62" t="s">
        <v>18</v>
      </c>
      <c r="B18" s="77">
        <v>3378</v>
      </c>
      <c r="C18" s="69">
        <v>13776</v>
      </c>
      <c r="D18" s="69">
        <v>15036</v>
      </c>
      <c r="E18" s="69">
        <v>27162</v>
      </c>
      <c r="F18" s="69">
        <v>35051</v>
      </c>
    </row>
    <row r="19" spans="1:6" ht="14" x14ac:dyDescent="0.15">
      <c r="A19" s="67" t="s">
        <v>19</v>
      </c>
      <c r="B19" s="76">
        <v>84429</v>
      </c>
      <c r="C19" s="65">
        <v>159007</v>
      </c>
      <c r="D19" s="65">
        <v>266243</v>
      </c>
      <c r="E19" s="65">
        <v>274238</v>
      </c>
      <c r="F19" s="65">
        <v>199218</v>
      </c>
    </row>
    <row r="20" spans="1:6" ht="13" x14ac:dyDescent="0.15">
      <c r="A20" s="63"/>
      <c r="B20" s="77"/>
      <c r="C20" s="63"/>
      <c r="D20" s="63"/>
      <c r="E20" s="63"/>
      <c r="F20" s="63"/>
    </row>
    <row r="21" spans="1:6" ht="14" x14ac:dyDescent="0.15">
      <c r="A21" s="62" t="s">
        <v>20</v>
      </c>
      <c r="B21" s="77">
        <v>21775</v>
      </c>
      <c r="C21" s="69">
        <v>32404</v>
      </c>
      <c r="D21" s="69">
        <v>55477</v>
      </c>
      <c r="E21" s="69">
        <v>55510</v>
      </c>
      <c r="F21" s="69">
        <v>55232</v>
      </c>
    </row>
    <row r="22" spans="1:6" ht="14" x14ac:dyDescent="0.15">
      <c r="A22" s="62" t="s">
        <v>21</v>
      </c>
      <c r="B22" s="77"/>
      <c r="C22" s="69"/>
      <c r="D22" s="68">
        <v>0</v>
      </c>
      <c r="E22" s="69">
        <v>13854</v>
      </c>
      <c r="F22" s="69">
        <v>11922</v>
      </c>
    </row>
    <row r="23" spans="1:6" ht="14" x14ac:dyDescent="0.15">
      <c r="A23" s="62" t="s">
        <v>22</v>
      </c>
      <c r="B23" s="77">
        <v>251170</v>
      </c>
      <c r="C23" s="69">
        <v>256838</v>
      </c>
      <c r="D23" s="69">
        <v>297047</v>
      </c>
      <c r="E23" s="69">
        <v>74725</v>
      </c>
      <c r="F23" s="69">
        <v>74725</v>
      </c>
    </row>
    <row r="24" spans="1:6" ht="14" x14ac:dyDescent="0.15">
      <c r="A24" s="62" t="s">
        <v>23</v>
      </c>
      <c r="B24" s="77">
        <v>567088</v>
      </c>
      <c r="C24" s="69">
        <v>539841</v>
      </c>
      <c r="D24" s="69">
        <v>555151</v>
      </c>
      <c r="E24" s="69">
        <v>512858</v>
      </c>
      <c r="F24" s="69">
        <v>481155</v>
      </c>
    </row>
    <row r="25" spans="1:6" ht="14" x14ac:dyDescent="0.15">
      <c r="A25" s="62" t="s">
        <v>24</v>
      </c>
      <c r="B25" s="77">
        <v>383</v>
      </c>
      <c r="C25" s="69">
        <v>1491</v>
      </c>
      <c r="D25" s="69">
        <v>3608</v>
      </c>
      <c r="E25" s="69">
        <v>15530</v>
      </c>
      <c r="F25" s="69">
        <v>14468</v>
      </c>
    </row>
    <row r="26" spans="1:6" ht="14" x14ac:dyDescent="0.15">
      <c r="A26" s="67" t="s">
        <v>25</v>
      </c>
      <c r="B26" s="78">
        <v>924845</v>
      </c>
      <c r="C26" s="65">
        <v>989581</v>
      </c>
      <c r="D26" s="65">
        <v>1177526</v>
      </c>
      <c r="E26" s="65">
        <v>946715</v>
      </c>
      <c r="F26" s="65">
        <v>836720</v>
      </c>
    </row>
    <row r="27" spans="1:6" ht="13" x14ac:dyDescent="0.15">
      <c r="A27" s="63"/>
      <c r="B27" s="68"/>
      <c r="C27" s="63"/>
      <c r="D27" s="63"/>
      <c r="E27" s="63"/>
      <c r="F27" s="63"/>
    </row>
    <row r="28" spans="1:6" ht="14" x14ac:dyDescent="0.15">
      <c r="A28" s="67" t="s">
        <v>26</v>
      </c>
      <c r="B28" s="68"/>
      <c r="C28" s="63"/>
      <c r="D28" s="63"/>
      <c r="E28" s="63"/>
      <c r="F28" s="63"/>
    </row>
    <row r="29" spans="1:6" ht="14" x14ac:dyDescent="0.15">
      <c r="A29" s="62" t="s">
        <v>27</v>
      </c>
      <c r="B29" s="61">
        <v>17391</v>
      </c>
      <c r="C29" s="69">
        <v>21673</v>
      </c>
      <c r="D29" s="69">
        <v>42694</v>
      </c>
      <c r="E29" s="69">
        <v>29841</v>
      </c>
      <c r="F29" s="69">
        <v>26028</v>
      </c>
    </row>
    <row r="30" spans="1:6" ht="14" x14ac:dyDescent="0.15">
      <c r="A30" s="62" t="s">
        <v>28</v>
      </c>
      <c r="B30" s="77">
        <v>28043</v>
      </c>
      <c r="C30" s="69">
        <v>54697</v>
      </c>
      <c r="D30" s="69">
        <v>69773</v>
      </c>
      <c r="E30" s="69">
        <v>52295</v>
      </c>
      <c r="F30" s="69">
        <v>40682</v>
      </c>
    </row>
    <row r="31" spans="1:6" ht="14" x14ac:dyDescent="0.15">
      <c r="A31" s="62" t="s">
        <v>29</v>
      </c>
      <c r="B31" s="77"/>
      <c r="C31" s="68">
        <v>0</v>
      </c>
      <c r="D31" s="69">
        <v>41138</v>
      </c>
      <c r="E31" s="69">
        <v>11709</v>
      </c>
      <c r="F31" s="69">
        <v>25000</v>
      </c>
    </row>
    <row r="32" spans="1:6" ht="14" x14ac:dyDescent="0.15">
      <c r="A32" s="62" t="s">
        <v>30</v>
      </c>
      <c r="B32" s="77">
        <v>3407</v>
      </c>
      <c r="C32" s="69">
        <v>3407</v>
      </c>
      <c r="D32" s="68">
        <v>0</v>
      </c>
      <c r="E32" s="69">
        <v>250</v>
      </c>
      <c r="F32" s="69">
        <v>250</v>
      </c>
    </row>
    <row r="33" spans="1:6" ht="14" x14ac:dyDescent="0.15">
      <c r="A33" s="62" t="s">
        <v>31</v>
      </c>
      <c r="B33" s="77">
        <v>323</v>
      </c>
      <c r="C33" s="69">
        <v>296</v>
      </c>
      <c r="D33" s="68">
        <v>0</v>
      </c>
      <c r="E33" s="69">
        <v>5185</v>
      </c>
      <c r="F33" s="69">
        <v>3772</v>
      </c>
    </row>
    <row r="34" spans="1:6" ht="14" x14ac:dyDescent="0.15">
      <c r="A34" s="62" t="s">
        <v>32</v>
      </c>
      <c r="B34" s="77"/>
      <c r="C34" s="68">
        <v>0</v>
      </c>
      <c r="D34" s="69">
        <v>12200</v>
      </c>
      <c r="E34" s="69">
        <v>12157</v>
      </c>
      <c r="F34" s="69">
        <v>10810</v>
      </c>
    </row>
    <row r="35" spans="1:6" ht="14" x14ac:dyDescent="0.15">
      <c r="A35" s="62" t="s">
        <v>33</v>
      </c>
      <c r="B35" s="77"/>
      <c r="C35" s="68"/>
      <c r="D35" s="69">
        <v>420</v>
      </c>
      <c r="E35" s="69">
        <v>1470</v>
      </c>
      <c r="F35" s="69">
        <v>1726</v>
      </c>
    </row>
    <row r="36" spans="1:6" ht="14" x14ac:dyDescent="0.15">
      <c r="A36" s="67" t="s">
        <v>34</v>
      </c>
      <c r="B36" s="76">
        <v>49164</v>
      </c>
      <c r="C36" s="65">
        <v>80073</v>
      </c>
      <c r="D36" s="65">
        <v>166225</v>
      </c>
      <c r="E36" s="65">
        <v>112907</v>
      </c>
      <c r="F36" s="65">
        <v>108268</v>
      </c>
    </row>
    <row r="37" spans="1:6" ht="13" x14ac:dyDescent="0.15">
      <c r="A37" s="63"/>
      <c r="B37" s="77"/>
      <c r="C37" s="63"/>
      <c r="D37" s="63"/>
      <c r="E37" s="63"/>
      <c r="F37" s="63"/>
    </row>
    <row r="38" spans="1:6" ht="14" x14ac:dyDescent="0.15">
      <c r="A38" s="62" t="s">
        <v>35</v>
      </c>
      <c r="B38" s="77">
        <v>443931</v>
      </c>
      <c r="C38" s="69">
        <v>433605</v>
      </c>
      <c r="D38" s="69">
        <v>379395</v>
      </c>
      <c r="E38" s="69">
        <v>468108</v>
      </c>
      <c r="F38" s="69">
        <v>397009</v>
      </c>
    </row>
    <row r="39" spans="1:6" ht="14" x14ac:dyDescent="0.15">
      <c r="A39" s="62" t="s">
        <v>36</v>
      </c>
      <c r="B39" s="77">
        <v>561</v>
      </c>
      <c r="C39" s="69">
        <v>536</v>
      </c>
      <c r="D39" s="69"/>
      <c r="E39" s="69"/>
      <c r="F39" s="69"/>
    </row>
    <row r="40" spans="1:6" ht="14" x14ac:dyDescent="0.15">
      <c r="A40" s="62" t="s">
        <v>37</v>
      </c>
      <c r="B40" s="77"/>
      <c r="C40" s="69"/>
      <c r="D40" s="68">
        <v>0</v>
      </c>
      <c r="E40" s="69">
        <v>9001</v>
      </c>
      <c r="F40" s="69">
        <v>8418</v>
      </c>
    </row>
    <row r="41" spans="1:6" ht="14" x14ac:dyDescent="0.15">
      <c r="A41" s="88" t="s">
        <v>38</v>
      </c>
      <c r="B41" s="89"/>
      <c r="C41" s="90">
        <v>0</v>
      </c>
      <c r="D41" s="91">
        <v>13100</v>
      </c>
      <c r="E41" s="91">
        <v>10590</v>
      </c>
      <c r="F41" s="90">
        <v>0</v>
      </c>
    </row>
    <row r="42" spans="1:6" ht="14" x14ac:dyDescent="0.15">
      <c r="A42" s="62" t="s">
        <v>39</v>
      </c>
      <c r="B42" s="77"/>
      <c r="C42" s="68">
        <v>0</v>
      </c>
      <c r="D42" s="69">
        <v>11673</v>
      </c>
      <c r="E42" s="69">
        <v>10370</v>
      </c>
      <c r="F42" s="69">
        <v>10373</v>
      </c>
    </row>
    <row r="43" spans="1:6" ht="14" x14ac:dyDescent="0.15">
      <c r="A43" s="62" t="s">
        <v>40</v>
      </c>
      <c r="B43" s="77">
        <v>311</v>
      </c>
      <c r="C43" s="69">
        <v>327</v>
      </c>
      <c r="D43" s="69">
        <v>1111</v>
      </c>
      <c r="E43" s="69">
        <v>870</v>
      </c>
      <c r="F43" s="69">
        <v>879</v>
      </c>
    </row>
    <row r="44" spans="1:6" ht="14" x14ac:dyDescent="0.15">
      <c r="A44" s="67" t="s">
        <v>41</v>
      </c>
      <c r="B44" s="76">
        <v>493967</v>
      </c>
      <c r="C44" s="65">
        <v>514541</v>
      </c>
      <c r="D44" s="65">
        <v>571504</v>
      </c>
      <c r="E44" s="65">
        <v>611846</v>
      </c>
      <c r="F44" s="65">
        <v>524947</v>
      </c>
    </row>
    <row r="45" spans="1:6" ht="13" x14ac:dyDescent="0.15">
      <c r="A45" s="63"/>
      <c r="B45" s="77"/>
      <c r="C45" s="63"/>
      <c r="D45" s="63"/>
      <c r="E45" s="63"/>
      <c r="F45" s="63"/>
    </row>
    <row r="46" spans="1:6" ht="14" x14ac:dyDescent="0.15">
      <c r="A46" s="62" t="s">
        <v>42</v>
      </c>
      <c r="B46" s="68"/>
      <c r="C46" s="68" t="s">
        <v>43</v>
      </c>
      <c r="D46" s="68" t="s">
        <v>43</v>
      </c>
      <c r="E46" s="68" t="s">
        <v>43</v>
      </c>
      <c r="F46" s="68" t="s">
        <v>43</v>
      </c>
    </row>
    <row r="47" spans="1:6" ht="14" x14ac:dyDescent="0.15">
      <c r="A47" s="67" t="s">
        <v>44</v>
      </c>
      <c r="B47" s="68"/>
      <c r="C47" s="63"/>
      <c r="D47" s="63"/>
      <c r="E47" s="63"/>
      <c r="F47" s="63"/>
    </row>
    <row r="48" spans="1:6" ht="28" x14ac:dyDescent="0.15">
      <c r="A48" s="62" t="s">
        <v>45</v>
      </c>
      <c r="B48" s="68" t="s">
        <v>46</v>
      </c>
      <c r="C48" s="68">
        <v>0</v>
      </c>
      <c r="D48" s="68">
        <v>0</v>
      </c>
      <c r="E48" s="68">
        <v>0</v>
      </c>
      <c r="F48" s="68">
        <v>0</v>
      </c>
    </row>
    <row r="49" spans="1:6" ht="14" x14ac:dyDescent="0.15">
      <c r="A49" s="62" t="s">
        <v>47</v>
      </c>
      <c r="B49" s="68"/>
      <c r="C49" s="68" t="s">
        <v>43</v>
      </c>
      <c r="D49" s="69">
        <v>12</v>
      </c>
      <c r="E49" s="69">
        <v>12</v>
      </c>
      <c r="F49" s="69">
        <v>13</v>
      </c>
    </row>
    <row r="50" spans="1:6" ht="14" x14ac:dyDescent="0.15">
      <c r="A50" s="62" t="s">
        <v>48</v>
      </c>
      <c r="B50" s="77">
        <v>558478</v>
      </c>
      <c r="C50" s="69">
        <v>571038</v>
      </c>
      <c r="D50" s="69"/>
      <c r="E50" s="69"/>
      <c r="F50" s="69"/>
    </row>
    <row r="51" spans="1:6" ht="14" x14ac:dyDescent="0.15">
      <c r="A51" s="62" t="s">
        <v>49</v>
      </c>
      <c r="B51" s="77"/>
      <c r="C51" s="68" t="s">
        <v>43</v>
      </c>
      <c r="D51" s="69">
        <v>794413</v>
      </c>
      <c r="E51" s="69">
        <v>882069</v>
      </c>
      <c r="F51" s="69">
        <v>929249</v>
      </c>
    </row>
    <row r="52" spans="1:6" ht="14" x14ac:dyDescent="0.15">
      <c r="A52" s="62" t="s">
        <v>50</v>
      </c>
      <c r="B52" s="77">
        <v>-127600</v>
      </c>
      <c r="C52" s="69">
        <v>-95998</v>
      </c>
      <c r="D52" s="69">
        <v>-188317</v>
      </c>
      <c r="E52" s="69">
        <v>-570475</v>
      </c>
      <c r="F52" s="69">
        <v>-630832</v>
      </c>
    </row>
    <row r="53" spans="1:6" ht="14" x14ac:dyDescent="0.15">
      <c r="A53" s="62" t="s">
        <v>51</v>
      </c>
      <c r="B53" s="77"/>
      <c r="C53" s="68" t="s">
        <v>43</v>
      </c>
      <c r="D53" s="69">
        <v>-86</v>
      </c>
      <c r="E53" s="69">
        <v>23263</v>
      </c>
      <c r="F53" s="69">
        <v>13343</v>
      </c>
    </row>
    <row r="54" spans="1:6" ht="14" x14ac:dyDescent="0.15">
      <c r="A54" s="67" t="s">
        <v>52</v>
      </c>
      <c r="B54" s="76">
        <v>430878</v>
      </c>
      <c r="C54" s="65">
        <v>475040</v>
      </c>
      <c r="D54" s="65">
        <v>606022</v>
      </c>
      <c r="E54" s="65">
        <v>334869</v>
      </c>
      <c r="F54" s="65">
        <v>311773</v>
      </c>
    </row>
    <row r="55" spans="1:6" ht="13" x14ac:dyDescent="0.15">
      <c r="A55" s="63"/>
      <c r="C55" s="63"/>
      <c r="D55" s="63"/>
      <c r="E55" s="63"/>
      <c r="F55" s="63"/>
    </row>
    <row r="56" spans="1:6" ht="14" x14ac:dyDescent="0.15">
      <c r="A56" s="67" t="s">
        <v>53</v>
      </c>
      <c r="B56" s="61">
        <v>924845</v>
      </c>
      <c r="C56" s="61">
        <v>989581</v>
      </c>
      <c r="D56" s="61">
        <v>1177526</v>
      </c>
      <c r="E56" s="61">
        <v>946715</v>
      </c>
      <c r="F56" s="61">
        <v>836720</v>
      </c>
    </row>
    <row r="57" spans="1:6" ht="13" x14ac:dyDescent="0.15">
      <c r="A57" s="63"/>
      <c r="D57" s="63"/>
      <c r="E57" s="63"/>
    </row>
    <row r="60" spans="1:6" ht="15" customHeight="1" x14ac:dyDescent="0.15">
      <c r="B60" s="68"/>
      <c r="C60" s="68" t="s">
        <v>43</v>
      </c>
    </row>
  </sheetData>
  <hyperlinks>
    <hyperlink ref="A6" r:id="rId1" xr:uid="{F887058B-5124-1741-A7FA-2981EAE460AE}"/>
    <hyperlink ref="A7" r:id="rId2" xr:uid="{6057D4A1-8F5C-1E40-8774-7591CE72DDBA}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F55143-5F0C-1045-8462-4C3F9E1645CC}">
  <sheetPr codeName="Sheet5">
    <tabColor rgb="FFFFC000"/>
    <outlinePr summaryBelow="0" summaryRight="0"/>
  </sheetPr>
  <dimension ref="A1:F70"/>
  <sheetViews>
    <sheetView workbookViewId="0">
      <selection activeCell="A47" sqref="A47"/>
    </sheetView>
  </sheetViews>
  <sheetFormatPr baseColWidth="10" defaultColWidth="9.1640625" defaultRowHeight="15" customHeight="1" x14ac:dyDescent="0.15"/>
  <cols>
    <col min="1" max="1" width="64.6640625" style="2" customWidth="1"/>
    <col min="2" max="2" width="16.83203125" style="2" customWidth="1"/>
    <col min="3" max="5" width="18.6640625" style="2" customWidth="1"/>
    <col min="6" max="16384" width="9.1640625" style="2"/>
  </cols>
  <sheetData>
    <row r="1" spans="1:6" ht="13" x14ac:dyDescent="0.15">
      <c r="A1" s="75" t="s">
        <v>0</v>
      </c>
    </row>
    <row r="2" spans="1:6" ht="13" x14ac:dyDescent="0.15">
      <c r="A2" s="75" t="s">
        <v>1</v>
      </c>
    </row>
    <row r="3" spans="1:6" ht="13" x14ac:dyDescent="0.15">
      <c r="A3" s="3" t="s">
        <v>2</v>
      </c>
    </row>
    <row r="4" spans="1:6" ht="13" x14ac:dyDescent="0.15">
      <c r="A4" s="3"/>
    </row>
    <row r="5" spans="1:6" ht="14" x14ac:dyDescent="0.15">
      <c r="A5" s="74" t="s">
        <v>54</v>
      </c>
    </row>
    <row r="6" spans="1:6" ht="13" x14ac:dyDescent="0.15">
      <c r="A6" s="73" t="s">
        <v>4</v>
      </c>
    </row>
    <row r="7" spans="1:6" ht="13" x14ac:dyDescent="0.15">
      <c r="A7" s="73" t="s">
        <v>5</v>
      </c>
    </row>
    <row r="8" spans="1:6" ht="13" x14ac:dyDescent="0.15"/>
    <row r="9" spans="1:6" ht="25.5" customHeight="1" x14ac:dyDescent="0.15">
      <c r="A9" s="72" t="s">
        <v>55</v>
      </c>
      <c r="C9" s="72"/>
      <c r="D9" s="72"/>
      <c r="E9" s="72"/>
    </row>
    <row r="10" spans="1:6" ht="12.75" customHeight="1" x14ac:dyDescent="0.15">
      <c r="A10" s="63"/>
    </row>
    <row r="11" spans="1:6" ht="37" customHeight="1" x14ac:dyDescent="0.15">
      <c r="A11" s="63"/>
      <c r="B11" s="66" t="s">
        <v>56</v>
      </c>
      <c r="C11" s="66" t="s">
        <v>57</v>
      </c>
      <c r="D11" s="66" t="s">
        <v>58</v>
      </c>
      <c r="E11" s="66" t="s">
        <v>59</v>
      </c>
    </row>
    <row r="12" spans="1:6" ht="15" customHeight="1" x14ac:dyDescent="0.15">
      <c r="A12" s="63"/>
      <c r="B12" s="63"/>
      <c r="C12" s="63"/>
      <c r="D12" s="63"/>
      <c r="E12" s="63"/>
    </row>
    <row r="13" spans="1:6" ht="15" customHeight="1" x14ac:dyDescent="0.15">
      <c r="A13" s="67" t="s">
        <v>60</v>
      </c>
      <c r="B13" s="63"/>
      <c r="C13" s="63"/>
      <c r="D13" s="63"/>
      <c r="E13" s="63"/>
    </row>
    <row r="14" spans="1:6" ht="15" customHeight="1" x14ac:dyDescent="0.15">
      <c r="A14" s="62" t="s">
        <v>61</v>
      </c>
      <c r="B14" s="61">
        <v>-29593</v>
      </c>
      <c r="C14" s="61">
        <v>31050</v>
      </c>
      <c r="D14" s="61">
        <v>-91767</v>
      </c>
      <c r="E14" s="61">
        <v>-382140</v>
      </c>
      <c r="F14" s="61"/>
    </row>
    <row r="15" spans="1:6" ht="15" customHeight="1" x14ac:dyDescent="0.15">
      <c r="A15" s="63"/>
      <c r="B15" s="63"/>
      <c r="C15" s="63"/>
      <c r="D15" s="63"/>
      <c r="E15" s="63"/>
    </row>
    <row r="16" spans="1:6" ht="35" customHeight="1" x14ac:dyDescent="0.15">
      <c r="A16" s="67" t="s">
        <v>62</v>
      </c>
      <c r="B16" s="63"/>
      <c r="C16" s="63"/>
      <c r="D16" s="63"/>
      <c r="E16" s="63"/>
    </row>
    <row r="17" spans="1:5" ht="15" customHeight="1" x14ac:dyDescent="0.15">
      <c r="A17" s="62" t="s">
        <v>63</v>
      </c>
      <c r="B17" s="69">
        <v>6057</v>
      </c>
      <c r="C17" s="69">
        <v>7762</v>
      </c>
      <c r="D17" s="69">
        <v>9150</v>
      </c>
      <c r="E17" s="69">
        <v>13821</v>
      </c>
    </row>
    <row r="18" spans="1:5" ht="15" customHeight="1" x14ac:dyDescent="0.15">
      <c r="A18" s="62" t="s">
        <v>64</v>
      </c>
      <c r="B18" s="69">
        <v>33100</v>
      </c>
      <c r="C18" s="69">
        <v>33206</v>
      </c>
      <c r="D18" s="69">
        <v>38350</v>
      </c>
      <c r="E18" s="69">
        <v>42726</v>
      </c>
    </row>
    <row r="19" spans="1:5" ht="15" customHeight="1" x14ac:dyDescent="0.15">
      <c r="A19" s="62" t="s">
        <v>65</v>
      </c>
      <c r="B19" s="69">
        <v>2640</v>
      </c>
      <c r="C19" s="69">
        <v>2762</v>
      </c>
      <c r="D19" s="69">
        <v>2523</v>
      </c>
      <c r="E19" s="69">
        <v>1957</v>
      </c>
    </row>
    <row r="20" spans="1:5" ht="15" customHeight="1" x14ac:dyDescent="0.15">
      <c r="A20" s="62" t="s">
        <v>66</v>
      </c>
      <c r="B20" s="69">
        <v>618</v>
      </c>
      <c r="C20" s="69">
        <v>186</v>
      </c>
      <c r="D20" s="69">
        <v>274</v>
      </c>
      <c r="E20" s="69">
        <v>1140</v>
      </c>
    </row>
    <row r="21" spans="1:5" ht="15" customHeight="1" x14ac:dyDescent="0.15">
      <c r="A21" s="62" t="s">
        <v>67</v>
      </c>
      <c r="B21" s="68">
        <v>0</v>
      </c>
      <c r="C21" s="68">
        <v>0</v>
      </c>
      <c r="D21" s="69">
        <v>5185</v>
      </c>
      <c r="E21" s="68">
        <v>0</v>
      </c>
    </row>
    <row r="22" spans="1:5" ht="15" customHeight="1" x14ac:dyDescent="0.15">
      <c r="A22" s="62" t="s">
        <v>68</v>
      </c>
      <c r="B22" s="69">
        <v>2352</v>
      </c>
      <c r="C22" s="69">
        <v>12810</v>
      </c>
      <c r="D22" s="69">
        <v>81112</v>
      </c>
      <c r="E22" s="69">
        <v>87697</v>
      </c>
    </row>
    <row r="23" spans="1:5" ht="15" customHeight="1" x14ac:dyDescent="0.15">
      <c r="A23" s="62" t="s">
        <v>69</v>
      </c>
      <c r="B23" s="69">
        <v>206</v>
      </c>
      <c r="C23" s="68">
        <v>0</v>
      </c>
      <c r="D23" s="69">
        <v>468</v>
      </c>
      <c r="E23" s="69">
        <v>-175</v>
      </c>
    </row>
    <row r="24" spans="1:5" ht="15" customHeight="1" x14ac:dyDescent="0.15">
      <c r="A24" s="62" t="s">
        <v>70</v>
      </c>
      <c r="B24" s="69">
        <v>-581</v>
      </c>
      <c r="C24" s="69">
        <v>-6087</v>
      </c>
      <c r="D24" s="69">
        <v>4821</v>
      </c>
      <c r="E24" s="69">
        <v>2440</v>
      </c>
    </row>
    <row r="25" spans="1:5" ht="15" customHeight="1" x14ac:dyDescent="0.15">
      <c r="A25" s="62" t="s">
        <v>71</v>
      </c>
      <c r="B25" s="68">
        <v>0</v>
      </c>
      <c r="C25" s="68">
        <v>0</v>
      </c>
      <c r="D25" s="69">
        <v>3800</v>
      </c>
      <c r="E25" s="69">
        <v>6722</v>
      </c>
    </row>
    <row r="26" spans="1:5" ht="15" customHeight="1" x14ac:dyDescent="0.15">
      <c r="A26" s="62" t="s">
        <v>72</v>
      </c>
      <c r="B26" s="68">
        <v>0</v>
      </c>
      <c r="C26" s="68">
        <v>0</v>
      </c>
      <c r="D26" s="68">
        <v>0</v>
      </c>
      <c r="E26" s="69">
        <v>222322</v>
      </c>
    </row>
    <row r="27" spans="1:5" ht="15" customHeight="1" x14ac:dyDescent="0.15">
      <c r="A27" s="62" t="s">
        <v>73</v>
      </c>
      <c r="B27" s="68">
        <v>0</v>
      </c>
      <c r="C27" s="68">
        <v>0</v>
      </c>
      <c r="D27" s="68">
        <v>0</v>
      </c>
      <c r="E27" s="69">
        <v>2046</v>
      </c>
    </row>
    <row r="28" spans="1:5" ht="15" customHeight="1" x14ac:dyDescent="0.15">
      <c r="A28" s="62" t="s">
        <v>74</v>
      </c>
      <c r="B28" s="68">
        <v>0</v>
      </c>
      <c r="C28" s="68">
        <v>0</v>
      </c>
      <c r="D28" s="68">
        <v>0</v>
      </c>
      <c r="E28" s="69">
        <v>334</v>
      </c>
    </row>
    <row r="29" spans="1:5" ht="16" customHeight="1" x14ac:dyDescent="0.15">
      <c r="A29" s="63"/>
      <c r="B29" s="63"/>
      <c r="C29" s="63"/>
      <c r="D29" s="63"/>
      <c r="E29" s="63"/>
    </row>
    <row r="30" spans="1:5" ht="15" customHeight="1" x14ac:dyDescent="0.15">
      <c r="A30" s="67" t="s">
        <v>75</v>
      </c>
      <c r="B30" s="63"/>
      <c r="C30" s="63"/>
      <c r="D30" s="63"/>
      <c r="E30" s="63"/>
    </row>
    <row r="31" spans="1:5" ht="15" customHeight="1" x14ac:dyDescent="0.15">
      <c r="A31" s="62" t="s">
        <v>76</v>
      </c>
      <c r="B31" s="69">
        <v>-8494</v>
      </c>
      <c r="C31" s="69">
        <v>-30170</v>
      </c>
      <c r="D31" s="69">
        <v>-26365</v>
      </c>
      <c r="E31" s="69">
        <v>51052</v>
      </c>
    </row>
    <row r="32" spans="1:5" ht="15" customHeight="1" x14ac:dyDescent="0.15">
      <c r="A32" s="62" t="s">
        <v>17</v>
      </c>
      <c r="B32" s="69">
        <v>-4949</v>
      </c>
      <c r="C32" s="69">
        <v>-28979</v>
      </c>
      <c r="D32" s="69">
        <v>-67826</v>
      </c>
      <c r="E32" s="69">
        <v>-11931</v>
      </c>
    </row>
    <row r="33" spans="1:5" ht="15" customHeight="1" x14ac:dyDescent="0.15">
      <c r="A33" s="62" t="s">
        <v>18</v>
      </c>
      <c r="B33" s="69">
        <v>-49</v>
      </c>
      <c r="C33" s="69">
        <v>-4311</v>
      </c>
      <c r="D33" s="69">
        <v>-5787</v>
      </c>
      <c r="E33" s="69">
        <v>-3046</v>
      </c>
    </row>
    <row r="34" spans="1:5" ht="15" customHeight="1" x14ac:dyDescent="0.15">
      <c r="A34" s="62" t="s">
        <v>77</v>
      </c>
      <c r="B34" s="68">
        <v>0</v>
      </c>
      <c r="C34" s="68">
        <v>0</v>
      </c>
      <c r="D34" s="69">
        <v>-681</v>
      </c>
      <c r="E34" s="69">
        <v>78</v>
      </c>
    </row>
    <row r="35" spans="1:5" ht="15" customHeight="1" x14ac:dyDescent="0.15">
      <c r="A35" s="62" t="s">
        <v>78</v>
      </c>
      <c r="B35" s="69">
        <v>17052</v>
      </c>
      <c r="C35" s="69">
        <v>28351</v>
      </c>
      <c r="D35" s="69">
        <v>19182</v>
      </c>
      <c r="E35" s="69">
        <v>-28211</v>
      </c>
    </row>
    <row r="36" spans="1:5" ht="15" customHeight="1" x14ac:dyDescent="0.15">
      <c r="A36" s="62" t="s">
        <v>40</v>
      </c>
      <c r="B36" s="69">
        <v>127</v>
      </c>
      <c r="C36" s="69">
        <v>17</v>
      </c>
      <c r="D36" s="69">
        <v>-866</v>
      </c>
      <c r="E36" s="69">
        <v>-1738</v>
      </c>
    </row>
    <row r="37" spans="1:5" ht="15" customHeight="1" x14ac:dyDescent="0.15">
      <c r="A37" s="62" t="s">
        <v>79</v>
      </c>
      <c r="B37" s="69">
        <v>18486</v>
      </c>
      <c r="C37" s="69">
        <v>46597</v>
      </c>
      <c r="D37" s="69">
        <v>-28427</v>
      </c>
      <c r="E37" s="69">
        <v>5094</v>
      </c>
    </row>
    <row r="38" spans="1:5" ht="15" customHeight="1" x14ac:dyDescent="0.15">
      <c r="A38" s="63"/>
      <c r="B38" s="63"/>
      <c r="C38" s="63"/>
      <c r="D38" s="63"/>
      <c r="E38" s="63"/>
    </row>
    <row r="39" spans="1:5" ht="15" customHeight="1" x14ac:dyDescent="0.15">
      <c r="A39" s="67" t="s">
        <v>80</v>
      </c>
      <c r="B39" s="63"/>
      <c r="C39" s="63"/>
      <c r="D39" s="63"/>
      <c r="E39" s="63"/>
    </row>
    <row r="40" spans="1:5" ht="15" customHeight="1" x14ac:dyDescent="0.15">
      <c r="A40" s="62" t="s">
        <v>81</v>
      </c>
      <c r="B40" s="69">
        <v>-7501</v>
      </c>
      <c r="C40" s="69">
        <v>-14127</v>
      </c>
      <c r="D40" s="69">
        <v>-22479</v>
      </c>
      <c r="E40" s="69">
        <v>-18398</v>
      </c>
    </row>
    <row r="41" spans="1:5" ht="15" customHeight="1" x14ac:dyDescent="0.15">
      <c r="A41" s="62" t="s">
        <v>82</v>
      </c>
      <c r="B41" s="69">
        <v>-503</v>
      </c>
      <c r="C41" s="69">
        <v>-511</v>
      </c>
      <c r="D41" s="69">
        <v>-563</v>
      </c>
      <c r="E41" s="69">
        <v>-506</v>
      </c>
    </row>
    <row r="42" spans="1:5" ht="15" customHeight="1" x14ac:dyDescent="0.15">
      <c r="A42" s="62" t="s">
        <v>83</v>
      </c>
      <c r="B42" s="69">
        <v>48</v>
      </c>
      <c r="C42" s="69">
        <v>21</v>
      </c>
      <c r="D42" s="68">
        <v>0</v>
      </c>
      <c r="E42" s="68">
        <v>0</v>
      </c>
    </row>
    <row r="43" spans="1:5" ht="15" customHeight="1" x14ac:dyDescent="0.15">
      <c r="A43" s="62" t="s">
        <v>84</v>
      </c>
      <c r="B43" s="69">
        <v>-1141</v>
      </c>
      <c r="C43" s="69">
        <v>-12724</v>
      </c>
      <c r="D43" s="69">
        <v>-56855</v>
      </c>
      <c r="E43" s="68">
        <v>0</v>
      </c>
    </row>
    <row r="44" spans="1:5" ht="15" customHeight="1" x14ac:dyDescent="0.15">
      <c r="A44" s="62" t="s">
        <v>85</v>
      </c>
      <c r="B44" s="69">
        <v>-8997</v>
      </c>
      <c r="C44" s="69">
        <v>-27341</v>
      </c>
      <c r="D44" s="69">
        <v>-79897</v>
      </c>
      <c r="E44" s="69">
        <v>-18904</v>
      </c>
    </row>
    <row r="45" spans="1:5" ht="15" customHeight="1" x14ac:dyDescent="0.15">
      <c r="A45" s="63"/>
      <c r="B45" s="63"/>
      <c r="C45" s="63"/>
      <c r="D45" s="63"/>
      <c r="E45" s="63"/>
    </row>
    <row r="46" spans="1:5" ht="15" customHeight="1" x14ac:dyDescent="0.15">
      <c r="A46" s="67" t="s">
        <v>86</v>
      </c>
      <c r="B46" s="63"/>
      <c r="C46" s="63"/>
      <c r="D46" s="63"/>
      <c r="E46" s="63"/>
    </row>
    <row r="47" spans="1:5" ht="15" customHeight="1" x14ac:dyDescent="0.15">
      <c r="A47" s="62" t="s">
        <v>87</v>
      </c>
      <c r="B47" s="69">
        <v>34500</v>
      </c>
      <c r="C47" s="69">
        <v>57000</v>
      </c>
      <c r="D47" s="69">
        <v>118000</v>
      </c>
      <c r="E47" s="69">
        <v>179000</v>
      </c>
    </row>
    <row r="48" spans="1:5" ht="15" customHeight="1" x14ac:dyDescent="0.15">
      <c r="A48" s="62" t="s">
        <v>88</v>
      </c>
      <c r="B48" s="69">
        <v>-40000</v>
      </c>
      <c r="C48" s="69">
        <v>-67000</v>
      </c>
      <c r="D48" s="69">
        <v>-67862</v>
      </c>
      <c r="E48" s="69">
        <v>-145429</v>
      </c>
    </row>
    <row r="49" spans="1:5" ht="15" customHeight="1" x14ac:dyDescent="0.15">
      <c r="A49" s="62" t="s">
        <v>89</v>
      </c>
      <c r="B49" s="68">
        <v>0</v>
      </c>
      <c r="C49" s="68">
        <v>0</v>
      </c>
      <c r="D49" s="69">
        <v>510000</v>
      </c>
      <c r="E49" s="69">
        <v>25000</v>
      </c>
    </row>
    <row r="50" spans="1:5" ht="15" customHeight="1" x14ac:dyDescent="0.15">
      <c r="A50" s="62" t="s">
        <v>90</v>
      </c>
      <c r="B50" s="68">
        <v>0</v>
      </c>
      <c r="C50" s="69">
        <v>-810</v>
      </c>
      <c r="D50" s="69">
        <v>-8601</v>
      </c>
      <c r="E50" s="68">
        <v>0</v>
      </c>
    </row>
    <row r="51" spans="1:5" ht="15" customHeight="1" x14ac:dyDescent="0.15">
      <c r="A51" s="62" t="s">
        <v>91</v>
      </c>
      <c r="B51" s="69">
        <v>-3407</v>
      </c>
      <c r="C51" s="69">
        <v>-3407</v>
      </c>
      <c r="D51" s="69">
        <v>-579921</v>
      </c>
      <c r="E51" s="69">
        <v>-125</v>
      </c>
    </row>
    <row r="52" spans="1:5" ht="15" customHeight="1" x14ac:dyDescent="0.15">
      <c r="A52" s="62" t="s">
        <v>92</v>
      </c>
      <c r="B52" s="69">
        <v>-273</v>
      </c>
      <c r="C52" s="69">
        <v>-310</v>
      </c>
      <c r="D52" s="69">
        <v>-382</v>
      </c>
      <c r="E52" s="69">
        <v>-505</v>
      </c>
    </row>
    <row r="53" spans="1:5" ht="15" customHeight="1" x14ac:dyDescent="0.15">
      <c r="A53" s="62" t="s">
        <v>93</v>
      </c>
      <c r="B53" s="69"/>
      <c r="C53" s="68">
        <v>0</v>
      </c>
      <c r="D53" s="68">
        <v>0</v>
      </c>
      <c r="E53" s="69">
        <v>-9275</v>
      </c>
    </row>
    <row r="54" spans="1:5" ht="15" customHeight="1" x14ac:dyDescent="0.15">
      <c r="A54" s="62" t="s">
        <v>94</v>
      </c>
      <c r="B54" s="69"/>
      <c r="C54" s="68">
        <v>0</v>
      </c>
      <c r="D54" s="68">
        <v>0</v>
      </c>
      <c r="E54" s="69">
        <v>-41</v>
      </c>
    </row>
    <row r="55" spans="1:5" ht="15" customHeight="1" x14ac:dyDescent="0.15">
      <c r="A55" s="62" t="s">
        <v>95</v>
      </c>
      <c r="B55" s="69"/>
      <c r="C55" s="68">
        <v>0</v>
      </c>
      <c r="D55" s="69">
        <v>142274</v>
      </c>
      <c r="E55" s="68">
        <v>0</v>
      </c>
    </row>
    <row r="56" spans="1:5" ht="15" customHeight="1" x14ac:dyDescent="0.15">
      <c r="A56" s="62" t="s">
        <v>96</v>
      </c>
      <c r="B56" s="69">
        <v>-80</v>
      </c>
      <c r="C56" s="69">
        <v>-250</v>
      </c>
      <c r="D56" s="68">
        <v>0</v>
      </c>
      <c r="E56" s="68">
        <v>0</v>
      </c>
    </row>
    <row r="57" spans="1:5" ht="15" customHeight="1" x14ac:dyDescent="0.15">
      <c r="A57" s="62" t="s">
        <v>97</v>
      </c>
      <c r="B57" s="69">
        <v>-9260</v>
      </c>
      <c r="C57" s="69">
        <v>-14777</v>
      </c>
      <c r="D57" s="69">
        <v>113508</v>
      </c>
      <c r="E57" s="69">
        <v>48625</v>
      </c>
    </row>
    <row r="58" spans="1:5" ht="15" customHeight="1" x14ac:dyDescent="0.15">
      <c r="A58" s="62" t="s">
        <v>98</v>
      </c>
      <c r="B58" s="69">
        <v>229</v>
      </c>
      <c r="C58" s="69">
        <v>4479</v>
      </c>
      <c r="D58" s="69">
        <v>5184</v>
      </c>
      <c r="E58" s="69">
        <v>34815</v>
      </c>
    </row>
    <row r="59" spans="1:5" ht="15" customHeight="1" x14ac:dyDescent="0.15">
      <c r="A59" s="62" t="s">
        <v>99</v>
      </c>
      <c r="B59" s="69">
        <v>7077</v>
      </c>
      <c r="C59" s="69">
        <v>11556</v>
      </c>
      <c r="D59" s="69">
        <v>16740</v>
      </c>
      <c r="E59" s="69">
        <v>51555</v>
      </c>
    </row>
    <row r="60" spans="1:5" ht="15" customHeight="1" x14ac:dyDescent="0.15">
      <c r="A60" s="63"/>
      <c r="B60" s="63"/>
      <c r="C60" s="63"/>
      <c r="D60" s="63"/>
      <c r="E60" s="63"/>
    </row>
    <row r="61" spans="1:5" ht="15" customHeight="1" x14ac:dyDescent="0.15">
      <c r="A61" s="67" t="s">
        <v>100</v>
      </c>
      <c r="B61" s="63"/>
      <c r="C61" s="63"/>
      <c r="D61" s="63"/>
      <c r="E61" s="63"/>
    </row>
    <row r="62" spans="1:5" ht="15" customHeight="1" x14ac:dyDescent="0.15">
      <c r="A62" s="62" t="s">
        <v>101</v>
      </c>
      <c r="B62" s="69">
        <v>36791</v>
      </c>
      <c r="C62" s="69">
        <v>31327</v>
      </c>
      <c r="D62" s="69">
        <v>23444</v>
      </c>
      <c r="E62" s="69">
        <v>25138</v>
      </c>
    </row>
    <row r="63" spans="1:5" ht="15" customHeight="1" x14ac:dyDescent="0.15">
      <c r="A63" s="62" t="s">
        <v>102</v>
      </c>
      <c r="B63" s="69">
        <v>124</v>
      </c>
      <c r="C63" s="69">
        <v>76</v>
      </c>
      <c r="D63" s="69">
        <v>1654</v>
      </c>
      <c r="E63" s="69">
        <v>2844</v>
      </c>
    </row>
    <row r="64" spans="1:5" ht="15" customHeight="1" x14ac:dyDescent="0.15">
      <c r="A64" s="63"/>
      <c r="B64" s="63"/>
      <c r="C64" s="63"/>
      <c r="D64" s="63"/>
      <c r="E64" s="63"/>
    </row>
    <row r="65" spans="1:5" ht="15" customHeight="1" x14ac:dyDescent="0.15">
      <c r="A65" s="67" t="s">
        <v>103</v>
      </c>
      <c r="B65" s="63"/>
      <c r="C65" s="63"/>
      <c r="D65" s="63"/>
      <c r="E65" s="63"/>
    </row>
    <row r="66" spans="1:5" ht="15" customHeight="1" x14ac:dyDescent="0.15">
      <c r="A66" s="62" t="s">
        <v>104</v>
      </c>
      <c r="B66" s="69">
        <v>350</v>
      </c>
      <c r="C66" s="69">
        <v>393</v>
      </c>
      <c r="D66" s="69">
        <v>645</v>
      </c>
      <c r="E66" s="69">
        <v>1116</v>
      </c>
    </row>
    <row r="67" spans="1:5" ht="28" x14ac:dyDescent="0.15">
      <c r="A67" s="62" t="s">
        <v>105</v>
      </c>
      <c r="B67" s="69">
        <v>318</v>
      </c>
      <c r="C67" s="69">
        <v>576</v>
      </c>
      <c r="D67" s="69">
        <v>8586</v>
      </c>
      <c r="E67" s="69">
        <v>2134</v>
      </c>
    </row>
    <row r="68" spans="1:5" ht="15" customHeight="1" x14ac:dyDescent="0.15">
      <c r="A68" s="62" t="s">
        <v>106</v>
      </c>
      <c r="B68" s="61">
        <v>0</v>
      </c>
      <c r="C68" s="61">
        <v>2414</v>
      </c>
      <c r="D68" s="61">
        <v>0</v>
      </c>
      <c r="E68" s="61">
        <v>0</v>
      </c>
    </row>
    <row r="69" spans="1:5" ht="13" x14ac:dyDescent="0.15"/>
    <row r="70" spans="1:5" ht="13" x14ac:dyDescent="0.15"/>
  </sheetData>
  <hyperlinks>
    <hyperlink ref="A6" r:id="rId1" xr:uid="{A455C99D-81BE-C04F-B7BF-5BF1D4E30F66}"/>
    <hyperlink ref="A7" r:id="rId2" xr:uid="{B852F8C5-AB16-1447-8C54-405453879199}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C2575E-2475-C648-92E5-E25CDF052344}">
  <sheetPr codeName="Sheet6">
    <tabColor rgb="FFFFC000"/>
    <outlinePr summaryBelow="0" summaryRight="0"/>
  </sheetPr>
  <dimension ref="A1:L47"/>
  <sheetViews>
    <sheetView topLeftCell="A25" workbookViewId="0">
      <selection activeCell="A23" sqref="A23"/>
    </sheetView>
  </sheetViews>
  <sheetFormatPr baseColWidth="10" defaultColWidth="9.1640625" defaultRowHeight="15" customHeight="1" x14ac:dyDescent="0.15"/>
  <cols>
    <col min="1" max="1" width="64.6640625" style="2" customWidth="1"/>
    <col min="2" max="2" width="18" style="2" customWidth="1"/>
    <col min="3" max="5" width="18.6640625" style="2" customWidth="1"/>
    <col min="6" max="6" width="12.6640625" style="2" bestFit="1" customWidth="1"/>
    <col min="7" max="7" width="14.5" style="2" customWidth="1"/>
    <col min="8" max="8" width="15.1640625" style="2" customWidth="1"/>
    <col min="9" max="9" width="15.6640625" style="2" customWidth="1"/>
    <col min="10" max="10" width="15.1640625" style="2" bestFit="1" customWidth="1"/>
    <col min="11" max="11" width="9.1640625" style="2"/>
    <col min="12" max="12" width="14.1640625" style="2" bestFit="1" customWidth="1"/>
    <col min="13" max="16384" width="9.1640625" style="2"/>
  </cols>
  <sheetData>
    <row r="1" spans="1:12" ht="13" x14ac:dyDescent="0.15">
      <c r="A1" s="75" t="s">
        <v>0</v>
      </c>
    </row>
    <row r="2" spans="1:12" ht="13" x14ac:dyDescent="0.15">
      <c r="A2" s="75" t="s">
        <v>1</v>
      </c>
    </row>
    <row r="3" spans="1:12" ht="13" x14ac:dyDescent="0.15">
      <c r="A3" s="3" t="s">
        <v>2</v>
      </c>
    </row>
    <row r="4" spans="1:12" ht="13" x14ac:dyDescent="0.15">
      <c r="A4" s="3"/>
    </row>
    <row r="5" spans="1:12" ht="14" x14ac:dyDescent="0.15">
      <c r="A5" s="74" t="s">
        <v>107</v>
      </c>
    </row>
    <row r="6" spans="1:12" ht="13" x14ac:dyDescent="0.15">
      <c r="A6" s="73" t="s">
        <v>4</v>
      </c>
    </row>
    <row r="7" spans="1:12" ht="13" x14ac:dyDescent="0.15">
      <c r="A7" s="73" t="s">
        <v>5</v>
      </c>
    </row>
    <row r="8" spans="1:12" ht="13" x14ac:dyDescent="0.15"/>
    <row r="9" spans="1:12" ht="38.25" customHeight="1" x14ac:dyDescent="0.15">
      <c r="A9" s="72" t="s">
        <v>108</v>
      </c>
      <c r="C9" s="72"/>
      <c r="D9" s="72"/>
      <c r="E9" s="72"/>
    </row>
    <row r="10" spans="1:12" ht="12.75" customHeight="1" x14ac:dyDescent="0.15">
      <c r="A10" s="63"/>
      <c r="F10" s="3" t="s">
        <v>7</v>
      </c>
    </row>
    <row r="11" spans="1:12" ht="40" customHeight="1" x14ac:dyDescent="0.15">
      <c r="A11" s="63"/>
      <c r="B11" s="66" t="s">
        <v>56</v>
      </c>
      <c r="C11" s="66" t="s">
        <v>57</v>
      </c>
      <c r="D11" s="66" t="s">
        <v>58</v>
      </c>
      <c r="E11" s="66" t="s">
        <v>59</v>
      </c>
      <c r="F11" s="3" t="s">
        <v>109</v>
      </c>
      <c r="H11" s="66" t="s">
        <v>110</v>
      </c>
      <c r="I11" s="66" t="s">
        <v>111</v>
      </c>
      <c r="J11" s="66" t="s">
        <v>112</v>
      </c>
      <c r="L11" s="102" t="s">
        <v>113</v>
      </c>
    </row>
    <row r="12" spans="1:12" ht="16" x14ac:dyDescent="0.2">
      <c r="A12" s="63"/>
      <c r="B12" s="63"/>
      <c r="C12" s="63"/>
      <c r="D12" s="63"/>
      <c r="E12" s="63"/>
      <c r="H12" s="63"/>
      <c r="I12" s="63"/>
      <c r="L12" s="103"/>
    </row>
    <row r="13" spans="1:12" ht="16" x14ac:dyDescent="0.2">
      <c r="A13" s="67" t="s">
        <v>114</v>
      </c>
      <c r="B13" s="63"/>
      <c r="C13" s="63"/>
      <c r="D13" s="63"/>
      <c r="E13" s="63"/>
      <c r="H13" s="63"/>
      <c r="I13" s="63"/>
      <c r="L13" s="103"/>
    </row>
    <row r="14" spans="1:12" ht="16" x14ac:dyDescent="0.2">
      <c r="A14" s="62" t="s">
        <v>115</v>
      </c>
      <c r="B14" s="61">
        <v>363319</v>
      </c>
      <c r="C14" s="61">
        <v>545772</v>
      </c>
      <c r="D14" s="61">
        <v>785545</v>
      </c>
      <c r="E14" s="61">
        <v>655901</v>
      </c>
      <c r="F14" s="71">
        <f>H14+J14</f>
        <v>580536</v>
      </c>
      <c r="H14" s="61">
        <v>442403</v>
      </c>
      <c r="I14" s="61">
        <v>517768</v>
      </c>
      <c r="J14" s="71">
        <f>E14-I14</f>
        <v>138133</v>
      </c>
      <c r="L14" s="104">
        <v>117730</v>
      </c>
    </row>
    <row r="15" spans="1:12" ht="16" x14ac:dyDescent="0.2">
      <c r="A15" s="62" t="s">
        <v>116</v>
      </c>
      <c r="B15" s="69">
        <v>207539</v>
      </c>
      <c r="C15" s="69">
        <v>310960</v>
      </c>
      <c r="D15" s="69">
        <v>484780</v>
      </c>
      <c r="E15" s="69">
        <v>427129</v>
      </c>
      <c r="F15" s="60">
        <f>H15+J15</f>
        <v>369507</v>
      </c>
      <c r="H15" s="69">
        <v>278983</v>
      </c>
      <c r="I15" s="69">
        <v>336605</v>
      </c>
      <c r="J15" s="60">
        <f>E15-I15</f>
        <v>90524</v>
      </c>
      <c r="L15" s="105">
        <v>73064</v>
      </c>
    </row>
    <row r="16" spans="1:12" ht="16" x14ac:dyDescent="0.2">
      <c r="A16" s="62" t="s">
        <v>117</v>
      </c>
      <c r="B16" s="69">
        <v>155780</v>
      </c>
      <c r="C16" s="69">
        <v>234812</v>
      </c>
      <c r="D16" s="69">
        <v>300765</v>
      </c>
      <c r="E16" s="69">
        <v>228772</v>
      </c>
      <c r="F16" s="60">
        <f>H16+J16</f>
        <v>211029</v>
      </c>
      <c r="H16" s="69">
        <v>163420</v>
      </c>
      <c r="I16" s="69">
        <v>181163</v>
      </c>
      <c r="J16" s="60">
        <f>E16-I16</f>
        <v>47609</v>
      </c>
      <c r="L16" s="105">
        <v>44666</v>
      </c>
    </row>
    <row r="17" spans="1:12" ht="16" x14ac:dyDescent="0.2">
      <c r="A17" s="67" t="s">
        <v>118</v>
      </c>
      <c r="B17" s="63"/>
      <c r="C17" s="63"/>
      <c r="D17" s="63"/>
      <c r="E17" s="63"/>
      <c r="F17" s="60"/>
      <c r="H17" s="63"/>
      <c r="I17" s="63"/>
      <c r="J17" s="60"/>
      <c r="L17" s="103"/>
    </row>
    <row r="18" spans="1:12" ht="16" x14ac:dyDescent="0.2">
      <c r="A18" s="62" t="s">
        <v>119</v>
      </c>
      <c r="B18" s="69">
        <v>66921</v>
      </c>
      <c r="C18" s="69">
        <v>93690</v>
      </c>
      <c r="D18" s="69">
        <v>165180</v>
      </c>
      <c r="E18" s="69">
        <v>130688</v>
      </c>
      <c r="F18" s="60">
        <f t="shared" ref="F18:F24" si="0">H18+J18</f>
        <v>104190</v>
      </c>
      <c r="H18" s="69">
        <v>75903</v>
      </c>
      <c r="I18" s="69">
        <v>102401</v>
      </c>
      <c r="J18" s="60">
        <f t="shared" ref="J18:J24" si="1">E18-I18</f>
        <v>28287</v>
      </c>
      <c r="L18" s="105">
        <v>25913</v>
      </c>
    </row>
    <row r="19" spans="1:12" ht="16" x14ac:dyDescent="0.2">
      <c r="A19" s="62" t="s">
        <v>120</v>
      </c>
      <c r="B19" s="69">
        <v>45304</v>
      </c>
      <c r="C19" s="69">
        <v>50243</v>
      </c>
      <c r="D19" s="69">
        <v>158555</v>
      </c>
      <c r="E19" s="69">
        <v>166824</v>
      </c>
      <c r="F19" s="60">
        <f t="shared" si="0"/>
        <v>128060</v>
      </c>
      <c r="G19" s="124"/>
      <c r="H19" s="69">
        <v>103873</v>
      </c>
      <c r="I19" s="69">
        <v>142637</v>
      </c>
      <c r="J19" s="60">
        <f t="shared" si="1"/>
        <v>24187</v>
      </c>
      <c r="L19" s="105">
        <v>24823</v>
      </c>
    </row>
    <row r="20" spans="1:12" ht="16" x14ac:dyDescent="0.2">
      <c r="A20" s="62" t="s">
        <v>64</v>
      </c>
      <c r="B20" s="69">
        <v>33100</v>
      </c>
      <c r="C20" s="69">
        <v>32533</v>
      </c>
      <c r="D20" s="69">
        <v>34379</v>
      </c>
      <c r="E20" s="69">
        <v>35554</v>
      </c>
      <c r="F20" s="60">
        <f t="shared" si="0"/>
        <v>35554</v>
      </c>
      <c r="H20" s="69">
        <v>26666</v>
      </c>
      <c r="I20" s="69">
        <v>26666</v>
      </c>
      <c r="J20" s="60">
        <f t="shared" si="1"/>
        <v>8888</v>
      </c>
      <c r="L20" s="105">
        <v>8889</v>
      </c>
    </row>
    <row r="21" spans="1:12" ht="16" x14ac:dyDescent="0.2">
      <c r="A21" s="62" t="s">
        <v>71</v>
      </c>
      <c r="B21" s="68">
        <v>0</v>
      </c>
      <c r="C21" s="68">
        <v>0</v>
      </c>
      <c r="D21" s="69">
        <v>3800</v>
      </c>
      <c r="E21" s="69">
        <v>10002</v>
      </c>
      <c r="F21" s="60">
        <f t="shared" si="0"/>
        <v>6735</v>
      </c>
      <c r="H21" s="69">
        <v>508</v>
      </c>
      <c r="I21" s="69">
        <v>3775</v>
      </c>
      <c r="J21" s="60">
        <f t="shared" si="1"/>
        <v>6227</v>
      </c>
      <c r="L21" s="105">
        <v>-2300</v>
      </c>
    </row>
    <row r="22" spans="1:12" ht="16" x14ac:dyDescent="0.2">
      <c r="A22" s="62" t="s">
        <v>72</v>
      </c>
      <c r="B22" s="68"/>
      <c r="C22" s="68">
        <v>0</v>
      </c>
      <c r="D22" s="68">
        <v>0</v>
      </c>
      <c r="E22" s="69">
        <v>222322</v>
      </c>
      <c r="F22" s="60">
        <f t="shared" si="0"/>
        <v>214511</v>
      </c>
      <c r="H22" s="69">
        <v>225</v>
      </c>
      <c r="I22" s="69">
        <v>8036</v>
      </c>
      <c r="J22" s="60">
        <f t="shared" si="1"/>
        <v>214286</v>
      </c>
      <c r="L22" s="105">
        <v>225</v>
      </c>
    </row>
    <row r="23" spans="1:12" ht="16" x14ac:dyDescent="0.2">
      <c r="A23" s="62" t="s">
        <v>73</v>
      </c>
      <c r="B23" s="68"/>
      <c r="C23" s="68">
        <v>0</v>
      </c>
      <c r="D23" s="68">
        <v>0</v>
      </c>
      <c r="E23" s="69">
        <v>9324</v>
      </c>
      <c r="F23" s="60">
        <f t="shared" si="0"/>
        <v>-212998</v>
      </c>
      <c r="H23" s="68">
        <v>0</v>
      </c>
      <c r="I23" s="69">
        <v>222322</v>
      </c>
      <c r="J23" s="60">
        <f t="shared" si="1"/>
        <v>-212998</v>
      </c>
      <c r="L23" s="106">
        <v>0</v>
      </c>
    </row>
    <row r="24" spans="1:12" ht="14" x14ac:dyDescent="0.15">
      <c r="A24" s="67" t="s">
        <v>121</v>
      </c>
      <c r="B24" s="65">
        <v>145325</v>
      </c>
      <c r="C24" s="65">
        <v>176466</v>
      </c>
      <c r="D24" s="65">
        <v>361914</v>
      </c>
      <c r="E24" s="65">
        <v>574714</v>
      </c>
      <c r="F24" s="64">
        <f t="shared" si="0"/>
        <v>276052</v>
      </c>
      <c r="H24" s="65">
        <v>207175</v>
      </c>
      <c r="I24" s="65">
        <v>505837</v>
      </c>
      <c r="J24" s="64">
        <f t="shared" si="1"/>
        <v>68877</v>
      </c>
      <c r="L24" s="107">
        <v>57550</v>
      </c>
    </row>
    <row r="25" spans="1:12" ht="16" x14ac:dyDescent="0.2">
      <c r="A25" s="63"/>
      <c r="B25" s="63"/>
      <c r="C25" s="63"/>
      <c r="D25" s="63"/>
      <c r="E25" s="63"/>
      <c r="F25" s="60"/>
      <c r="H25" s="63"/>
      <c r="I25" s="63"/>
      <c r="J25" s="60"/>
      <c r="L25" s="103"/>
    </row>
    <row r="26" spans="1:12" ht="16" x14ac:dyDescent="0.2">
      <c r="A26" s="62" t="s">
        <v>122</v>
      </c>
      <c r="B26" s="69">
        <v>10455</v>
      </c>
      <c r="C26" s="69">
        <v>58346</v>
      </c>
      <c r="D26" s="69">
        <v>-61149</v>
      </c>
      <c r="E26" s="69">
        <v>-345942</v>
      </c>
      <c r="F26" s="60">
        <f>H26+J26</f>
        <v>-65023</v>
      </c>
      <c r="H26" s="69">
        <v>-43755</v>
      </c>
      <c r="I26" s="69">
        <v>-324674</v>
      </c>
      <c r="J26" s="60">
        <f>E26-I26</f>
        <v>-21268</v>
      </c>
      <c r="L26" s="105">
        <v>-12884</v>
      </c>
    </row>
    <row r="27" spans="1:12" ht="16" x14ac:dyDescent="0.2">
      <c r="A27" s="67" t="s">
        <v>123</v>
      </c>
      <c r="B27" s="63"/>
      <c r="C27" s="63"/>
      <c r="D27" s="63"/>
      <c r="E27" s="63"/>
      <c r="F27" s="60"/>
      <c r="H27" s="63"/>
      <c r="I27" s="63"/>
      <c r="J27" s="60"/>
      <c r="L27" s="103"/>
    </row>
    <row r="28" spans="1:12" ht="16" x14ac:dyDescent="0.2">
      <c r="A28" s="62" t="s">
        <v>124</v>
      </c>
      <c r="B28" s="69">
        <v>-39462</v>
      </c>
      <c r="C28" s="69">
        <v>-34073</v>
      </c>
      <c r="D28" s="69">
        <v>-26646</v>
      </c>
      <c r="E28" s="69">
        <v>-27885</v>
      </c>
      <c r="F28" s="60">
        <f>H28+J28</f>
        <v>-31055</v>
      </c>
      <c r="H28" s="69">
        <v>-23408</v>
      </c>
      <c r="I28" s="69">
        <v>-20238</v>
      </c>
      <c r="J28" s="60">
        <f>E28-I28</f>
        <v>-7647</v>
      </c>
      <c r="L28" s="105">
        <v>-7517</v>
      </c>
    </row>
    <row r="29" spans="1:12" ht="16" x14ac:dyDescent="0.2">
      <c r="A29" s="62" t="s">
        <v>67</v>
      </c>
      <c r="B29" s="68">
        <v>0</v>
      </c>
      <c r="C29" s="68">
        <v>0</v>
      </c>
      <c r="D29" s="69">
        <v>-5185</v>
      </c>
      <c r="E29" s="68">
        <v>0</v>
      </c>
      <c r="F29" s="60"/>
      <c r="H29" s="69"/>
      <c r="I29" s="69"/>
      <c r="J29" s="60"/>
      <c r="L29" s="105"/>
    </row>
    <row r="30" spans="1:12" ht="16" x14ac:dyDescent="0.2">
      <c r="A30" s="62" t="s">
        <v>125</v>
      </c>
      <c r="B30" s="69">
        <v>-462</v>
      </c>
      <c r="C30" s="69">
        <v>7526</v>
      </c>
      <c r="D30" s="69">
        <v>2702</v>
      </c>
      <c r="E30" s="69">
        <v>-7127</v>
      </c>
      <c r="F30" s="60">
        <f>H30+J30</f>
        <v>9244</v>
      </c>
      <c r="H30" s="69">
        <v>8020</v>
      </c>
      <c r="I30" s="69">
        <v>-8351</v>
      </c>
      <c r="J30" s="60">
        <f>E30-I30</f>
        <v>1224</v>
      </c>
      <c r="L30" s="105">
        <v>1992</v>
      </c>
    </row>
    <row r="31" spans="1:12" ht="14" x14ac:dyDescent="0.15">
      <c r="A31" s="67" t="s">
        <v>126</v>
      </c>
      <c r="B31" s="65">
        <v>-39924</v>
      </c>
      <c r="C31" s="65">
        <v>-26547</v>
      </c>
      <c r="D31" s="65">
        <v>-29129</v>
      </c>
      <c r="E31" s="65">
        <v>-35012</v>
      </c>
      <c r="F31" s="64">
        <f>H31+J31</f>
        <v>-21811</v>
      </c>
      <c r="H31" s="65">
        <v>-15388</v>
      </c>
      <c r="I31" s="65">
        <v>-28589</v>
      </c>
      <c r="J31" s="64">
        <f>E31-I31</f>
        <v>-6423</v>
      </c>
      <c r="L31" s="107">
        <v>-5525</v>
      </c>
    </row>
    <row r="32" spans="1:12" ht="16" x14ac:dyDescent="0.2">
      <c r="A32" s="63"/>
      <c r="B32" s="63"/>
      <c r="C32" s="63"/>
      <c r="D32" s="63"/>
      <c r="E32" s="63"/>
      <c r="F32" s="60"/>
      <c r="H32" s="63"/>
      <c r="I32" s="63"/>
      <c r="J32" s="60"/>
      <c r="L32" s="103"/>
    </row>
    <row r="33" spans="1:12" ht="16" x14ac:dyDescent="0.2">
      <c r="A33" s="62" t="s">
        <v>127</v>
      </c>
      <c r="B33" s="69">
        <v>-29469</v>
      </c>
      <c r="C33" s="69">
        <v>31799</v>
      </c>
      <c r="D33" s="69">
        <v>-90278</v>
      </c>
      <c r="E33" s="69">
        <v>-380954</v>
      </c>
      <c r="F33" s="60">
        <f t="shared" ref="F33:F39" si="2">H33+J33</f>
        <v>-86834</v>
      </c>
      <c r="H33" s="69">
        <v>-59143</v>
      </c>
      <c r="I33" s="69">
        <v>-353263</v>
      </c>
      <c r="J33" s="60">
        <f t="shared" ref="J33:J39" si="3">E33-I33</f>
        <v>-27691</v>
      </c>
      <c r="L33" s="105">
        <v>-18409</v>
      </c>
    </row>
    <row r="34" spans="1:12" ht="16" x14ac:dyDescent="0.2">
      <c r="A34" s="62" t="s">
        <v>128</v>
      </c>
      <c r="B34" s="69">
        <v>124</v>
      </c>
      <c r="C34" s="69">
        <v>749</v>
      </c>
      <c r="D34" s="69">
        <v>1489</v>
      </c>
      <c r="E34" s="69">
        <v>1186</v>
      </c>
      <c r="F34" s="60">
        <f t="shared" si="2"/>
        <v>2427</v>
      </c>
      <c r="H34" s="69">
        <v>1214</v>
      </c>
      <c r="I34" s="69">
        <v>-27</v>
      </c>
      <c r="J34" s="60">
        <f t="shared" si="3"/>
        <v>1213</v>
      </c>
      <c r="L34" s="105">
        <v>852</v>
      </c>
    </row>
    <row r="35" spans="1:12" ht="16" x14ac:dyDescent="0.2">
      <c r="A35" s="62" t="s">
        <v>61</v>
      </c>
      <c r="B35" s="61">
        <v>-29593</v>
      </c>
      <c r="C35" s="61">
        <v>31050</v>
      </c>
      <c r="D35" s="61">
        <v>-91767</v>
      </c>
      <c r="E35" s="61">
        <v>-382140</v>
      </c>
      <c r="F35" s="60">
        <f t="shared" si="2"/>
        <v>-89261</v>
      </c>
      <c r="H35" s="61">
        <v>-60357</v>
      </c>
      <c r="I35" s="61">
        <v>-353236</v>
      </c>
      <c r="J35" s="60">
        <f t="shared" si="3"/>
        <v>-28904</v>
      </c>
      <c r="L35" s="104">
        <v>-19261</v>
      </c>
    </row>
    <row r="36" spans="1:12" ht="16" x14ac:dyDescent="0.2">
      <c r="A36" s="62" t="s">
        <v>129</v>
      </c>
      <c r="B36" s="70">
        <v>-0.27</v>
      </c>
      <c r="C36" s="70">
        <v>2.9E-4</v>
      </c>
      <c r="D36" s="70">
        <v>-8.1999999999999998E-4</v>
      </c>
      <c r="E36" s="70">
        <v>-3.1900000000000001E-3</v>
      </c>
      <c r="F36" s="60">
        <f t="shared" si="2"/>
        <v>2.4868100000000002</v>
      </c>
      <c r="H36" s="70">
        <v>-0.49</v>
      </c>
      <c r="I36" s="70">
        <v>-2.98</v>
      </c>
      <c r="J36" s="60">
        <f t="shared" si="3"/>
        <v>2.97681</v>
      </c>
      <c r="L36" s="108">
        <v>-0.16</v>
      </c>
    </row>
    <row r="37" spans="1:12" ht="16" x14ac:dyDescent="0.2">
      <c r="A37" s="62" t="s">
        <v>130</v>
      </c>
      <c r="B37" s="70">
        <v>-0.27</v>
      </c>
      <c r="C37" s="70">
        <v>2.9E-4</v>
      </c>
      <c r="D37" s="70">
        <v>-8.1999999999999998E-4</v>
      </c>
      <c r="E37" s="70">
        <v>-3.1900000000000001E-3</v>
      </c>
      <c r="F37" s="60">
        <f t="shared" si="2"/>
        <v>2.4868100000000002</v>
      </c>
      <c r="H37" s="70">
        <v>-0.49</v>
      </c>
      <c r="I37" s="70">
        <v>-2.98</v>
      </c>
      <c r="J37" s="60">
        <f t="shared" si="3"/>
        <v>2.97681</v>
      </c>
      <c r="L37" s="108">
        <v>-0.16</v>
      </c>
    </row>
    <row r="38" spans="1:12" ht="16" x14ac:dyDescent="0.2">
      <c r="A38" s="62" t="s">
        <v>131</v>
      </c>
      <c r="B38" s="69">
        <v>108724387</v>
      </c>
      <c r="C38" s="69">
        <v>108724.387</v>
      </c>
      <c r="D38" s="69">
        <v>112374.66899999999</v>
      </c>
      <c r="E38" s="69">
        <v>119698.776</v>
      </c>
      <c r="F38" s="60">
        <f t="shared" si="2"/>
        <v>4702453.7759999931</v>
      </c>
      <c r="H38" s="69">
        <v>123265134</v>
      </c>
      <c r="I38" s="69">
        <v>118682379</v>
      </c>
      <c r="J38" s="60">
        <f t="shared" si="3"/>
        <v>-118562680.22400001</v>
      </c>
      <c r="L38" s="105">
        <v>124053643</v>
      </c>
    </row>
    <row r="39" spans="1:12" ht="16" x14ac:dyDescent="0.2">
      <c r="A39" s="62" t="s">
        <v>132</v>
      </c>
      <c r="B39" s="69">
        <v>108724387</v>
      </c>
      <c r="C39" s="69">
        <v>108724.387</v>
      </c>
      <c r="D39" s="69">
        <v>112374.66899999999</v>
      </c>
      <c r="E39" s="69">
        <v>119698.776</v>
      </c>
      <c r="F39" s="60">
        <f t="shared" si="2"/>
        <v>4702453.7759999931</v>
      </c>
      <c r="H39" s="69">
        <v>123265134</v>
      </c>
      <c r="I39" s="69">
        <v>118682379</v>
      </c>
      <c r="J39" s="60">
        <f t="shared" si="3"/>
        <v>-118562680.22400001</v>
      </c>
      <c r="L39" s="105">
        <v>124053643</v>
      </c>
    </row>
    <row r="40" spans="1:12" ht="16" x14ac:dyDescent="0.2">
      <c r="A40" s="67" t="s">
        <v>133</v>
      </c>
      <c r="B40" s="63"/>
      <c r="C40" s="63"/>
      <c r="D40" s="63"/>
      <c r="E40" s="63"/>
      <c r="F40" s="60"/>
      <c r="H40" s="63"/>
      <c r="I40" s="63"/>
      <c r="J40" s="60"/>
      <c r="L40" s="103"/>
    </row>
    <row r="41" spans="1:12" ht="16" x14ac:dyDescent="0.2">
      <c r="A41" s="62" t="s">
        <v>134</v>
      </c>
      <c r="B41" s="63"/>
      <c r="C41" s="61">
        <v>0</v>
      </c>
      <c r="D41" s="61">
        <v>-86</v>
      </c>
      <c r="E41" s="61">
        <v>-61</v>
      </c>
      <c r="F41" s="60">
        <f>H41+J41</f>
        <v>-27</v>
      </c>
      <c r="H41" s="61">
        <v>-24</v>
      </c>
      <c r="I41" s="61">
        <v>-58</v>
      </c>
      <c r="J41" s="60">
        <f>E41-I41</f>
        <v>-3</v>
      </c>
      <c r="L41" s="104">
        <v>-27</v>
      </c>
    </row>
    <row r="42" spans="1:12" ht="16" x14ac:dyDescent="0.2">
      <c r="A42" s="62" t="s">
        <v>135</v>
      </c>
      <c r="B42" s="61">
        <v>0</v>
      </c>
      <c r="C42" s="68">
        <v>0</v>
      </c>
      <c r="D42" s="68">
        <v>0</v>
      </c>
      <c r="E42" s="69">
        <v>23410</v>
      </c>
      <c r="F42" s="60">
        <f>H42+J42</f>
        <v>-3287</v>
      </c>
      <c r="H42" s="69">
        <v>-2088</v>
      </c>
      <c r="I42" s="69">
        <v>24609</v>
      </c>
      <c r="J42" s="60">
        <f>E42-I42</f>
        <v>-1199</v>
      </c>
      <c r="L42" s="106">
        <v>0</v>
      </c>
    </row>
    <row r="43" spans="1:12" ht="16" x14ac:dyDescent="0.2">
      <c r="A43" s="62" t="s">
        <v>136</v>
      </c>
      <c r="B43" s="61"/>
      <c r="C43" s="68"/>
      <c r="D43" s="68"/>
      <c r="E43" s="69"/>
      <c r="F43" s="60">
        <f>H43+J43</f>
        <v>-7808</v>
      </c>
      <c r="H43" s="69">
        <v>-7808</v>
      </c>
      <c r="I43" s="68">
        <v>0</v>
      </c>
      <c r="J43" s="60"/>
      <c r="L43" s="105">
        <v>-2666</v>
      </c>
    </row>
    <row r="44" spans="1:12" ht="14" x14ac:dyDescent="0.15">
      <c r="A44" s="67" t="s">
        <v>137</v>
      </c>
      <c r="B44" s="66">
        <v>0</v>
      </c>
      <c r="C44" s="66">
        <v>0</v>
      </c>
      <c r="D44" s="65">
        <v>-86</v>
      </c>
      <c r="E44" s="65">
        <v>23349</v>
      </c>
      <c r="F44" s="64">
        <f>H44+J44</f>
        <v>-11122</v>
      </c>
      <c r="H44" s="65">
        <v>-9920</v>
      </c>
      <c r="I44" s="65">
        <v>24551</v>
      </c>
      <c r="J44" s="64">
        <f>E44-I44</f>
        <v>-1202</v>
      </c>
      <c r="L44" s="107">
        <v>-2693</v>
      </c>
    </row>
    <row r="45" spans="1:12" ht="16" x14ac:dyDescent="0.2">
      <c r="A45" s="63"/>
      <c r="B45" s="63"/>
      <c r="C45" s="63"/>
      <c r="D45" s="63"/>
      <c r="E45" s="63"/>
      <c r="F45" s="60"/>
      <c r="H45" s="63"/>
      <c r="I45" s="63"/>
      <c r="J45" s="60"/>
      <c r="L45" s="103"/>
    </row>
    <row r="46" spans="1:12" ht="16" x14ac:dyDescent="0.2">
      <c r="A46" s="62" t="s">
        <v>138</v>
      </c>
      <c r="B46" s="61">
        <v>-29593</v>
      </c>
      <c r="C46" s="61">
        <v>31050</v>
      </c>
      <c r="D46" s="61">
        <v>-91853</v>
      </c>
      <c r="E46" s="61">
        <v>-358791</v>
      </c>
      <c r="F46" s="60">
        <f>H46+J46</f>
        <v>-100383</v>
      </c>
      <c r="H46" s="61">
        <v>-70277</v>
      </c>
      <c r="I46" s="61">
        <v>-328685</v>
      </c>
      <c r="J46" s="60">
        <f>E46-I46</f>
        <v>-30106</v>
      </c>
      <c r="L46" s="104">
        <v>-21954</v>
      </c>
    </row>
    <row r="47" spans="1:12" ht="13" x14ac:dyDescent="0.15"/>
  </sheetData>
  <hyperlinks>
    <hyperlink ref="A6" r:id="rId1" xr:uid="{221C42EC-DB8C-0F49-9A9F-47AF96F58597}"/>
    <hyperlink ref="A7" r:id="rId2" xr:uid="{5835BB81-C946-9146-8894-4C1E19CD0130}"/>
  </hyperlink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7617D-62F2-5841-B26D-5556391E6E2A}">
  <sheetPr codeName="Sheet7">
    <tabColor rgb="FFC00000"/>
  </sheetPr>
  <dimension ref="A1:Q36"/>
  <sheetViews>
    <sheetView topLeftCell="A26" workbookViewId="0">
      <selection activeCell="F5" sqref="F5:J5"/>
    </sheetView>
  </sheetViews>
  <sheetFormatPr baseColWidth="10" defaultColWidth="11" defaultRowHeight="16" x14ac:dyDescent="0.2"/>
  <cols>
    <col min="1" max="1" width="24.33203125" bestFit="1" customWidth="1"/>
    <col min="6" max="6" width="11.33203125" bestFit="1" customWidth="1"/>
    <col min="7" max="7" width="12.6640625" bestFit="1" customWidth="1"/>
    <col min="8" max="8" width="11.83203125" customWidth="1"/>
    <col min="9" max="9" width="12.83203125" customWidth="1"/>
    <col min="10" max="10" width="12.33203125" customWidth="1"/>
    <col min="11" max="11" width="12.33203125" bestFit="1" customWidth="1"/>
    <col min="12" max="12" width="11.6640625" bestFit="1" customWidth="1"/>
    <col min="14" max="14" width="11.5" bestFit="1" customWidth="1"/>
    <col min="15" max="15" width="11.5" customWidth="1"/>
    <col min="16" max="16" width="17" customWidth="1"/>
  </cols>
  <sheetData>
    <row r="1" spans="1:17" x14ac:dyDescent="0.2">
      <c r="A1" s="1" t="s">
        <v>139</v>
      </c>
    </row>
    <row r="3" spans="1:17" x14ac:dyDescent="0.2">
      <c r="A3" t="s">
        <v>140</v>
      </c>
      <c r="B3" s="5">
        <f>B19-'COOK-US, IS FY''22'!B35</f>
        <v>0</v>
      </c>
      <c r="C3" s="5">
        <f>C19-'COOK-US, IS FY''22'!C35</f>
        <v>0</v>
      </c>
      <c r="D3" s="5">
        <f>D19-'COOK-US, IS FY''22'!D35</f>
        <v>0</v>
      </c>
      <c r="E3" s="5">
        <f>E19-'COOK-US, IS FY''22'!E35</f>
        <v>0</v>
      </c>
      <c r="K3" s="5"/>
    </row>
    <row r="4" spans="1:17" x14ac:dyDescent="0.2">
      <c r="F4">
        <v>1</v>
      </c>
      <c r="G4">
        <v>2</v>
      </c>
      <c r="H4">
        <v>3</v>
      </c>
      <c r="I4">
        <v>4</v>
      </c>
      <c r="J4">
        <v>5</v>
      </c>
    </row>
    <row r="5" spans="1:17" x14ac:dyDescent="0.2">
      <c r="B5" s="291" t="s">
        <v>141</v>
      </c>
      <c r="C5" s="291"/>
      <c r="D5" s="291"/>
      <c r="E5" s="291"/>
      <c r="F5" s="291" t="s">
        <v>142</v>
      </c>
      <c r="G5" s="291"/>
      <c r="H5" s="291"/>
      <c r="I5" s="291"/>
      <c r="J5" s="291"/>
      <c r="K5" s="12" t="s">
        <v>143</v>
      </c>
    </row>
    <row r="6" spans="1:17" x14ac:dyDescent="0.2">
      <c r="B6" s="6">
        <v>2019</v>
      </c>
      <c r="C6" s="6">
        <v>2020</v>
      </c>
      <c r="D6" s="6">
        <v>2021</v>
      </c>
      <c r="E6" s="6">
        <v>2022</v>
      </c>
      <c r="F6" s="7">
        <v>2023</v>
      </c>
      <c r="G6" s="6">
        <v>2024</v>
      </c>
      <c r="H6" s="6">
        <v>2025</v>
      </c>
      <c r="I6" s="6">
        <v>2026</v>
      </c>
      <c r="J6" s="6">
        <v>2027</v>
      </c>
      <c r="K6" s="7" t="s">
        <v>7</v>
      </c>
      <c r="L6" s="6" t="s">
        <v>144</v>
      </c>
      <c r="N6" s="31" t="s">
        <v>145</v>
      </c>
      <c r="O6" s="31" t="s">
        <v>146</v>
      </c>
      <c r="P6" s="31" t="s">
        <v>147</v>
      </c>
    </row>
    <row r="7" spans="1:17" x14ac:dyDescent="0.2">
      <c r="A7" t="s">
        <v>115</v>
      </c>
      <c r="B7" s="79">
        <f>'COOK-US, IS FY''22'!B14</f>
        <v>363319</v>
      </c>
      <c r="C7" s="79">
        <f>'COOK-US, IS FY''22'!C14</f>
        <v>545772</v>
      </c>
      <c r="D7" s="79">
        <f>'COOK-US, IS FY''22'!D14</f>
        <v>785545</v>
      </c>
      <c r="E7" s="79">
        <f>'COOK-US, IS FY''22'!E14</f>
        <v>655901</v>
      </c>
      <c r="F7" s="83">
        <f>SUM(O7:P7)</f>
        <v>595452</v>
      </c>
      <c r="G7" s="79">
        <f>F7*(1+G22)</f>
        <v>631179.12</v>
      </c>
      <c r="H7" s="79">
        <f>G7*(1+H22)</f>
        <v>669049.86719999998</v>
      </c>
      <c r="I7" s="79">
        <f>H7*(1+I22)</f>
        <v>709192.85923199996</v>
      </c>
      <c r="J7" s="79">
        <f>I7*(1+J22)</f>
        <v>751744.43078592001</v>
      </c>
      <c r="K7" s="86">
        <f>'COOK-US, IS FY''22'!F14</f>
        <v>580536</v>
      </c>
      <c r="L7" s="79">
        <f>K7*(1+L22)</f>
        <v>615368.16</v>
      </c>
      <c r="N7" s="79">
        <f>'COOK-US, IS FY''22'!L14</f>
        <v>117730</v>
      </c>
      <c r="O7" s="79">
        <f>N7*(1+O22)</f>
        <v>153049</v>
      </c>
      <c r="P7" s="114">
        <f>'COOK-US, IS FY''22'!H14</f>
        <v>442403</v>
      </c>
    </row>
    <row r="8" spans="1:17" x14ac:dyDescent="0.2">
      <c r="A8" t="s">
        <v>148</v>
      </c>
      <c r="B8" s="80">
        <f>'COOK-US, IS FY''22'!B15</f>
        <v>207539</v>
      </c>
      <c r="C8" s="80">
        <f>'COOK-US, IS FY''22'!C15</f>
        <v>310960</v>
      </c>
      <c r="D8" s="80">
        <f>'COOK-US, IS FY''22'!D15</f>
        <v>484780</v>
      </c>
      <c r="E8" s="80">
        <f>'COOK-US, IS FY''22'!E15</f>
        <v>427129</v>
      </c>
      <c r="F8" s="84">
        <f>SUM(O8:P8)</f>
        <v>373966.2</v>
      </c>
      <c r="G8" s="80">
        <f>G23*G7</f>
        <v>385019.26319999999</v>
      </c>
      <c r="H8" s="80">
        <f>H23*H7</f>
        <v>401429.92031999998</v>
      </c>
      <c r="I8" s="80">
        <f>I23*I7</f>
        <v>418423.78694687993</v>
      </c>
      <c r="J8" s="80">
        <f>J23*J7</f>
        <v>436011.76985583355</v>
      </c>
      <c r="K8" s="84">
        <f>'COOK-US, IS FY''22'!F15</f>
        <v>369507</v>
      </c>
      <c r="L8" s="80">
        <f>L23*L7</f>
        <v>375374.57760000002</v>
      </c>
      <c r="N8" s="80">
        <f>'COOK-US, IS FY''22'!L15</f>
        <v>73064</v>
      </c>
      <c r="O8" s="80">
        <f>O23*O7</f>
        <v>94983.200000000012</v>
      </c>
      <c r="P8" s="95">
        <f>'COOK-US, IS FY''22'!H15</f>
        <v>278983</v>
      </c>
    </row>
    <row r="9" spans="1:17" x14ac:dyDescent="0.2">
      <c r="A9" s="1" t="s">
        <v>149</v>
      </c>
      <c r="B9" s="81">
        <f t="shared" ref="B9:J9" si="0">B7-B8</f>
        <v>155780</v>
      </c>
      <c r="C9" s="81">
        <f t="shared" si="0"/>
        <v>234812</v>
      </c>
      <c r="D9" s="81">
        <f t="shared" si="0"/>
        <v>300765</v>
      </c>
      <c r="E9" s="81">
        <f t="shared" si="0"/>
        <v>228772</v>
      </c>
      <c r="F9" s="85">
        <f t="shared" si="0"/>
        <v>221485.8</v>
      </c>
      <c r="G9" s="81">
        <f t="shared" si="0"/>
        <v>246159.85680000001</v>
      </c>
      <c r="H9" s="81">
        <f t="shared" si="0"/>
        <v>267619.94688</v>
      </c>
      <c r="I9" s="81">
        <f t="shared" si="0"/>
        <v>290769.07228512003</v>
      </c>
      <c r="J9" s="81">
        <f t="shared" si="0"/>
        <v>315732.66093008645</v>
      </c>
      <c r="K9" s="85">
        <f t="shared" ref="K9" si="1">K7-K8</f>
        <v>211029</v>
      </c>
      <c r="L9" s="81">
        <f t="shared" ref="L9:N9" si="2">L7-L8</f>
        <v>239993.58240000001</v>
      </c>
      <c r="N9" s="81">
        <f t="shared" si="2"/>
        <v>44666</v>
      </c>
      <c r="O9" s="81">
        <f>O7-O8</f>
        <v>58065.799999999988</v>
      </c>
      <c r="P9" s="99">
        <f>P7-P8</f>
        <v>163420</v>
      </c>
    </row>
    <row r="10" spans="1:17" x14ac:dyDescent="0.2">
      <c r="A10" t="s">
        <v>150</v>
      </c>
      <c r="B10" s="79">
        <f>'COOK-US, IS FY''22'!B18</f>
        <v>66921</v>
      </c>
      <c r="C10" s="79">
        <f>'COOK-US, IS FY''22'!C18</f>
        <v>93690</v>
      </c>
      <c r="D10" s="79">
        <f>'COOK-US, IS FY''22'!D18</f>
        <v>165180</v>
      </c>
      <c r="E10" s="79">
        <f>'COOK-US, IS FY''22'!E18</f>
        <v>130688</v>
      </c>
      <c r="F10" s="86">
        <f>SUM(O10:P10)</f>
        <v>102161.58831653492</v>
      </c>
      <c r="G10" s="79">
        <f>G7*G25</f>
        <v>108291.28361552702</v>
      </c>
      <c r="H10" s="79">
        <f>H7*H25</f>
        <v>114788.76063245864</v>
      </c>
      <c r="I10" s="79">
        <f>I7*I25</f>
        <v>121676.08627040614</v>
      </c>
      <c r="J10" s="79">
        <f>J7*J25</f>
        <v>128976.65144663052</v>
      </c>
      <c r="K10" s="86">
        <f>'COOK-US, IS FY''22'!F18</f>
        <v>104190</v>
      </c>
      <c r="L10" s="79">
        <f>L7*L25</f>
        <v>105578.60016428459</v>
      </c>
      <c r="N10" s="79">
        <f>'COOK-US, IS FY''22'!L18</f>
        <v>25913</v>
      </c>
      <c r="O10" s="79">
        <f>O7*O25</f>
        <v>26258.588316534922</v>
      </c>
      <c r="P10" s="122">
        <f>'COOK-US, IS FY''22'!H18</f>
        <v>75903</v>
      </c>
    </row>
    <row r="11" spans="1:17" x14ac:dyDescent="0.2">
      <c r="A11" t="s">
        <v>151</v>
      </c>
      <c r="B11" s="123">
        <f>SUM('COOK-US, IS FY''22'!B19:B23)-SUM(B13:B14)</f>
        <v>39247</v>
      </c>
      <c r="C11" s="80">
        <f>SUM('COOK-US, IS FY''22'!C19:C23)-SUM(C13:C14)</f>
        <v>41808</v>
      </c>
      <c r="D11" s="80">
        <f>SUM('COOK-US, IS FY''22'!D19:D23)-SUM(D13:D14)</f>
        <v>149234</v>
      </c>
      <c r="E11" s="80">
        <f>SUM('COOK-US, IS FY''22'!E19:E23)-SUM(E13:E14)</f>
        <v>387479</v>
      </c>
      <c r="F11" s="84">
        <f>SUM(O11:P11)</f>
        <v>113532</v>
      </c>
      <c r="G11" s="80">
        <f>F11-6200</f>
        <v>107332</v>
      </c>
      <c r="H11" s="80">
        <f>G11</f>
        <v>107332</v>
      </c>
      <c r="I11" s="80">
        <f>H11</f>
        <v>107332</v>
      </c>
      <c r="J11" s="80">
        <f>I11</f>
        <v>107332</v>
      </c>
      <c r="K11" s="84">
        <f>SUM('COOK-US, IS FY''22'!F19:F23)</f>
        <v>171862</v>
      </c>
      <c r="L11" s="80">
        <f>G11</f>
        <v>107332</v>
      </c>
      <c r="N11" s="80">
        <f>SUM('COOK-US, IS FY''22'!L19:L23)-N13-N14</f>
        <v>19292.75</v>
      </c>
      <c r="O11" s="80">
        <f>N11</f>
        <v>19292.75</v>
      </c>
      <c r="P11" s="95">
        <f>SUM('COOK-US, IS FY''22'!H19:H23)-P13-P14</f>
        <v>94239.25</v>
      </c>
    </row>
    <row r="12" spans="1:17" x14ac:dyDescent="0.2">
      <c r="A12" s="1" t="s">
        <v>152</v>
      </c>
      <c r="B12" s="81">
        <f t="shared" ref="B12:L12" si="3">B9-B11-B10</f>
        <v>49612</v>
      </c>
      <c r="C12" s="81">
        <f t="shared" si="3"/>
        <v>99314</v>
      </c>
      <c r="D12" s="81">
        <f t="shared" si="3"/>
        <v>-13649</v>
      </c>
      <c r="E12" s="81">
        <f t="shared" si="3"/>
        <v>-289395</v>
      </c>
      <c r="F12" s="85">
        <f t="shared" si="3"/>
        <v>5792.211683465066</v>
      </c>
      <c r="G12" s="81">
        <f t="shared" si="3"/>
        <v>30536.573184472989</v>
      </c>
      <c r="H12" s="81">
        <f t="shared" si="3"/>
        <v>45499.186247541365</v>
      </c>
      <c r="I12" s="81">
        <f t="shared" si="3"/>
        <v>61760.986014713882</v>
      </c>
      <c r="J12" s="81">
        <f t="shared" si="3"/>
        <v>79424.009483455928</v>
      </c>
      <c r="K12" s="85">
        <f t="shared" si="3"/>
        <v>-65023</v>
      </c>
      <c r="L12" s="81">
        <f t="shared" si="3"/>
        <v>27082.982235715419</v>
      </c>
      <c r="N12" s="81">
        <f>N9-N11-N10</f>
        <v>-539.75</v>
      </c>
      <c r="O12" s="81">
        <f>O9-O11-O10</f>
        <v>12514.461683465066</v>
      </c>
      <c r="P12" s="99">
        <f>P9-P11-P10</f>
        <v>-6722.25</v>
      </c>
    </row>
    <row r="13" spans="1:17" x14ac:dyDescent="0.2">
      <c r="A13" t="s">
        <v>153</v>
      </c>
      <c r="B13" s="79">
        <f>'COOK-US, CF FY''22'!B17</f>
        <v>6057</v>
      </c>
      <c r="C13" s="79">
        <f>'COOK-US, CF FY''22'!C17</f>
        <v>7762</v>
      </c>
      <c r="D13" s="79">
        <f>'COOK-US, CF FY''22'!D17</f>
        <v>9150</v>
      </c>
      <c r="E13" s="79">
        <f>'COOK-US, CF FY''22'!E17</f>
        <v>13821</v>
      </c>
      <c r="F13" s="86">
        <f>SUM(O13:P13)</f>
        <v>13821</v>
      </c>
      <c r="G13" s="79">
        <f>'Balance Sheet'!G11*'Income Statement'!G27</f>
        <v>14783.935159004861</v>
      </c>
      <c r="H13" s="79">
        <f>'Balance Sheet'!H11*'Income Statement'!H27</f>
        <v>15779.478045151955</v>
      </c>
      <c r="I13" s="79">
        <f>'Balance Sheet'!I11*'Income Statement'!I27</f>
        <v>16146.689049510309</v>
      </c>
      <c r="J13" s="219">
        <f>'Balance Sheet'!J11*'Income Statement'!J27</f>
        <v>16220.436215435893</v>
      </c>
      <c r="K13" s="79">
        <f>'COOK-US, CF FY''22'!E17</f>
        <v>13821</v>
      </c>
      <c r="L13" s="79">
        <f>G13</f>
        <v>14783.935159004861</v>
      </c>
      <c r="N13" s="79">
        <f>K13/4</f>
        <v>3455.25</v>
      </c>
      <c r="O13" s="79">
        <f>N13</f>
        <v>3455.25</v>
      </c>
      <c r="P13" s="114">
        <f>O13*3</f>
        <v>10365.75</v>
      </c>
    </row>
    <row r="14" spans="1:17" x14ac:dyDescent="0.2">
      <c r="A14" t="s">
        <v>154</v>
      </c>
      <c r="B14" s="80">
        <f>'COOK-US, CF FY''22'!B18</f>
        <v>33100</v>
      </c>
      <c r="C14" s="80">
        <f>'COOK-US, CF FY''22'!C18</f>
        <v>33206</v>
      </c>
      <c r="D14" s="80">
        <f>'COOK-US, CF FY''22'!D18</f>
        <v>38350</v>
      </c>
      <c r="E14" s="80">
        <f>'COOK-US, CF FY''22'!E18</f>
        <v>42726</v>
      </c>
      <c r="F14" s="84">
        <v>35556</v>
      </c>
      <c r="G14" s="80">
        <f>F14</f>
        <v>35556</v>
      </c>
      <c r="H14" s="80">
        <f>F14</f>
        <v>35556</v>
      </c>
      <c r="I14" s="80">
        <f>G14</f>
        <v>35556</v>
      </c>
      <c r="J14" s="80">
        <f>H14</f>
        <v>35556</v>
      </c>
      <c r="K14" s="84">
        <v>35556</v>
      </c>
      <c r="L14" s="80">
        <f>G14</f>
        <v>35556</v>
      </c>
      <c r="N14" s="80">
        <f>K14/4</f>
        <v>8889</v>
      </c>
      <c r="O14" s="80">
        <f>N14</f>
        <v>8889</v>
      </c>
      <c r="P14" s="95">
        <f>O14*3</f>
        <v>26667</v>
      </c>
    </row>
    <row r="15" spans="1:17" x14ac:dyDescent="0.2">
      <c r="A15" s="1" t="s">
        <v>155</v>
      </c>
      <c r="B15" s="81">
        <f t="shared" ref="B15:K15" si="4">B12-B13-B14</f>
        <v>10455</v>
      </c>
      <c r="C15" s="81">
        <f t="shared" si="4"/>
        <v>58346</v>
      </c>
      <c r="D15" s="81">
        <f t="shared" si="4"/>
        <v>-61149</v>
      </c>
      <c r="E15" s="81">
        <f t="shared" si="4"/>
        <v>-345942</v>
      </c>
      <c r="F15" s="85">
        <f t="shared" si="4"/>
        <v>-43584.788316534934</v>
      </c>
      <c r="G15" s="81">
        <f t="shared" si="4"/>
        <v>-19803.361974531872</v>
      </c>
      <c r="H15" s="81">
        <f t="shared" si="4"/>
        <v>-5836.2917976105891</v>
      </c>
      <c r="I15" s="81">
        <f t="shared" si="4"/>
        <v>10058.296965203575</v>
      </c>
      <c r="J15" s="81">
        <f t="shared" si="4"/>
        <v>27647.573268020031</v>
      </c>
      <c r="K15" s="85">
        <f t="shared" si="4"/>
        <v>-114400</v>
      </c>
      <c r="L15" s="81">
        <f t="shared" ref="L15:P15" si="5">L12-L13-L14</f>
        <v>-23256.952923289442</v>
      </c>
      <c r="N15" s="81">
        <f t="shared" si="5"/>
        <v>-12884</v>
      </c>
      <c r="O15" s="81">
        <f t="shared" si="5"/>
        <v>170.21168346506602</v>
      </c>
      <c r="P15" s="99">
        <f t="shared" si="5"/>
        <v>-43755</v>
      </c>
    </row>
    <row r="16" spans="1:17" x14ac:dyDescent="0.2">
      <c r="A16" t="s">
        <v>156</v>
      </c>
      <c r="B16" s="79">
        <f>-'COOK-US, IS FY''22'!B28</f>
        <v>39462</v>
      </c>
      <c r="C16" s="79">
        <f>-'COOK-US, IS FY''22'!C28</f>
        <v>34073</v>
      </c>
      <c r="D16" s="79">
        <f>-'COOK-US, IS FY''22'!D28</f>
        <v>26646</v>
      </c>
      <c r="E16" s="79">
        <f>-'COOK-US, IS FY''22'!E28</f>
        <v>27885</v>
      </c>
      <c r="F16" s="86">
        <f>SUM(O16:P16)</f>
        <v>30925</v>
      </c>
      <c r="G16" s="79">
        <f>('Balance Sheet'!G24+'Balance Sheet'!G21)*'Debt Schedule'!E3</f>
        <v>25447.798539748976</v>
      </c>
      <c r="H16" s="79">
        <f>('Balance Sheet'!H24+'Balance Sheet'!H21)*'Debt Schedule'!$E$3</f>
        <v>25821.280452133917</v>
      </c>
      <c r="I16" s="79">
        <f>(('Balance Sheet'!I24+'Balance Sheet'!I21)*'Debt Schedule'!$E$3*(2/12))+('Balance Sheet'!I24+'Balance Sheet'!I21)*'Debt Schedule'!$B$21*(10/12)</f>
        <v>30719.339340041741</v>
      </c>
      <c r="J16" s="79">
        <f>('Balance Sheet'!J24+'Balance Sheet'!J21)*'Debt Schedule'!$B$21</f>
        <v>29996.278014129559</v>
      </c>
      <c r="K16" s="86">
        <f>-'COOK-US, IS FY''22'!F28</f>
        <v>31055</v>
      </c>
      <c r="L16" s="79">
        <f>G16</f>
        <v>25447.798539748976</v>
      </c>
      <c r="N16" s="79">
        <f>-'COOK-US, IS FY''22'!L28</f>
        <v>7517</v>
      </c>
      <c r="O16" s="82">
        <f>N16*(1+O29)</f>
        <v>7517</v>
      </c>
      <c r="P16" s="114">
        <f>-'COOK-US, IS FY''22'!H28</f>
        <v>23408</v>
      </c>
      <c r="Q16" s="121"/>
    </row>
    <row r="17" spans="1:16" x14ac:dyDescent="0.2">
      <c r="A17" t="s">
        <v>157</v>
      </c>
      <c r="B17" s="79">
        <f>-SUM('COOK-US, IS FY''22'!B29:B30)</f>
        <v>462</v>
      </c>
      <c r="C17" s="79">
        <f>-SUM('COOK-US, IS FY''22'!C29:C30)</f>
        <v>-7526</v>
      </c>
      <c r="D17" s="79">
        <f>-SUM('COOK-US, IS FY''22'!D29:D30)</f>
        <v>2483</v>
      </c>
      <c r="E17" s="79">
        <f>-SUM('COOK-US, IS FY''22'!E29:E30)</f>
        <v>7127</v>
      </c>
      <c r="F17" s="86">
        <f>SUM(O17:P17)</f>
        <v>-10012</v>
      </c>
      <c r="G17" s="79">
        <v>0</v>
      </c>
      <c r="H17" s="79">
        <f>G17</f>
        <v>0</v>
      </c>
      <c r="I17" s="79">
        <f>H17</f>
        <v>0</v>
      </c>
      <c r="J17" s="79">
        <f>I17</f>
        <v>0</v>
      </c>
      <c r="K17" s="86">
        <f>-SUM('COOK-US, IS FY''22'!F29:F30)</f>
        <v>-9244</v>
      </c>
      <c r="L17" s="79">
        <f>G17</f>
        <v>0</v>
      </c>
      <c r="N17" s="79">
        <f>-'COOK-US, IS FY''22'!L30</f>
        <v>-1992</v>
      </c>
      <c r="O17" s="79">
        <f>N17</f>
        <v>-1992</v>
      </c>
      <c r="P17" s="114">
        <f>-SUM('COOK-US, IS FY''22'!H29:H30)</f>
        <v>-8020</v>
      </c>
    </row>
    <row r="18" spans="1:16" x14ac:dyDescent="0.2">
      <c r="A18" t="s">
        <v>158</v>
      </c>
      <c r="B18" s="80">
        <f>'COOK-US, IS FY''22'!B34</f>
        <v>124</v>
      </c>
      <c r="C18" s="80">
        <f>'COOK-US, IS FY''22'!C34</f>
        <v>749</v>
      </c>
      <c r="D18" s="80">
        <f>'COOK-US, IS FY''22'!D34</f>
        <v>1489</v>
      </c>
      <c r="E18" s="80">
        <f>'COOK-US, IS FY''22'!E34</f>
        <v>1186</v>
      </c>
      <c r="F18" s="84">
        <f>SUM(O18:P18)</f>
        <v>1214</v>
      </c>
      <c r="G18" s="80">
        <f>IF(G15&gt;0, G15*DCF!C2,0)</f>
        <v>0</v>
      </c>
      <c r="H18" s="80">
        <f>IF(H15&gt;0, H15*DCF!D2,0)</f>
        <v>0</v>
      </c>
      <c r="I18" s="80">
        <f>IF(I15&gt;0, I15*DCF!E2,0)</f>
        <v>0</v>
      </c>
      <c r="J18" s="80">
        <f>IF(J15&gt;0, J15*DCF!F2,0)</f>
        <v>0</v>
      </c>
      <c r="K18" s="84">
        <f>'COOK-US, IS FY''22'!F34</f>
        <v>2427</v>
      </c>
      <c r="L18" s="80">
        <f>IF(L15&gt;0, L15*DCF!H2,0)</f>
        <v>0</v>
      </c>
      <c r="N18" s="80">
        <f>'COOK-US, IS FY''22'!L34</f>
        <v>852</v>
      </c>
      <c r="O18" s="80">
        <v>0</v>
      </c>
      <c r="P18" s="95">
        <f>'COOK-US, IS FY''22'!H34</f>
        <v>1214</v>
      </c>
    </row>
    <row r="19" spans="1:16" x14ac:dyDescent="0.2">
      <c r="A19" s="1" t="s">
        <v>159</v>
      </c>
      <c r="B19" s="81">
        <f t="shared" ref="B19:L19" si="6">B15-B16-B17-B18</f>
        <v>-29593</v>
      </c>
      <c r="C19" s="81">
        <f t="shared" si="6"/>
        <v>31050</v>
      </c>
      <c r="D19" s="81">
        <f t="shared" si="6"/>
        <v>-91767</v>
      </c>
      <c r="E19" s="81">
        <f t="shared" si="6"/>
        <v>-382140</v>
      </c>
      <c r="F19" s="85">
        <f t="shared" si="6"/>
        <v>-65711.788316534934</v>
      </c>
      <c r="G19" s="81">
        <f t="shared" si="6"/>
        <v>-45251.160514280848</v>
      </c>
      <c r="H19" s="81">
        <f t="shared" si="6"/>
        <v>-31657.572249744506</v>
      </c>
      <c r="I19" s="81">
        <f t="shared" si="6"/>
        <v>-20661.042374838165</v>
      </c>
      <c r="J19" s="81">
        <f t="shared" si="6"/>
        <v>-2348.7047461095281</v>
      </c>
      <c r="K19" s="85">
        <f t="shared" si="6"/>
        <v>-138638</v>
      </c>
      <c r="L19" s="81">
        <f t="shared" si="6"/>
        <v>-48704.751463038418</v>
      </c>
      <c r="N19" s="81">
        <f>N15-N16-N17-N18</f>
        <v>-19261</v>
      </c>
      <c r="O19" s="81">
        <f>O15-O16-O17-O18</f>
        <v>-5354.788316534934</v>
      </c>
      <c r="P19" s="99">
        <f>P15-P16-P17-P18</f>
        <v>-60357</v>
      </c>
    </row>
    <row r="20" spans="1:16" x14ac:dyDescent="0.2">
      <c r="F20" s="4"/>
      <c r="K20" s="86"/>
      <c r="L20" s="79"/>
      <c r="N20" s="79"/>
    </row>
    <row r="21" spans="1:16" x14ac:dyDescent="0.2">
      <c r="A21" s="1"/>
      <c r="B21" s="6">
        <v>2019</v>
      </c>
      <c r="C21" s="6">
        <v>2020</v>
      </c>
      <c r="D21" s="6">
        <v>2021</v>
      </c>
      <c r="E21" s="6">
        <v>2022</v>
      </c>
      <c r="F21" s="7">
        <v>2023</v>
      </c>
      <c r="G21" s="6">
        <v>2024</v>
      </c>
      <c r="H21" s="6">
        <v>2025</v>
      </c>
      <c r="I21" s="6">
        <v>2026</v>
      </c>
      <c r="J21" s="6">
        <v>2027</v>
      </c>
      <c r="K21" s="7" t="s">
        <v>7</v>
      </c>
      <c r="L21" s="6" t="s">
        <v>144</v>
      </c>
      <c r="N21" s="31"/>
    </row>
    <row r="22" spans="1:16" x14ac:dyDescent="0.2">
      <c r="A22" t="s">
        <v>160</v>
      </c>
      <c r="B22" s="8"/>
      <c r="C22" s="9">
        <f>(C7-B7)/B7</f>
        <v>0.50218403111315402</v>
      </c>
      <c r="D22" s="9">
        <f>(D7-C7)/C7</f>
        <v>0.43932814435331968</v>
      </c>
      <c r="E22" s="9">
        <f>(E7-D7)/D7</f>
        <v>-0.16503701251997022</v>
      </c>
      <c r="F22" s="141">
        <f>(F7-E7)/E7</f>
        <v>-9.2161774414126527E-2</v>
      </c>
      <c r="G22" s="16">
        <v>0.06</v>
      </c>
      <c r="H22" s="16">
        <v>0.06</v>
      </c>
      <c r="I22" s="16">
        <v>0.06</v>
      </c>
      <c r="J22" s="16">
        <v>0.06</v>
      </c>
      <c r="K22" s="10"/>
      <c r="L22" s="9">
        <f>G22</f>
        <v>0.06</v>
      </c>
      <c r="N22" s="47"/>
      <c r="O22" s="116">
        <v>0.3</v>
      </c>
    </row>
    <row r="23" spans="1:16" x14ac:dyDescent="0.2">
      <c r="A23" t="s">
        <v>161</v>
      </c>
      <c r="B23" s="8">
        <f>B8/B7</f>
        <v>0.57123079167343294</v>
      </c>
      <c r="C23" s="9">
        <f>C8/C7</f>
        <v>0.56976173200530622</v>
      </c>
      <c r="D23" s="9">
        <f>D8/D7</f>
        <v>0.6171256898077131</v>
      </c>
      <c r="E23" s="9">
        <f>E8/E7</f>
        <v>0.65120955753993359</v>
      </c>
      <c r="F23" s="52">
        <f>P23*0.75+N23*0.25</f>
        <v>0.62810783676055326</v>
      </c>
      <c r="G23" s="16">
        <v>0.61</v>
      </c>
      <c r="H23" s="16">
        <v>0.6</v>
      </c>
      <c r="I23" s="16">
        <v>0.59</v>
      </c>
      <c r="J23" s="16">
        <v>0.57999999999999996</v>
      </c>
      <c r="K23" s="10">
        <f>K8/K7</f>
        <v>0.63649282731820245</v>
      </c>
      <c r="L23" s="9">
        <f>G23</f>
        <v>0.61</v>
      </c>
      <c r="N23" s="118">
        <f>N8/N7</f>
        <v>0.62060647243693201</v>
      </c>
      <c r="O23" s="119">
        <f>N23</f>
        <v>0.62060647243693201</v>
      </c>
      <c r="P23" s="118">
        <f>P8/P7</f>
        <v>0.63060829153509357</v>
      </c>
    </row>
    <row r="24" spans="1:16" x14ac:dyDescent="0.2">
      <c r="A24" s="1" t="s">
        <v>162</v>
      </c>
      <c r="B24" s="13"/>
      <c r="C24" s="14">
        <f t="shared" ref="C24:J24" si="7">(C9-B9)/B9</f>
        <v>0.50733085120041088</v>
      </c>
      <c r="D24" s="14">
        <f t="shared" si="7"/>
        <v>0.28087576444134033</v>
      </c>
      <c r="E24" s="14">
        <f t="shared" si="7"/>
        <v>-0.23936628264591958</v>
      </c>
      <c r="F24" s="220">
        <f t="shared" si="7"/>
        <v>-3.1849177346878164E-2</v>
      </c>
      <c r="G24" s="221">
        <f t="shared" si="7"/>
        <v>0.11140243211980191</v>
      </c>
      <c r="H24" s="221">
        <f t="shared" si="7"/>
        <v>8.7179487179487147E-2</v>
      </c>
      <c r="I24" s="221">
        <f t="shared" si="7"/>
        <v>8.6500000000000091E-2</v>
      </c>
      <c r="J24" s="221">
        <f t="shared" si="7"/>
        <v>8.5853658536585442E-2</v>
      </c>
      <c r="K24" s="150"/>
      <c r="L24" s="14">
        <f>(L9-K9)/K9</f>
        <v>0.137254038070597</v>
      </c>
      <c r="N24" s="117"/>
      <c r="O24" s="117">
        <f>F24</f>
        <v>-3.1849177346878164E-2</v>
      </c>
      <c r="P24" s="117"/>
    </row>
    <row r="25" spans="1:16" x14ac:dyDescent="0.2">
      <c r="A25" t="s">
        <v>163</v>
      </c>
      <c r="B25" s="8">
        <f>B10/B7</f>
        <v>0.18419350488138522</v>
      </c>
      <c r="C25" s="9">
        <f>C10/C7</f>
        <v>0.17166509091708626</v>
      </c>
      <c r="D25" s="9">
        <f>D10/D7</f>
        <v>0.21027439548339052</v>
      </c>
      <c r="E25" s="9">
        <f>E10/E7</f>
        <v>0.19924958187287412</v>
      </c>
      <c r="F25" s="52">
        <f>F10/F7</f>
        <v>0.17156981304376326</v>
      </c>
      <c r="G25" s="16">
        <f>F25</f>
        <v>0.17156981304376326</v>
      </c>
      <c r="H25" s="16">
        <f>G25</f>
        <v>0.17156981304376326</v>
      </c>
      <c r="I25" s="16">
        <f>H25</f>
        <v>0.17156981304376326</v>
      </c>
      <c r="J25" s="16">
        <f>I25</f>
        <v>0.17156981304376326</v>
      </c>
      <c r="K25" s="10">
        <f>K10/K7</f>
        <v>0.17947207408326099</v>
      </c>
      <c r="L25" s="9">
        <f>G25</f>
        <v>0.17156981304376326</v>
      </c>
      <c r="N25" s="118">
        <f>N10/N7</f>
        <v>0.22010532574534952</v>
      </c>
      <c r="O25" s="119">
        <f>P25</f>
        <v>0.17156981304376326</v>
      </c>
      <c r="P25" s="118">
        <f>P10/P7</f>
        <v>0.17156981304376326</v>
      </c>
    </row>
    <row r="26" spans="1:16" x14ac:dyDescent="0.2">
      <c r="A26" s="1" t="s">
        <v>152</v>
      </c>
      <c r="B26" s="13"/>
      <c r="C26" s="14">
        <f>(C12-B12)/B12</f>
        <v>1.0018140772393775</v>
      </c>
      <c r="D26" s="14">
        <f>(D12-C12)/C12</f>
        <v>-1.1374327889320741</v>
      </c>
      <c r="E26" s="14">
        <f>(E12-D12)/D12</f>
        <v>20.202652208953037</v>
      </c>
      <c r="F26" s="220">
        <f>(F12-E12)/-E12</f>
        <v>1.0200148989563229</v>
      </c>
      <c r="G26" s="221">
        <f>(G12-F12)/-F12</f>
        <v>-4.2720057299779386</v>
      </c>
      <c r="H26" s="221">
        <f>(H12-G12)/G12</f>
        <v>0.48998992037117167</v>
      </c>
      <c r="I26" s="221">
        <f>(I12-H12)/H12</f>
        <v>0.35740858481949783</v>
      </c>
      <c r="J26" s="221">
        <f>(J12-I12)/I12</f>
        <v>0.28598998507786166</v>
      </c>
      <c r="K26" s="15"/>
      <c r="L26" s="14">
        <f>(L12-K12)/-K12</f>
        <v>1.416513883329213</v>
      </c>
      <c r="N26" s="117"/>
      <c r="O26" s="117">
        <f>F26</f>
        <v>1.0200148989563229</v>
      </c>
      <c r="P26" s="117"/>
    </row>
    <row r="27" spans="1:16" x14ac:dyDescent="0.2">
      <c r="A27" t="s">
        <v>164</v>
      </c>
      <c r="B27" s="9">
        <f>B13/'Balance Sheet'!B11</f>
        <v>0.27816303099885187</v>
      </c>
      <c r="C27" s="9">
        <f>C13/'Balance Sheet'!C11</f>
        <v>0.23953832860140722</v>
      </c>
      <c r="D27" s="9">
        <f>D13/'Balance Sheet'!D11</f>
        <v>0.16493321556681148</v>
      </c>
      <c r="E27" s="9">
        <f>E13/'Balance Sheet'!E11</f>
        <v>0.19925321492416814</v>
      </c>
      <c r="F27" s="140">
        <f>F13/'Balance Sheet'!F11</f>
        <v>0.18828017550475054</v>
      </c>
      <c r="G27" s="16">
        <f>F27</f>
        <v>0.18828017550475054</v>
      </c>
      <c r="H27" s="16">
        <f>G27</f>
        <v>0.18828017550475054</v>
      </c>
      <c r="I27" s="16">
        <f>H27</f>
        <v>0.18828017550475054</v>
      </c>
      <c r="J27" s="222">
        <f>I27</f>
        <v>0.18828017550475054</v>
      </c>
      <c r="K27" s="9">
        <f>K13/'Balance Sheet'!K11</f>
        <v>0.20581052506179826</v>
      </c>
      <c r="L27" s="9"/>
      <c r="N27" s="118"/>
      <c r="O27" s="118"/>
      <c r="P27" s="118">
        <f>P13/'Balance Sheet'!K11</f>
        <v>0.15435789379634868</v>
      </c>
    </row>
    <row r="28" spans="1:16" x14ac:dyDescent="0.2">
      <c r="A28" s="1" t="s">
        <v>155</v>
      </c>
      <c r="B28" s="13"/>
      <c r="C28" s="14">
        <f t="shared" ref="C28:E29" si="8">(C15-B15)/B15</f>
        <v>4.5806791009086565</v>
      </c>
      <c r="D28" s="14">
        <f t="shared" si="8"/>
        <v>-2.0480409968121207</v>
      </c>
      <c r="E28" s="14">
        <f t="shared" si="8"/>
        <v>4.6573615267624984</v>
      </c>
      <c r="F28" s="220">
        <f>(F15-E15)/-E15</f>
        <v>0.87401128421372676</v>
      </c>
      <c r="G28" s="221">
        <f>(G15-F15)/-F15</f>
        <v>0.5456359262155922</v>
      </c>
      <c r="H28" s="221">
        <f>(H15-G15)/-G15</f>
        <v>0.70528782915161792</v>
      </c>
      <c r="I28" s="221">
        <f>(I15-H15)/-H15</f>
        <v>2.7234054283100613</v>
      </c>
      <c r="J28" s="221">
        <f>(J15-I15)/I15</f>
        <v>1.7487330473206462</v>
      </c>
      <c r="K28" s="15"/>
      <c r="L28" s="14">
        <f>(L15-K15)/-K15</f>
        <v>0.79670495696425314</v>
      </c>
      <c r="N28" s="117"/>
      <c r="O28" s="117">
        <f>(O15-N15)/-N15</f>
        <v>1.0132110899926317</v>
      </c>
      <c r="P28" s="117"/>
    </row>
    <row r="29" spans="1:16" x14ac:dyDescent="0.2">
      <c r="A29" t="s">
        <v>156</v>
      </c>
      <c r="B29" s="8"/>
      <c r="C29" s="9">
        <f t="shared" si="8"/>
        <v>-0.13656175561299477</v>
      </c>
      <c r="D29" s="9">
        <f t="shared" si="8"/>
        <v>-0.21797317524139348</v>
      </c>
      <c r="E29" s="9">
        <f t="shared" si="8"/>
        <v>4.6498536365683407E-2</v>
      </c>
      <c r="F29" s="146"/>
      <c r="G29" s="147"/>
      <c r="H29" s="147"/>
      <c r="I29" s="147"/>
      <c r="J29" s="147"/>
      <c r="K29" s="146"/>
      <c r="L29" s="147"/>
      <c r="M29" s="148"/>
      <c r="N29" s="149"/>
      <c r="O29" s="149"/>
      <c r="P29" s="47"/>
    </row>
    <row r="30" spans="1:16" x14ac:dyDescent="0.2">
      <c r="A30" t="s">
        <v>158</v>
      </c>
      <c r="B30" s="8"/>
      <c r="C30" s="9"/>
      <c r="D30" s="9"/>
      <c r="E30" s="9"/>
      <c r="F30" s="10"/>
      <c r="G30" s="9"/>
      <c r="H30" s="9"/>
      <c r="I30" s="9"/>
      <c r="J30" s="9"/>
      <c r="K30" s="10"/>
      <c r="L30" s="9"/>
      <c r="N30" s="118"/>
      <c r="O30" s="118"/>
      <c r="P30" s="118"/>
    </row>
    <row r="31" spans="1:16" x14ac:dyDescent="0.2">
      <c r="A31" s="1" t="s">
        <v>165</v>
      </c>
      <c r="B31" s="13"/>
      <c r="C31" s="14">
        <f>(C19-B19)/-B19</f>
        <v>2.049234616294394</v>
      </c>
      <c r="D31" s="14">
        <f>(D19-C19)/C19</f>
        <v>-3.9554589371980677</v>
      </c>
      <c r="E31" s="14">
        <f>(E19-D19)/D19</f>
        <v>3.1642420477949589</v>
      </c>
      <c r="F31" s="151">
        <f>(F19-E19)/-E19</f>
        <v>0.82804263276146195</v>
      </c>
      <c r="G31" s="14">
        <f>(G19-F19)/-F19</f>
        <v>0.31136921283735047</v>
      </c>
      <c r="H31" s="14">
        <f>(H19-G19)/-G19</f>
        <v>0.30040308602132604</v>
      </c>
      <c r="I31" s="14">
        <f>(I19-H19)/-H19</f>
        <v>0.34735859680443715</v>
      </c>
      <c r="J31" s="14">
        <f>(J19-I19)/I19</f>
        <v>-0.8863220594828326</v>
      </c>
      <c r="K31" s="15"/>
      <c r="L31" s="14">
        <f>(L19-K19)/-K19</f>
        <v>0.64869118522311042</v>
      </c>
      <c r="N31" s="117"/>
      <c r="O31" s="117">
        <f>(O19-N19)/-N19</f>
        <v>0.7219880423376287</v>
      </c>
      <c r="P31" s="117"/>
    </row>
    <row r="32" spans="1:16" x14ac:dyDescent="0.2">
      <c r="F32" s="152"/>
      <c r="K32" s="152"/>
    </row>
    <row r="33" spans="7:11" x14ac:dyDescent="0.2">
      <c r="K33" s="152"/>
    </row>
    <row r="34" spans="7:11" x14ac:dyDescent="0.2">
      <c r="K34" s="152"/>
    </row>
    <row r="36" spans="7:11" x14ac:dyDescent="0.2">
      <c r="G36" s="173">
        <f>((J7/F7)^(1/(J6-F6))-1)</f>
        <v>6.0000000000000053E-2</v>
      </c>
    </row>
  </sheetData>
  <mergeCells count="2">
    <mergeCell ref="B5:E5"/>
    <mergeCell ref="F5:J5"/>
  </mergeCells>
  <pageMargins left="0.7" right="0.7" top="0.75" bottom="0.75" header="0.3" footer="0.3"/>
  <pageSetup orientation="portrait" horizontalDpi="0" verticalDpi="0"/>
  <drawing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1ABE5-4ADF-0747-B5F9-5DD91B52FC9B}">
  <sheetPr codeName="Sheet8">
    <tabColor rgb="FFC00000"/>
  </sheetPr>
  <dimension ref="A1:L69"/>
  <sheetViews>
    <sheetView workbookViewId="0">
      <selection activeCell="A34" sqref="A34:A35"/>
    </sheetView>
  </sheetViews>
  <sheetFormatPr baseColWidth="10" defaultColWidth="11" defaultRowHeight="16" x14ac:dyDescent="0.2"/>
  <cols>
    <col min="1" max="1" width="35.1640625" bestFit="1" customWidth="1"/>
    <col min="2" max="2" width="13.83203125" bestFit="1" customWidth="1"/>
    <col min="3" max="3" width="11.83203125" bestFit="1" customWidth="1"/>
    <col min="4" max="4" width="13" bestFit="1" customWidth="1"/>
    <col min="5" max="5" width="11.83203125" bestFit="1" customWidth="1"/>
    <col min="6" max="6" width="11.6640625" bestFit="1" customWidth="1"/>
    <col min="7" max="7" width="11.6640625" customWidth="1"/>
    <col min="8" max="10" width="12.83203125" bestFit="1" customWidth="1"/>
    <col min="11" max="11" width="11.5" bestFit="1" customWidth="1"/>
  </cols>
  <sheetData>
    <row r="1" spans="1:12" x14ac:dyDescent="0.2">
      <c r="A1" s="1" t="s">
        <v>166</v>
      </c>
    </row>
    <row r="3" spans="1:12" x14ac:dyDescent="0.2">
      <c r="D3" s="28"/>
    </row>
    <row r="4" spans="1:12" x14ac:dyDescent="0.2">
      <c r="B4" s="291" t="s">
        <v>141</v>
      </c>
      <c r="C4" s="291"/>
      <c r="D4" s="291"/>
      <c r="E4" s="291"/>
      <c r="F4" s="291" t="s">
        <v>142</v>
      </c>
      <c r="G4" s="291"/>
      <c r="H4" s="291"/>
      <c r="I4" s="291"/>
      <c r="J4" s="291"/>
      <c r="K4" s="12" t="s">
        <v>143</v>
      </c>
    </row>
    <row r="5" spans="1:12" x14ac:dyDescent="0.2">
      <c r="A5" s="1" t="s">
        <v>167</v>
      </c>
      <c r="B5" s="6">
        <v>2019</v>
      </c>
      <c r="C5" s="6">
        <v>2020</v>
      </c>
      <c r="D5" s="6">
        <v>2021</v>
      </c>
      <c r="E5" s="6">
        <v>2022</v>
      </c>
      <c r="F5" s="145">
        <v>2023</v>
      </c>
      <c r="G5" s="31">
        <v>2024</v>
      </c>
      <c r="H5" s="31">
        <v>2025</v>
      </c>
      <c r="I5" s="31">
        <v>2026</v>
      </c>
      <c r="J5" s="31">
        <v>2027</v>
      </c>
      <c r="K5" s="7" t="s">
        <v>7</v>
      </c>
      <c r="L5" s="31"/>
    </row>
    <row r="6" spans="1:12" x14ac:dyDescent="0.2">
      <c r="A6" t="s">
        <v>168</v>
      </c>
      <c r="B6" s="33">
        <f>'COOK-US, BS FY''22'!B14+'COOK-US, BS FY''22'!B15</f>
        <v>7077</v>
      </c>
      <c r="C6" s="33">
        <f>'COOK-US, BS FY''22'!C14+'COOK-US, BS FY''22'!C15</f>
        <v>11556</v>
      </c>
      <c r="D6" s="33">
        <f>'COOK-US, BS FY''22'!D14+'COOK-US, BS FY''22'!D15</f>
        <v>16740</v>
      </c>
      <c r="E6" s="33">
        <f>'COOK-US, BS FY''22'!E14+'COOK-US, BS FY''22'!E15</f>
        <v>51555</v>
      </c>
      <c r="F6" s="223">
        <f>K6</f>
        <v>11280</v>
      </c>
      <c r="G6" s="224">
        <f>G29-G15-SUM(G7:G9)</f>
        <v>11220.569727766444</v>
      </c>
      <c r="H6" s="225">
        <f>H29-H15-SUM(H7:H9)</f>
        <v>11004.392773770407</v>
      </c>
      <c r="I6" s="224">
        <f>I29-I15-SUM(I7:I9)</f>
        <v>11886.98862658607</v>
      </c>
      <c r="J6" s="226">
        <f>J29-J15-SUM(J7:J9)</f>
        <v>13202.463045674085</v>
      </c>
      <c r="K6" s="144">
        <f>'COOK-US, BS FY''22'!F14</f>
        <v>11280</v>
      </c>
    </row>
    <row r="7" spans="1:12" x14ac:dyDescent="0.2">
      <c r="A7" t="s">
        <v>169</v>
      </c>
      <c r="B7" s="33">
        <f>'COOK-US, BS FY''22'!B16</f>
        <v>34670</v>
      </c>
      <c r="C7" s="33">
        <f>'COOK-US, BS FY''22'!C16</f>
        <v>64840</v>
      </c>
      <c r="D7" s="33">
        <f>'COOK-US, BS FY''22'!D16</f>
        <v>92927</v>
      </c>
      <c r="E7" s="33">
        <f>'COOK-US, BS FY''22'!E16</f>
        <v>42050</v>
      </c>
      <c r="F7" s="86">
        <f>'Income Statement'!F7*F40</f>
        <v>52306.265575261481</v>
      </c>
      <c r="G7" s="120">
        <f>'Income Statement'!G7*G40</f>
        <v>55444.641509777168</v>
      </c>
      <c r="H7" s="120">
        <f>'Income Statement'!H7*H40</f>
        <v>58771.320000363798</v>
      </c>
      <c r="I7" s="120">
        <f>'Income Statement'!I7*I40</f>
        <v>62297.599200385623</v>
      </c>
      <c r="J7" s="97">
        <f>'Income Statement'!J7*J40</f>
        <v>66035.455152408773</v>
      </c>
      <c r="K7" s="94">
        <f>'COOK-US, BS FY''22'!F16</f>
        <v>50996</v>
      </c>
    </row>
    <row r="8" spans="1:12" x14ac:dyDescent="0.2">
      <c r="A8" t="s">
        <v>170</v>
      </c>
      <c r="B8" s="33">
        <f>'COOK-US, BS FY''22'!B17</f>
        <v>39304</v>
      </c>
      <c r="C8" s="33">
        <f>'COOK-US, BS FY''22'!C17</f>
        <v>68835</v>
      </c>
      <c r="D8" s="33">
        <f>'COOK-US, BS FY''22'!D17</f>
        <v>141540</v>
      </c>
      <c r="E8" s="33">
        <f>'COOK-US, BS FY''22'!E17</f>
        <v>153471</v>
      </c>
      <c r="F8" s="86">
        <f>'Income Statement'!F8/'Balance Sheet'!F65</f>
        <v>103120.61769925874</v>
      </c>
      <c r="G8" s="120">
        <f>'Income Statement'!G8/'Balance Sheet'!G65</f>
        <v>106168.48326746502</v>
      </c>
      <c r="H8" s="120">
        <f>'Income Statement'!H8/'Balance Sheet'!H65</f>
        <v>110693.69730837336</v>
      </c>
      <c r="I8" s="120">
        <f>'Income Statement'!I8/'Balance Sheet'!I65</f>
        <v>115379.73049442781</v>
      </c>
      <c r="J8" s="97">
        <f>'Income Statement'!J8/'Balance Sheet'!J65</f>
        <v>120229.59035249869</v>
      </c>
      <c r="K8" s="94">
        <f>'COOK-US, BS FY''22'!F17</f>
        <v>101891</v>
      </c>
    </row>
    <row r="9" spans="1:12" x14ac:dyDescent="0.2">
      <c r="A9" t="s">
        <v>171</v>
      </c>
      <c r="B9" s="33">
        <f>'COOK-US, BS FY''22'!B18</f>
        <v>3378</v>
      </c>
      <c r="C9" s="33">
        <f>'COOK-US, BS FY''22'!C18</f>
        <v>13776</v>
      </c>
      <c r="D9" s="33">
        <f>'COOK-US, BS FY''22'!D18</f>
        <v>15036</v>
      </c>
      <c r="E9" s="33">
        <f>'COOK-US, BS FY''22'!E18</f>
        <v>27162</v>
      </c>
      <c r="F9" s="84">
        <f>'Income Statement'!F7*'Balance Sheet'!F42</f>
        <v>35951.582764893137</v>
      </c>
      <c r="G9" s="227">
        <f>'Income Statement'!G7*'Balance Sheet'!G42</f>
        <v>38108.677730786723</v>
      </c>
      <c r="H9" s="227">
        <f>'Income Statement'!H7*'Balance Sheet'!H42</f>
        <v>40395.198394633924</v>
      </c>
      <c r="I9" s="227">
        <f>'Income Statement'!I7*'Balance Sheet'!I42</f>
        <v>42818.910298311959</v>
      </c>
      <c r="J9" s="227">
        <f>'Income Statement'!J7*'Balance Sheet'!J42</f>
        <v>45388.044916210682</v>
      </c>
      <c r="K9" s="94">
        <f>'COOK-US, BS FY''22'!F18</f>
        <v>35051</v>
      </c>
    </row>
    <row r="10" spans="1:12" x14ac:dyDescent="0.2">
      <c r="A10" s="1" t="s">
        <v>172</v>
      </c>
      <c r="B10" s="92">
        <f t="shared" ref="B10:K10" si="0">SUM(B6:B9)</f>
        <v>84429</v>
      </c>
      <c r="C10" s="92">
        <f t="shared" ref="C10" si="1">SUM(C6:C9)</f>
        <v>159007</v>
      </c>
      <c r="D10" s="92">
        <f t="shared" ref="D10" si="2">SUM(D6:D9)</f>
        <v>266243</v>
      </c>
      <c r="E10" s="92">
        <f t="shared" ref="E10" si="3">SUM(E6:E9)</f>
        <v>274238</v>
      </c>
      <c r="F10" s="228">
        <f t="shared" si="0"/>
        <v>202658.46603941335</v>
      </c>
      <c r="G10" s="229">
        <f>SUM(G6:G9)</f>
        <v>210942.37223579537</v>
      </c>
      <c r="H10" s="229">
        <f t="shared" si="0"/>
        <v>220864.6084771415</v>
      </c>
      <c r="I10" s="229">
        <f t="shared" si="0"/>
        <v>232383.22861971147</v>
      </c>
      <c r="J10" s="229">
        <f t="shared" si="0"/>
        <v>244855.55346679222</v>
      </c>
      <c r="K10" s="96">
        <f t="shared" si="0"/>
        <v>199218</v>
      </c>
      <c r="L10" s="1"/>
    </row>
    <row r="11" spans="1:12" x14ac:dyDescent="0.2">
      <c r="A11" t="s">
        <v>173</v>
      </c>
      <c r="B11" s="33">
        <f>'COOK-US, BS FY''22'!B21+'COOK-US, BS FY''22'!B22</f>
        <v>21775</v>
      </c>
      <c r="C11" s="33">
        <f>'COOK-US, BS FY''22'!C21+'COOK-US, BS FY''22'!C22</f>
        <v>32404</v>
      </c>
      <c r="D11" s="33">
        <f>'COOK-US, BS FY''22'!D21+'COOK-US, BS FY''22'!D22</f>
        <v>55477</v>
      </c>
      <c r="E11" s="33">
        <f>'COOK-US, BS FY''22'!E21+'COOK-US, BS FY''22'!E22</f>
        <v>69364</v>
      </c>
      <c r="F11" s="86">
        <f>E11+(F66*'Income Statement'!F7)-'Income Statement'!E13</f>
        <v>73406.559999999998</v>
      </c>
      <c r="G11" s="120">
        <f>F11+G66*'Income Statement'!G7-'Income Statement'!F13</f>
        <v>78520.933599999989</v>
      </c>
      <c r="H11" s="120">
        <f>G11+H66*'Income Statement'!H7-'Income Statement'!G13</f>
        <v>83808.494456995119</v>
      </c>
      <c r="I11" s="120">
        <f>H11+I66*'Income Statement'!I7-'Income Statement'!H13</f>
        <v>85758.837892643176</v>
      </c>
      <c r="J11" s="97">
        <f>I11+J66*'Income Statement'!J7-'Income Statement'!I13</f>
        <v>86150.526320423101</v>
      </c>
      <c r="K11" s="94">
        <f>'COOK-US, BS FY''22'!F21+'COOK-US, BS FY''22'!F22</f>
        <v>67154</v>
      </c>
    </row>
    <row r="12" spans="1:12" x14ac:dyDescent="0.2">
      <c r="A12" t="s">
        <v>22</v>
      </c>
      <c r="B12" s="33">
        <f>'COOK-US, BS FY''22'!B23</f>
        <v>251170</v>
      </c>
      <c r="C12" s="33">
        <f>'COOK-US, BS FY''22'!C23</f>
        <v>256838</v>
      </c>
      <c r="D12" s="120">
        <f>'COOK-US, BS FY''22'!D23</f>
        <v>297047</v>
      </c>
      <c r="E12" s="120">
        <f>'COOK-US, BS FY''22'!E23</f>
        <v>74725</v>
      </c>
      <c r="F12" s="86">
        <f>E12</f>
        <v>74725</v>
      </c>
      <c r="G12" s="120">
        <f>F12</f>
        <v>74725</v>
      </c>
      <c r="H12" s="120">
        <f>G12</f>
        <v>74725</v>
      </c>
      <c r="I12" s="120">
        <f>H12</f>
        <v>74725</v>
      </c>
      <c r="J12" s="120">
        <f>I12</f>
        <v>74725</v>
      </c>
      <c r="K12" s="94">
        <f>'COOK-US, BS FY''22'!F23</f>
        <v>74725</v>
      </c>
    </row>
    <row r="13" spans="1:12" x14ac:dyDescent="0.2">
      <c r="A13" t="s">
        <v>174</v>
      </c>
      <c r="B13" s="33">
        <f>'COOK-US, BS FY''22'!B24</f>
        <v>567088</v>
      </c>
      <c r="C13" s="33">
        <f>'COOK-US, BS FY''22'!C24</f>
        <v>539841</v>
      </c>
      <c r="D13" s="33">
        <f>'COOK-US, BS FY''22'!D24</f>
        <v>555151</v>
      </c>
      <c r="E13" s="33">
        <f>'COOK-US, BS FY''22'!E24</f>
        <v>512858</v>
      </c>
      <c r="F13" s="86">
        <f>E13-'Income Statement'!E14</f>
        <v>470132</v>
      </c>
      <c r="G13" s="120">
        <f>F13-'Income Statement'!F14</f>
        <v>434576</v>
      </c>
      <c r="H13" s="120">
        <f>G13-'Income Statement'!G14</f>
        <v>399020</v>
      </c>
      <c r="I13" s="120">
        <f>H13-'Income Statement'!H14</f>
        <v>363464</v>
      </c>
      <c r="J13" s="120">
        <f>I13-'Income Statement'!I14</f>
        <v>327908</v>
      </c>
      <c r="K13" s="94">
        <f>'COOK-US, BS FY''22'!F24</f>
        <v>481155</v>
      </c>
    </row>
    <row r="14" spans="1:12" x14ac:dyDescent="0.2">
      <c r="A14" t="s">
        <v>175</v>
      </c>
      <c r="B14" s="33">
        <f>'COOK-US, BS FY''22'!B25</f>
        <v>383</v>
      </c>
      <c r="C14" s="33">
        <f>'COOK-US, BS FY''22'!C25</f>
        <v>1491</v>
      </c>
      <c r="D14" s="33">
        <f>'COOK-US, BS FY''22'!D25</f>
        <v>3608</v>
      </c>
      <c r="E14" s="33">
        <f>'COOK-US, BS FY''22'!E25</f>
        <v>15530</v>
      </c>
      <c r="F14" s="84">
        <f>K14</f>
        <v>14468</v>
      </c>
      <c r="G14" s="227">
        <f>F14</f>
        <v>14468</v>
      </c>
      <c r="H14" s="227">
        <f t="shared" ref="H14:J14" si="4">G14</f>
        <v>14468</v>
      </c>
      <c r="I14" s="227">
        <f t="shared" si="4"/>
        <v>14468</v>
      </c>
      <c r="J14" s="227">
        <f t="shared" si="4"/>
        <v>14468</v>
      </c>
      <c r="K14" s="115">
        <f>'COOK-US, BS FY''22'!F25</f>
        <v>14468</v>
      </c>
      <c r="L14" s="101"/>
    </row>
    <row r="15" spans="1:12" x14ac:dyDescent="0.2">
      <c r="A15" s="1" t="s">
        <v>176</v>
      </c>
      <c r="B15" s="93">
        <f>SUM(B11:B14)</f>
        <v>840416</v>
      </c>
      <c r="C15" s="93">
        <f t="shared" ref="C15:E15" si="5">SUM(C11:C14)</f>
        <v>830574</v>
      </c>
      <c r="D15" s="93">
        <f t="shared" si="5"/>
        <v>911283</v>
      </c>
      <c r="E15" s="93">
        <f t="shared" si="5"/>
        <v>672477</v>
      </c>
      <c r="F15" s="230">
        <f>SUM(F11:F14)</f>
        <v>632731.56000000006</v>
      </c>
      <c r="G15" s="231">
        <f>SUM(G11:G14)</f>
        <v>602289.93359999999</v>
      </c>
      <c r="H15" s="231">
        <f t="shared" ref="H15:K15" si="6">SUM(H11:H14)</f>
        <v>572021.49445699505</v>
      </c>
      <c r="I15" s="231">
        <f t="shared" si="6"/>
        <v>538415.83789264318</v>
      </c>
      <c r="J15" s="231">
        <f t="shared" si="6"/>
        <v>503251.52632042312</v>
      </c>
      <c r="K15" s="98">
        <f t="shared" si="6"/>
        <v>637502</v>
      </c>
      <c r="L15" s="1"/>
    </row>
    <row r="16" spans="1:12" x14ac:dyDescent="0.2">
      <c r="A16" s="1" t="s">
        <v>177</v>
      </c>
      <c r="B16" s="92">
        <f>B10+B15</f>
        <v>924845</v>
      </c>
      <c r="C16" s="92">
        <f t="shared" ref="C16:E16" si="7">C10+C15</f>
        <v>989581</v>
      </c>
      <c r="D16" s="92">
        <f t="shared" si="7"/>
        <v>1177526</v>
      </c>
      <c r="E16" s="92">
        <f t="shared" si="7"/>
        <v>946715</v>
      </c>
      <c r="F16" s="228">
        <f>F10+F15</f>
        <v>835390.02603941341</v>
      </c>
      <c r="G16" s="229">
        <f>G10+G15</f>
        <v>813232.30583579536</v>
      </c>
      <c r="H16" s="229">
        <f t="shared" ref="H16:K16" si="8">H10+H15</f>
        <v>792886.10293413652</v>
      </c>
      <c r="I16" s="229">
        <f t="shared" si="8"/>
        <v>770799.06651235465</v>
      </c>
      <c r="J16" s="229">
        <f t="shared" si="8"/>
        <v>748107.07978721533</v>
      </c>
      <c r="K16" s="96">
        <f t="shared" si="8"/>
        <v>836720</v>
      </c>
      <c r="L16" s="1"/>
    </row>
    <row r="17" spans="1:12" x14ac:dyDescent="0.2">
      <c r="B17" s="33"/>
      <c r="C17" s="33"/>
      <c r="D17" s="33"/>
      <c r="E17" s="33"/>
      <c r="F17" s="86"/>
      <c r="G17" s="120"/>
      <c r="H17" s="120"/>
      <c r="I17" s="120"/>
      <c r="J17" s="120"/>
      <c r="K17" s="94"/>
    </row>
    <row r="18" spans="1:12" x14ac:dyDescent="0.2">
      <c r="A18" s="1" t="s">
        <v>178</v>
      </c>
      <c r="B18" s="33"/>
      <c r="C18" s="33"/>
      <c r="D18" s="33"/>
      <c r="E18" s="33"/>
      <c r="F18" s="86"/>
      <c r="G18" s="120"/>
      <c r="H18" s="120"/>
      <c r="I18" s="120"/>
      <c r="J18" s="120"/>
      <c r="K18" s="94"/>
    </row>
    <row r="19" spans="1:12" x14ac:dyDescent="0.2">
      <c r="A19" t="s">
        <v>179</v>
      </c>
      <c r="B19" s="33">
        <f>'COOK-US, BS FY''22'!B29</f>
        <v>17391</v>
      </c>
      <c r="C19" s="33">
        <f>'COOK-US, BS FY''22'!C29</f>
        <v>21673</v>
      </c>
      <c r="D19" s="33">
        <f>'COOK-US, BS FY''22'!D29</f>
        <v>42694</v>
      </c>
      <c r="E19" s="33">
        <f>'COOK-US, BS FY''22'!E29</f>
        <v>29841</v>
      </c>
      <c r="F19" s="138">
        <f>'Income Statement'!F8*'Balance Sheet'!F52</f>
        <v>26126.826729629687</v>
      </c>
      <c r="G19" s="120">
        <f>'Income Statement'!G8*'Balance Sheet'!G52</f>
        <v>26899.039477888877</v>
      </c>
      <c r="H19" s="120">
        <f>'Income Statement'!H8*'Balance Sheet'!H52</f>
        <v>28045.555914651355</v>
      </c>
      <c r="I19" s="120">
        <f>'Income Statement'!I8*'Balance Sheet'!I52</f>
        <v>29232.817781704925</v>
      </c>
      <c r="J19" s="120">
        <f>'Income Statement'!J8*'Balance Sheet'!J52</f>
        <v>30461.587071512186</v>
      </c>
      <c r="K19" s="94">
        <f>'COOK-US, BS FY''22'!F29</f>
        <v>26028</v>
      </c>
    </row>
    <row r="20" spans="1:12" x14ac:dyDescent="0.2">
      <c r="A20" t="s">
        <v>180</v>
      </c>
      <c r="B20" s="33">
        <f>'COOK-US, BS FY''22'!B30</f>
        <v>28043</v>
      </c>
      <c r="C20" s="33">
        <f>'COOK-US, BS FY''22'!C30</f>
        <v>54697</v>
      </c>
      <c r="D20" s="33">
        <f>'COOK-US, BS FY''22'!D30</f>
        <v>69773</v>
      </c>
      <c r="E20" s="33">
        <f>'COOK-US, BS FY''22'!E30</f>
        <v>52295</v>
      </c>
      <c r="F20" s="138">
        <f>'Income Statement'!F7*'Balance Sheet'!F53</f>
        <v>41727.262846748526</v>
      </c>
      <c r="G20" s="120">
        <f>'Income Statement'!G7*'Balance Sheet'!G53</f>
        <v>44230.898617553437</v>
      </c>
      <c r="H20" s="120">
        <f>'Income Statement'!H7*'Balance Sheet'!H53</f>
        <v>46884.75253460664</v>
      </c>
      <c r="I20" s="120">
        <f>'Income Statement'!I7*'Balance Sheet'!I53</f>
        <v>49697.837686683037</v>
      </c>
      <c r="J20" s="120">
        <f>'Income Statement'!J7*'Balance Sheet'!J53</f>
        <v>52679.707947884024</v>
      </c>
      <c r="K20" s="94">
        <f>'COOK-US, BS FY''22'!F30</f>
        <v>40682</v>
      </c>
    </row>
    <row r="21" spans="1:12" x14ac:dyDescent="0.2">
      <c r="A21" t="s">
        <v>181</v>
      </c>
      <c r="B21" s="33">
        <f>SUM('COOK-US, BS FY''22'!B31:B33)</f>
        <v>3730</v>
      </c>
      <c r="C21" s="33">
        <f>SUM('COOK-US, BS FY''22'!C31:C33)</f>
        <v>3703</v>
      </c>
      <c r="D21" s="33">
        <f>SUM('COOK-US, BS FY''22'!D31:D33)</f>
        <v>41138</v>
      </c>
      <c r="E21" s="33">
        <f>SUM('COOK-US, BS FY''22'!E31:E33)</f>
        <v>17144</v>
      </c>
      <c r="F21" s="138">
        <f>F7*F54</f>
        <v>29767.676671214187</v>
      </c>
      <c r="G21" s="120">
        <f>G7*G54</f>
        <v>31553.737271487036</v>
      </c>
      <c r="H21" s="120">
        <f t="shared" ref="H21:J21" si="9">H7*H54</f>
        <v>33446.961507776257</v>
      </c>
      <c r="I21" s="120">
        <f t="shared" si="9"/>
        <v>35453.779198242832</v>
      </c>
      <c r="J21" s="120">
        <f t="shared" si="9"/>
        <v>37581.005950137413</v>
      </c>
      <c r="K21" s="94">
        <f>SUM('COOK-US, BS FY''22'!F31:F33)</f>
        <v>29022</v>
      </c>
    </row>
    <row r="22" spans="1:12" x14ac:dyDescent="0.2">
      <c r="A22" t="s">
        <v>182</v>
      </c>
      <c r="B22" s="33">
        <f>'COOK-US, BS FY''22'!B35+'COOK-US, BS FY''22'!B34</f>
        <v>0</v>
      </c>
      <c r="C22" s="33">
        <f>'COOK-US, BS FY''22'!C35+'COOK-US, BS FY''22'!C34</f>
        <v>0</v>
      </c>
      <c r="D22" s="33">
        <f>'COOK-US, BS FY''22'!D35+'COOK-US, BS FY''22'!D34</f>
        <v>12620</v>
      </c>
      <c r="E22" s="33">
        <f>'COOK-US, BS FY''22'!E35+'COOK-US, BS FY''22'!E34</f>
        <v>13627</v>
      </c>
      <c r="F22" s="138">
        <f>F55*'Income Statement'!F7</f>
        <v>12858.093678944975</v>
      </c>
      <c r="G22" s="227">
        <f>G55*'Income Statement'!G7</f>
        <v>13629.579299681673</v>
      </c>
      <c r="H22" s="227">
        <f>H55*'Income Statement'!H7</f>
        <v>14447.354057662573</v>
      </c>
      <c r="I22" s="227">
        <f>I55*'Income Statement'!I7</f>
        <v>15314.195301122327</v>
      </c>
      <c r="J22" s="227">
        <f>J55*'Income Statement'!J7</f>
        <v>16233.047019189667</v>
      </c>
      <c r="K22" s="94">
        <f>SUM('COOK-US, BS FY''22'!F34:F35)</f>
        <v>12536</v>
      </c>
    </row>
    <row r="23" spans="1:12" x14ac:dyDescent="0.2">
      <c r="A23" s="1" t="s">
        <v>183</v>
      </c>
      <c r="B23" s="92">
        <f>SUM('Balance Sheet'!B19:B22)</f>
        <v>49164</v>
      </c>
      <c r="C23" s="92">
        <f>SUM('Balance Sheet'!C19:C22)</f>
        <v>80073</v>
      </c>
      <c r="D23" s="92">
        <f>SUM('Balance Sheet'!D19:D22)</f>
        <v>166225</v>
      </c>
      <c r="E23" s="92">
        <f>SUM('Balance Sheet'!E19:E22)</f>
        <v>112907</v>
      </c>
      <c r="F23" s="139">
        <f>SUM('Balance Sheet'!F19:F22)</f>
        <v>110479.85992653738</v>
      </c>
      <c r="G23" s="232">
        <f>SUM('Balance Sheet'!G19:G22)</f>
        <v>116313.25466661103</v>
      </c>
      <c r="H23" s="232">
        <f>SUM('Balance Sheet'!H19:H22)</f>
        <v>122824.62401469682</v>
      </c>
      <c r="I23" s="232">
        <f>SUM('Balance Sheet'!I19:I22)</f>
        <v>129698.62996775312</v>
      </c>
      <c r="J23" s="232">
        <f>SUM('Balance Sheet'!J19:J22)</f>
        <v>136955.34798872328</v>
      </c>
      <c r="K23" s="96">
        <f>SUM('Balance Sheet'!K19:K22)</f>
        <v>108268</v>
      </c>
      <c r="L23" s="1"/>
    </row>
    <row r="24" spans="1:12" x14ac:dyDescent="0.2">
      <c r="A24" t="s">
        <v>184</v>
      </c>
      <c r="B24" s="33">
        <f>SUM('COOK-US, BS FY''22'!B38:B40)</f>
        <v>444492</v>
      </c>
      <c r="C24" s="33">
        <f>SUM('COOK-US, BS FY''22'!C38:C40)</f>
        <v>434141</v>
      </c>
      <c r="D24" s="33">
        <f>SUM('COOK-US, BS FY''22'!D38:D40)</f>
        <v>379395</v>
      </c>
      <c r="E24" s="33">
        <f>SUM('COOK-US, BS FY''22'!E38:E40)</f>
        <v>477109</v>
      </c>
      <c r="F24" s="138">
        <f>F16-F23-F25-F28</f>
        <v>407239.95442941098</v>
      </c>
      <c r="G24" s="120">
        <v>424500</v>
      </c>
      <c r="H24" s="120">
        <f>G24+4800</f>
        <v>429300</v>
      </c>
      <c r="I24" s="120">
        <f>H24-8300</f>
        <v>421000</v>
      </c>
      <c r="J24" s="120">
        <f>I24-27600</f>
        <v>393400</v>
      </c>
      <c r="K24" s="94">
        <f>SUM('COOK-US, BS FY''22'!F38:F40)</f>
        <v>405427</v>
      </c>
    </row>
    <row r="25" spans="1:12" x14ac:dyDescent="0.2">
      <c r="A25" t="s">
        <v>185</v>
      </c>
      <c r="B25" s="33">
        <f>SUM('COOK-US, BS FY''22'!B41:B43)</f>
        <v>311</v>
      </c>
      <c r="C25" s="33">
        <f>SUM('COOK-US, BS FY''22'!C41:C43)</f>
        <v>327</v>
      </c>
      <c r="D25" s="33">
        <f>SUM('COOK-US, BS FY''22'!D41:D43)</f>
        <v>25884</v>
      </c>
      <c r="E25" s="33">
        <f>SUM('COOK-US, BS FY''22'!E41:E43)</f>
        <v>21830</v>
      </c>
      <c r="F25" s="138">
        <f>K25</f>
        <v>11252</v>
      </c>
      <c r="G25" s="120">
        <f t="shared" ref="G25:J25" si="10">F25</f>
        <v>11252</v>
      </c>
      <c r="H25" s="120">
        <f t="shared" si="10"/>
        <v>11252</v>
      </c>
      <c r="I25" s="120">
        <f t="shared" si="10"/>
        <v>11252</v>
      </c>
      <c r="J25" s="120">
        <f t="shared" si="10"/>
        <v>11252</v>
      </c>
      <c r="K25" s="94">
        <f>SUM('COOK-US, BS FY''22'!F41:F43)</f>
        <v>11252</v>
      </c>
    </row>
    <row r="26" spans="1:12" x14ac:dyDescent="0.2">
      <c r="A26" s="1" t="s">
        <v>186</v>
      </c>
      <c r="B26" s="93">
        <f>SUM(B24:B25)</f>
        <v>444803</v>
      </c>
      <c r="C26" s="93">
        <f t="shared" ref="C26:E26" si="11">SUM(C24:C25)</f>
        <v>434468</v>
      </c>
      <c r="D26" s="93">
        <f t="shared" si="11"/>
        <v>405279</v>
      </c>
      <c r="E26" s="93">
        <f t="shared" si="11"/>
        <v>498939</v>
      </c>
      <c r="F26" s="233">
        <f t="shared" ref="F26:J26" si="12">SUM(F24:F25)</f>
        <v>418491.95442941098</v>
      </c>
      <c r="G26" s="234">
        <f t="shared" si="12"/>
        <v>435752</v>
      </c>
      <c r="H26" s="234">
        <f t="shared" si="12"/>
        <v>440552</v>
      </c>
      <c r="I26" s="234">
        <f t="shared" si="12"/>
        <v>432252</v>
      </c>
      <c r="J26" s="234">
        <f t="shared" si="12"/>
        <v>404652</v>
      </c>
      <c r="K26" s="98">
        <f t="shared" ref="K26" si="13">SUM(K24:K25)</f>
        <v>416679</v>
      </c>
      <c r="L26" s="1"/>
    </row>
    <row r="27" spans="1:12" x14ac:dyDescent="0.2">
      <c r="A27" s="1" t="s">
        <v>187</v>
      </c>
      <c r="B27" s="35">
        <f>B26+B23</f>
        <v>493967</v>
      </c>
      <c r="C27" s="35">
        <f t="shared" ref="C27:E27" si="14">C26+C23</f>
        <v>514541</v>
      </c>
      <c r="D27" s="35">
        <f t="shared" si="14"/>
        <v>571504</v>
      </c>
      <c r="E27" s="35">
        <f t="shared" si="14"/>
        <v>611846</v>
      </c>
      <c r="F27" s="235">
        <f>F26+F23</f>
        <v>528971.81435594836</v>
      </c>
      <c r="G27" s="236">
        <f t="shared" ref="G27:J27" si="15">G26+G23</f>
        <v>552065.25466661109</v>
      </c>
      <c r="H27" s="236">
        <f t="shared" si="15"/>
        <v>563376.6240146968</v>
      </c>
      <c r="I27" s="236">
        <f t="shared" si="15"/>
        <v>561950.62996775308</v>
      </c>
      <c r="J27" s="236">
        <f t="shared" si="15"/>
        <v>541607.34798872331</v>
      </c>
      <c r="K27" s="100">
        <f t="shared" ref="K27" si="16">K26+K23</f>
        <v>524947</v>
      </c>
      <c r="L27" s="1"/>
    </row>
    <row r="28" spans="1:12" x14ac:dyDescent="0.2">
      <c r="A28" t="s">
        <v>188</v>
      </c>
      <c r="B28" s="142">
        <f>'COOK-US, BS FY''22'!B54</f>
        <v>430878</v>
      </c>
      <c r="C28" s="142">
        <f>'COOK-US, BS FY''22'!C54</f>
        <v>475040</v>
      </c>
      <c r="D28" s="142">
        <f>'COOK-US, BS FY''22'!D54</f>
        <v>606022</v>
      </c>
      <c r="E28" s="142">
        <f>'COOK-US, BS FY''22'!E54</f>
        <v>334869</v>
      </c>
      <c r="F28" s="237">
        <f>K28+'Income Statement'!O19</f>
        <v>306418.21168346505</v>
      </c>
      <c r="G28" s="238">
        <f>F28+'Income Statement'!G19-'Cash Flow'!H27</f>
        <v>261167.05116918421</v>
      </c>
      <c r="H28" s="238">
        <f>G28+'Income Statement'!H19-'Cash Flow'!I27</f>
        <v>229509.47891943972</v>
      </c>
      <c r="I28" s="238">
        <f>H28+'Income Statement'!I19-'Cash Flow'!J27</f>
        <v>208848.43654460154</v>
      </c>
      <c r="J28" s="238">
        <f>I28+'Income Statement'!J19-'Cash Flow'!K27</f>
        <v>206499.73179849202</v>
      </c>
      <c r="K28" s="143">
        <f>'COOK-US, BS FY''22'!F54</f>
        <v>311773</v>
      </c>
    </row>
    <row r="29" spans="1:12" x14ac:dyDescent="0.2">
      <c r="A29" s="1" t="s">
        <v>189</v>
      </c>
      <c r="B29" s="35">
        <f>B27+B28</f>
        <v>924845</v>
      </c>
      <c r="C29" s="35">
        <f t="shared" ref="C29:E29" si="17">C27+C28</f>
        <v>989581</v>
      </c>
      <c r="D29" s="35">
        <f t="shared" si="17"/>
        <v>1177526</v>
      </c>
      <c r="E29" s="35">
        <f t="shared" si="17"/>
        <v>946715</v>
      </c>
      <c r="F29" s="235">
        <f>F27+F28</f>
        <v>835390.02603941341</v>
      </c>
      <c r="G29" s="236">
        <f t="shared" ref="G29:J29" si="18">G27+G28</f>
        <v>813232.30583579536</v>
      </c>
      <c r="H29" s="236">
        <f t="shared" si="18"/>
        <v>792886.10293413652</v>
      </c>
      <c r="I29" s="236">
        <f t="shared" si="18"/>
        <v>770799.06651235465</v>
      </c>
      <c r="J29" s="236">
        <f t="shared" si="18"/>
        <v>748107.07978721533</v>
      </c>
      <c r="K29" s="100">
        <f t="shared" ref="K29" si="19">K27+K28</f>
        <v>836720</v>
      </c>
      <c r="L29" s="1"/>
    </row>
    <row r="30" spans="1:12" x14ac:dyDescent="0.2">
      <c r="F30" s="79"/>
    </row>
    <row r="31" spans="1:12" x14ac:dyDescent="0.2">
      <c r="A31" t="s">
        <v>190</v>
      </c>
      <c r="B31" s="5">
        <f>B29-B16</f>
        <v>0</v>
      </c>
      <c r="C31" s="5">
        <f>C29-C16</f>
        <v>0</v>
      </c>
      <c r="D31" s="5">
        <f>D29-D16</f>
        <v>0</v>
      </c>
      <c r="E31" s="5">
        <f>E29-E16</f>
        <v>0</v>
      </c>
      <c r="F31" s="5">
        <f>F29-F16</f>
        <v>0</v>
      </c>
      <c r="G31" s="5">
        <f t="shared" ref="G31:J31" si="20">G29-G16</f>
        <v>0</v>
      </c>
      <c r="H31" s="5">
        <f t="shared" si="20"/>
        <v>0</v>
      </c>
      <c r="I31" s="5">
        <f t="shared" si="20"/>
        <v>0</v>
      </c>
      <c r="J31" s="5">
        <f t="shared" si="20"/>
        <v>0</v>
      </c>
      <c r="K31" s="101">
        <f>K16-K29</f>
        <v>0</v>
      </c>
    </row>
    <row r="34" spans="1:12" x14ac:dyDescent="0.2">
      <c r="A34" s="1" t="s">
        <v>191</v>
      </c>
      <c r="B34" s="28">
        <f>SUM(B7:B9)-SUM(B19:B20,B22)</f>
        <v>31918</v>
      </c>
      <c r="C34" s="28">
        <f>SUM(C7:C9)-SUM(C19:C20,C22)</f>
        <v>71081</v>
      </c>
      <c r="D34" s="28">
        <f>SUM(D7:D9)-SUM(D19:D20,D22)</f>
        <v>124416</v>
      </c>
      <c r="E34" s="28">
        <f>SUM(E7:E9)-SUM(E19:E20,E22)</f>
        <v>126920</v>
      </c>
    </row>
    <row r="35" spans="1:12" x14ac:dyDescent="0.2">
      <c r="A35" s="1" t="s">
        <v>192</v>
      </c>
      <c r="C35" s="28">
        <f>B34-C34</f>
        <v>-39163</v>
      </c>
      <c r="D35" s="28">
        <f>C34-D34</f>
        <v>-53335</v>
      </c>
      <c r="E35" s="28">
        <f>D34-E34</f>
        <v>-2504</v>
      </c>
    </row>
    <row r="38" spans="1:12" x14ac:dyDescent="0.2">
      <c r="A38" s="1" t="s">
        <v>167</v>
      </c>
      <c r="B38" s="6">
        <v>2019</v>
      </c>
      <c r="C38" s="6">
        <v>2020</v>
      </c>
      <c r="D38" s="6">
        <v>2021</v>
      </c>
      <c r="E38" s="6">
        <v>2022</v>
      </c>
      <c r="F38" s="7">
        <v>2023</v>
      </c>
      <c r="G38" s="6">
        <v>2024</v>
      </c>
      <c r="H38" s="6">
        <v>2025</v>
      </c>
      <c r="I38" s="6">
        <v>2026</v>
      </c>
      <c r="J38" s="6">
        <v>2027</v>
      </c>
      <c r="K38" s="7" t="s">
        <v>7</v>
      </c>
      <c r="L38" s="31"/>
    </row>
    <row r="39" spans="1:12" x14ac:dyDescent="0.2">
      <c r="A39" t="s">
        <v>168</v>
      </c>
      <c r="B39" s="8"/>
      <c r="C39" s="9"/>
      <c r="D39" s="9"/>
      <c r="E39" s="9"/>
      <c r="F39" s="11"/>
      <c r="G39" s="47"/>
      <c r="H39" s="47"/>
      <c r="I39" s="47"/>
      <c r="J39" s="47"/>
      <c r="K39" s="10"/>
      <c r="L39" s="47"/>
    </row>
    <row r="40" spans="1:12" x14ac:dyDescent="0.2">
      <c r="A40" t="s">
        <v>169</v>
      </c>
      <c r="B40" s="45">
        <f>B7/'Income Statement'!B7</f>
        <v>9.5425782851984067E-2</v>
      </c>
      <c r="C40" s="45">
        <f>C7/'Income Statement'!C7</f>
        <v>0.11880418929516355</v>
      </c>
      <c r="D40" s="45">
        <f>D7/'Income Statement'!D7</f>
        <v>0.1182962147299009</v>
      </c>
      <c r="E40" s="45">
        <f>E7/'Income Statement'!E7</f>
        <v>6.411028493629374E-2</v>
      </c>
      <c r="F40" s="48">
        <f>K40</f>
        <v>8.7842958920721539E-2</v>
      </c>
      <c r="G40" s="46">
        <f>F40</f>
        <v>8.7842958920721539E-2</v>
      </c>
      <c r="H40" s="46">
        <f t="shared" ref="H40:I40" si="21">G40</f>
        <v>8.7842958920721539E-2</v>
      </c>
      <c r="I40" s="46">
        <f t="shared" si="21"/>
        <v>8.7842958920721539E-2</v>
      </c>
      <c r="J40" s="46">
        <f>I40</f>
        <v>8.7842958920721539E-2</v>
      </c>
      <c r="K40" s="112">
        <f>K7/'Income Statement'!K7</f>
        <v>8.7842958920721539E-2</v>
      </c>
      <c r="L40" s="46"/>
    </row>
    <row r="41" spans="1:12" x14ac:dyDescent="0.2">
      <c r="A41" t="s">
        <v>170</v>
      </c>
      <c r="B41" s="45">
        <f>B8/'Income Statement'!B8</f>
        <v>0.18938127291737938</v>
      </c>
      <c r="C41" s="45">
        <f>C8/'Income Statement'!C8</f>
        <v>0.22136287625418061</v>
      </c>
      <c r="D41" s="45">
        <f>D8/'Income Statement'!D8</f>
        <v>0.29196749040802011</v>
      </c>
      <c r="E41" s="45">
        <f>E8/'Income Statement'!E8</f>
        <v>0.35930831200878421</v>
      </c>
      <c r="F41" s="48">
        <f>E41</f>
        <v>0.35930831200878421</v>
      </c>
      <c r="G41" s="46">
        <f>F41</f>
        <v>0.35930831200878421</v>
      </c>
      <c r="H41" s="46">
        <f t="shared" ref="H41:I41" si="22">G41</f>
        <v>0.35930831200878421</v>
      </c>
      <c r="I41" s="46">
        <f t="shared" si="22"/>
        <v>0.35930831200878421</v>
      </c>
      <c r="J41" s="46">
        <f t="shared" ref="J41" si="23">I41</f>
        <v>0.35930831200878421</v>
      </c>
      <c r="K41" s="112">
        <f>K8/'Income Statement'!K8</f>
        <v>0.27574849732210754</v>
      </c>
      <c r="L41" s="46"/>
    </row>
    <row r="42" spans="1:12" x14ac:dyDescent="0.2">
      <c r="A42" t="s">
        <v>171</v>
      </c>
      <c r="B42" s="45">
        <f>B9/'Income Statement'!B7</f>
        <v>9.2976144930488076E-3</v>
      </c>
      <c r="C42" s="45">
        <f>C9/'Income Statement'!C7</f>
        <v>2.5241309557837339E-2</v>
      </c>
      <c r="D42" s="45">
        <f>D9/'Income Statement'!D7</f>
        <v>1.9140851256134277E-2</v>
      </c>
      <c r="E42" s="45">
        <f>E9/'Income Statement'!E7</f>
        <v>4.1411737442083485E-2</v>
      </c>
      <c r="F42" s="50">
        <f>K42</f>
        <v>6.0376961979963346E-2</v>
      </c>
      <c r="G42" s="46">
        <f t="shared" ref="G42:J42" si="24">F42</f>
        <v>6.0376961979963346E-2</v>
      </c>
      <c r="H42" s="46">
        <f t="shared" si="24"/>
        <v>6.0376961979963346E-2</v>
      </c>
      <c r="I42" s="46">
        <f t="shared" si="24"/>
        <v>6.0376961979963346E-2</v>
      </c>
      <c r="J42" s="46">
        <f t="shared" si="24"/>
        <v>6.0376961979963346E-2</v>
      </c>
      <c r="K42" s="112">
        <f>K9/'Income Statement'!K7</f>
        <v>6.0376961979963346E-2</v>
      </c>
      <c r="L42" s="46"/>
    </row>
    <row r="43" spans="1:12" x14ac:dyDescent="0.2">
      <c r="A43" s="17" t="s">
        <v>172</v>
      </c>
      <c r="B43" s="53"/>
      <c r="C43" s="54"/>
      <c r="D43" s="54"/>
      <c r="E43" s="54"/>
      <c r="F43" s="55"/>
      <c r="G43" s="54"/>
      <c r="H43" s="54"/>
      <c r="I43" s="54"/>
      <c r="J43" s="54"/>
      <c r="K43" s="55"/>
      <c r="L43" s="46"/>
    </row>
    <row r="44" spans="1:12" x14ac:dyDescent="0.2">
      <c r="A44" t="s">
        <v>173</v>
      </c>
      <c r="B44" s="8"/>
      <c r="C44" s="46"/>
      <c r="D44" s="46"/>
      <c r="E44" s="46"/>
      <c r="F44" s="48"/>
      <c r="G44" s="46"/>
      <c r="H44" s="46"/>
      <c r="I44" s="46"/>
      <c r="J44" s="46"/>
      <c r="K44" s="48"/>
      <c r="L44" s="46"/>
    </row>
    <row r="45" spans="1:12" x14ac:dyDescent="0.2">
      <c r="A45" t="s">
        <v>22</v>
      </c>
      <c r="B45" s="8"/>
      <c r="C45" s="46"/>
      <c r="D45" s="46"/>
      <c r="E45" s="46"/>
      <c r="F45" s="48"/>
      <c r="G45" s="46"/>
      <c r="H45" s="46"/>
      <c r="I45" s="46"/>
      <c r="J45" s="46"/>
      <c r="K45" s="48"/>
      <c r="L45" s="46"/>
    </row>
    <row r="46" spans="1:12" x14ac:dyDescent="0.2">
      <c r="A46" t="s">
        <v>174</v>
      </c>
      <c r="B46" s="8"/>
      <c r="C46" s="46"/>
      <c r="D46" s="46"/>
      <c r="E46" s="46"/>
      <c r="F46" s="48"/>
      <c r="G46" s="46"/>
      <c r="H46" s="46"/>
      <c r="I46" s="46"/>
      <c r="J46" s="46"/>
      <c r="K46" s="48"/>
      <c r="L46" s="46"/>
    </row>
    <row r="47" spans="1:12" x14ac:dyDescent="0.2">
      <c r="A47" t="s">
        <v>175</v>
      </c>
      <c r="B47" s="37">
        <f>B14/'Income Statement'!B7</f>
        <v>1.0541700268909692E-3</v>
      </c>
      <c r="C47" s="37">
        <f>C14/'Income Statement'!C7</f>
        <v>2.7319100283634923E-3</v>
      </c>
      <c r="D47" s="37">
        <f>D14/'Income Statement'!D7</f>
        <v>4.5929895804823406E-3</v>
      </c>
      <c r="E47" s="37">
        <f>E14/'Income Statement'!E7</f>
        <v>2.3677353746983158E-2</v>
      </c>
      <c r="F47" s="109">
        <f>K47</f>
        <v>2.4921796408835972E-2</v>
      </c>
      <c r="G47" s="110">
        <f>F47</f>
        <v>2.4921796408835972E-2</v>
      </c>
      <c r="H47" s="110">
        <f t="shared" ref="H47:J47" si="25">G47</f>
        <v>2.4921796408835972E-2</v>
      </c>
      <c r="I47" s="110">
        <f t="shared" si="25"/>
        <v>2.4921796408835972E-2</v>
      </c>
      <c r="J47" s="110">
        <f t="shared" si="25"/>
        <v>2.4921796408835972E-2</v>
      </c>
      <c r="K47" s="113">
        <f>K14/'Income Statement'!K7</f>
        <v>2.4921796408835972E-2</v>
      </c>
      <c r="L47" s="46"/>
    </row>
    <row r="48" spans="1:12" x14ac:dyDescent="0.2">
      <c r="A48" s="18" t="s">
        <v>176</v>
      </c>
      <c r="B48" s="8"/>
      <c r="C48" s="46"/>
      <c r="D48" s="46"/>
      <c r="E48" s="46"/>
      <c r="F48" s="48"/>
      <c r="G48" s="46"/>
      <c r="H48" s="46"/>
      <c r="I48" s="46"/>
      <c r="J48" s="46"/>
      <c r="K48" s="48"/>
      <c r="L48" s="46"/>
    </row>
    <row r="49" spans="1:12" x14ac:dyDescent="0.2">
      <c r="A49" s="17" t="s">
        <v>177</v>
      </c>
      <c r="B49" s="8"/>
      <c r="C49" s="46"/>
      <c r="D49" s="46"/>
      <c r="E49" s="46"/>
      <c r="F49" s="48"/>
      <c r="G49" s="46"/>
      <c r="H49" s="46"/>
      <c r="I49" s="46"/>
      <c r="J49" s="46"/>
      <c r="K49" s="48"/>
      <c r="L49" s="46"/>
    </row>
    <row r="50" spans="1:12" x14ac:dyDescent="0.2">
      <c r="B50" s="8"/>
      <c r="C50" s="46"/>
      <c r="D50" s="46"/>
      <c r="E50" s="46"/>
      <c r="F50" s="48"/>
      <c r="G50" s="46"/>
      <c r="H50" s="46"/>
      <c r="I50" s="46"/>
      <c r="J50" s="46"/>
      <c r="K50" s="48"/>
      <c r="L50" s="46"/>
    </row>
    <row r="51" spans="1:12" x14ac:dyDescent="0.2">
      <c r="A51" s="1" t="s">
        <v>178</v>
      </c>
      <c r="B51" s="8"/>
      <c r="C51" s="46"/>
      <c r="D51" s="46"/>
      <c r="E51" s="46"/>
      <c r="F51" s="48"/>
      <c r="G51" s="46"/>
      <c r="H51" s="46"/>
      <c r="I51" s="46"/>
      <c r="J51" s="46"/>
      <c r="K51" s="48"/>
      <c r="L51" s="46"/>
    </row>
    <row r="52" spans="1:12" x14ac:dyDescent="0.2">
      <c r="A52" t="s">
        <v>179</v>
      </c>
      <c r="B52" s="51">
        <f>B19/'Income Statement'!B8</f>
        <v>8.3796298527023833E-2</v>
      </c>
      <c r="C52" s="51">
        <f>C19/'Income Statement'!C8</f>
        <v>6.9697067146899924E-2</v>
      </c>
      <c r="D52" s="51">
        <f>D19/'Income Statement'!D8</f>
        <v>8.8068814720079214E-2</v>
      </c>
      <c r="E52" s="51">
        <f>E19/'Income Statement'!E8</f>
        <v>6.98641394051914E-2</v>
      </c>
      <c r="F52" s="52">
        <f>E52</f>
        <v>6.98641394051914E-2</v>
      </c>
      <c r="G52" s="51">
        <f>F52</f>
        <v>6.98641394051914E-2</v>
      </c>
      <c r="H52" s="51">
        <f>G52</f>
        <v>6.98641394051914E-2</v>
      </c>
      <c r="I52" s="51">
        <f t="shared" ref="I52:J52" si="26">H52</f>
        <v>6.98641394051914E-2</v>
      </c>
      <c r="J52" s="51">
        <f t="shared" si="26"/>
        <v>6.98641394051914E-2</v>
      </c>
      <c r="K52" s="52">
        <f>K19/'Income Statement'!K8</f>
        <v>7.043980222296195E-2</v>
      </c>
    </row>
    <row r="53" spans="1:12" x14ac:dyDescent="0.2">
      <c r="A53" t="s">
        <v>180</v>
      </c>
      <c r="B53" s="9">
        <f>B20/'Income Statement'!B7</f>
        <v>7.718561374439542E-2</v>
      </c>
      <c r="C53" s="9">
        <f>C20/'Income Statement'!C7</f>
        <v>0.10021950558108514</v>
      </c>
      <c r="D53" s="9">
        <f>D20/'Income Statement'!D7</f>
        <v>8.8821136917681356E-2</v>
      </c>
      <c r="E53" s="9">
        <f>E20/'Income Statement'!E7</f>
        <v>7.9730020231711801E-2</v>
      </c>
      <c r="F53" s="10">
        <f>K53</f>
        <v>7.0076618848788019E-2</v>
      </c>
      <c r="G53" s="47">
        <f>F53</f>
        <v>7.0076618848788019E-2</v>
      </c>
      <c r="H53" s="47">
        <f t="shared" ref="H53:J54" si="27">G53</f>
        <v>7.0076618848788019E-2</v>
      </c>
      <c r="I53" s="47">
        <f t="shared" si="27"/>
        <v>7.0076618848788019E-2</v>
      </c>
      <c r="J53" s="47">
        <f t="shared" si="27"/>
        <v>7.0076618848788019E-2</v>
      </c>
      <c r="K53" s="10">
        <f>K20/'Income Statement'!K7</f>
        <v>7.0076618848788019E-2</v>
      </c>
    </row>
    <row r="54" spans="1:12" x14ac:dyDescent="0.2">
      <c r="A54" t="s">
        <v>193</v>
      </c>
      <c r="B54" s="9">
        <f>B21/B7</f>
        <v>0.10758580905682145</v>
      </c>
      <c r="C54" s="9">
        <f t="shared" ref="C54:E54" si="28">C21/C7</f>
        <v>5.7109808760024673E-2</v>
      </c>
      <c r="D54" s="9">
        <f t="shared" si="28"/>
        <v>0.44269157510734231</v>
      </c>
      <c r="E54" s="9">
        <f t="shared" si="28"/>
        <v>0.40770511296076101</v>
      </c>
      <c r="F54" s="10">
        <f>K54</f>
        <v>0.56910345909483095</v>
      </c>
      <c r="G54" s="47">
        <f>F54</f>
        <v>0.56910345909483095</v>
      </c>
      <c r="H54" s="47">
        <f t="shared" si="27"/>
        <v>0.56910345909483095</v>
      </c>
      <c r="I54" s="47">
        <f t="shared" si="27"/>
        <v>0.56910345909483095</v>
      </c>
      <c r="J54" s="47">
        <f t="shared" si="27"/>
        <v>0.56910345909483095</v>
      </c>
      <c r="K54" s="10">
        <f t="shared" ref="K54" si="29">K21/K7</f>
        <v>0.56910345909483095</v>
      </c>
    </row>
    <row r="55" spans="1:12" x14ac:dyDescent="0.2">
      <c r="A55" t="s">
        <v>182</v>
      </c>
      <c r="B55" s="9">
        <f>B22/'Income Statement'!B7</f>
        <v>0</v>
      </c>
      <c r="C55" s="9">
        <f>C22/'Income Statement'!C7</f>
        <v>0</v>
      </c>
      <c r="D55" s="9">
        <f>D22/'Income Statement'!D7</f>
        <v>1.6065279519314617E-2</v>
      </c>
      <c r="E55" s="9">
        <f>E22/'Income Statement'!E7</f>
        <v>2.0776001256287153E-2</v>
      </c>
      <c r="F55" s="10">
        <f>K55</f>
        <v>2.1593837419212589E-2</v>
      </c>
      <c r="G55" s="47">
        <f>F55</f>
        <v>2.1593837419212589E-2</v>
      </c>
      <c r="H55" s="47">
        <f t="shared" ref="H55:J55" si="30">G55</f>
        <v>2.1593837419212589E-2</v>
      </c>
      <c r="I55" s="47">
        <f t="shared" si="30"/>
        <v>2.1593837419212589E-2</v>
      </c>
      <c r="J55" s="47">
        <f t="shared" si="30"/>
        <v>2.1593837419212589E-2</v>
      </c>
      <c r="K55" s="10">
        <f>K22/'Income Statement'!K7</f>
        <v>2.1593837419212589E-2</v>
      </c>
    </row>
    <row r="56" spans="1:12" x14ac:dyDescent="0.2">
      <c r="A56" s="17" t="s">
        <v>183</v>
      </c>
      <c r="F56" s="4"/>
      <c r="K56" s="4"/>
    </row>
    <row r="57" spans="1:12" x14ac:dyDescent="0.2">
      <c r="A57" t="s">
        <v>184</v>
      </c>
      <c r="F57" s="4"/>
      <c r="K57" s="4"/>
    </row>
    <row r="58" spans="1:12" x14ac:dyDescent="0.2">
      <c r="A58" t="s">
        <v>185</v>
      </c>
      <c r="F58" s="4"/>
      <c r="K58" s="4"/>
    </row>
    <row r="59" spans="1:12" x14ac:dyDescent="0.2">
      <c r="A59" s="18" t="s">
        <v>186</v>
      </c>
      <c r="F59" s="4"/>
      <c r="K59" s="4"/>
    </row>
    <row r="60" spans="1:12" x14ac:dyDescent="0.2">
      <c r="A60" s="1" t="s">
        <v>187</v>
      </c>
      <c r="F60" s="4"/>
      <c r="K60" s="4"/>
    </row>
    <row r="61" spans="1:12" x14ac:dyDescent="0.2">
      <c r="A61" s="18" t="s">
        <v>188</v>
      </c>
      <c r="F61" s="4"/>
      <c r="K61" s="4"/>
    </row>
    <row r="62" spans="1:12" x14ac:dyDescent="0.2">
      <c r="A62" s="1" t="s">
        <v>189</v>
      </c>
      <c r="F62" s="4"/>
      <c r="K62" s="4"/>
    </row>
    <row r="63" spans="1:12" x14ac:dyDescent="0.2">
      <c r="F63" s="4"/>
      <c r="K63" s="4"/>
    </row>
    <row r="64" spans="1:12" x14ac:dyDescent="0.2">
      <c r="A64" s="134" t="s">
        <v>194</v>
      </c>
      <c r="B64" s="135">
        <f>B7/'Income Statement'!B7*365.25</f>
        <v>34.854267186687181</v>
      </c>
      <c r="C64" s="135">
        <f>C7/'Income Statement'!C7*365.25</f>
        <v>43.393230140058485</v>
      </c>
      <c r="D64" s="135">
        <f>D7/'Income Statement'!D7*365.25</f>
        <v>43.207692430096301</v>
      </c>
      <c r="E64" s="135">
        <f>E7/'Income Statement'!E7*365.25</f>
        <v>23.416281572981287</v>
      </c>
      <c r="F64" s="136">
        <f>E64</f>
        <v>23.416281572981287</v>
      </c>
      <c r="G64" s="137">
        <f>F64</f>
        <v>23.416281572981287</v>
      </c>
      <c r="H64" s="137">
        <f t="shared" ref="H64:J64" si="31">G64</f>
        <v>23.416281572981287</v>
      </c>
      <c r="I64" s="137">
        <f t="shared" si="31"/>
        <v>23.416281572981287</v>
      </c>
      <c r="J64" s="137">
        <f t="shared" si="31"/>
        <v>23.416281572981287</v>
      </c>
      <c r="K64" s="136">
        <f>K7/'Income Statement'!K7*365.25</f>
        <v>32.084640745793543</v>
      </c>
    </row>
    <row r="65" spans="1:12" x14ac:dyDescent="0.2">
      <c r="A65" s="1" t="s">
        <v>195</v>
      </c>
      <c r="B65" s="28">
        <f>'Income Statement'!B8/'Balance Sheet'!B8</f>
        <v>5.2803531447180951</v>
      </c>
      <c r="C65" s="28">
        <f>'Income Statement'!C8/'Balance Sheet'!C8</f>
        <v>4.5174693106704442</v>
      </c>
      <c r="D65" s="28">
        <f>'Income Statement'!D8/'Balance Sheet'!D8</f>
        <v>3.4250388582732798</v>
      </c>
      <c r="E65" s="28">
        <f>'Income Statement'!E8/'Balance Sheet'!E8</f>
        <v>2.783125150679933</v>
      </c>
      <c r="F65" s="49">
        <f>K65</f>
        <v>3.6264930170476295</v>
      </c>
      <c r="G65" s="28">
        <f t="shared" ref="G65:J65" si="32">F65</f>
        <v>3.6264930170476295</v>
      </c>
      <c r="H65" s="28">
        <f t="shared" si="32"/>
        <v>3.6264930170476295</v>
      </c>
      <c r="I65" s="28">
        <f t="shared" si="32"/>
        <v>3.6264930170476295</v>
      </c>
      <c r="J65" s="28">
        <f t="shared" si="32"/>
        <v>3.6264930170476295</v>
      </c>
      <c r="K65" s="49">
        <f>'Income Statement'!K8/'Balance Sheet'!K8</f>
        <v>3.6264930170476295</v>
      </c>
    </row>
    <row r="66" spans="1:12" x14ac:dyDescent="0.2">
      <c r="A66" t="s">
        <v>196</v>
      </c>
      <c r="B66" s="9">
        <f>-'Cash Flow'!D19/'Income Statement'!B7</f>
        <v>5.0619428105879404E-2</v>
      </c>
      <c r="C66" s="9">
        <f>-'Cash Flow'!E19/'Income Statement'!C7</f>
        <v>5.9041138057650447E-2</v>
      </c>
      <c r="D66" s="9">
        <f>-'Cash Flow'!F19/'Income Statement'!D7</f>
        <v>3.5272326855877133E-2</v>
      </c>
      <c r="E66" s="44">
        <v>4.6532718002458638E-2</v>
      </c>
      <c r="F66" s="112">
        <v>0.03</v>
      </c>
      <c r="G66" s="45">
        <v>0.03</v>
      </c>
      <c r="H66" s="45">
        <v>0.03</v>
      </c>
      <c r="I66" s="45">
        <v>2.5000000000000001E-2</v>
      </c>
      <c r="J66" s="45">
        <v>2.1999999999999999E-2</v>
      </c>
      <c r="K66" s="10"/>
      <c r="L66" s="37"/>
    </row>
    <row r="67" spans="1:12" x14ac:dyDescent="0.2">
      <c r="F67" s="4"/>
    </row>
    <row r="68" spans="1:12" x14ac:dyDescent="0.2">
      <c r="D68" s="131" t="s">
        <v>197</v>
      </c>
      <c r="E68" s="37">
        <f>'Cash Flow'!G42</f>
        <v>4.6532718002458638E-2</v>
      </c>
      <c r="F68" s="152"/>
    </row>
    <row r="69" spans="1:12" x14ac:dyDescent="0.2">
      <c r="A69" s="1" t="s">
        <v>198</v>
      </c>
      <c r="B69" s="121">
        <f>(B24+B21)/'Income Statement'!B12</f>
        <v>9.0345480932032576</v>
      </c>
      <c r="C69" s="121">
        <f>(C24+C21)/'Income Statement'!C12</f>
        <v>4.408683569285297</v>
      </c>
      <c r="D69" s="121">
        <f>(D24+D21)/'Income Statement'!D12</f>
        <v>-30.810535570371457</v>
      </c>
      <c r="E69" s="121">
        <f>(E24+E21)/'Income Statement'!E12</f>
        <v>-1.7078836883843882</v>
      </c>
      <c r="F69" s="258">
        <f>(F24+F21)/'Income Statement'!F12</f>
        <v>75.447455131542213</v>
      </c>
      <c r="G69" s="121">
        <f>(G24+G21)/'Income Statement'!G12</f>
        <v>14.934673072726374</v>
      </c>
      <c r="H69" s="121">
        <f>(H24+H21)/'Income Statement'!H12</f>
        <v>10.170444785323642</v>
      </c>
      <c r="I69" s="121">
        <f>(I24+I21)/'Income Statement'!I12</f>
        <v>7.390649156564594</v>
      </c>
      <c r="J69" s="121">
        <f>(J24+J21)/'Income Statement'!J12</f>
        <v>5.4263315180519944</v>
      </c>
    </row>
  </sheetData>
  <mergeCells count="2">
    <mergeCell ref="B4:E4"/>
    <mergeCell ref="F4:J4"/>
  </mergeCells>
  <pageMargins left="0.7" right="0.7" top="0.75" bottom="0.75" header="0.3" footer="0.3"/>
  <pageSetup orientation="portrait" horizontalDpi="0" verticalDpi="0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E59249-286A-DC4B-A7E3-A772040C5625}">
  <sheetPr codeName="Sheet9">
    <tabColor rgb="FFC00000"/>
  </sheetPr>
  <dimension ref="A1:S42"/>
  <sheetViews>
    <sheetView topLeftCell="A13" workbookViewId="0">
      <selection activeCell="M21" sqref="M21"/>
    </sheetView>
  </sheetViews>
  <sheetFormatPr baseColWidth="10" defaultColWidth="11" defaultRowHeight="16" x14ac:dyDescent="0.2"/>
  <cols>
    <col min="1" max="1" width="4.6640625" customWidth="1"/>
    <col min="2" max="2" width="37.6640625" bestFit="1" customWidth="1"/>
    <col min="7" max="11" width="11" customWidth="1"/>
    <col min="15" max="17" width="12" bestFit="1" customWidth="1"/>
    <col min="18" max="19" width="13.1640625" bestFit="1" customWidth="1"/>
  </cols>
  <sheetData>
    <row r="1" spans="1:19" x14ac:dyDescent="0.2">
      <c r="A1" t="s">
        <v>199</v>
      </c>
    </row>
    <row r="3" spans="1:19" x14ac:dyDescent="0.2">
      <c r="C3" s="291" t="s">
        <v>141</v>
      </c>
      <c r="D3" s="291"/>
      <c r="E3" s="291"/>
      <c r="F3" s="291"/>
      <c r="G3" s="291" t="s">
        <v>142</v>
      </c>
      <c r="H3" s="291"/>
      <c r="I3" s="291"/>
      <c r="J3" s="291"/>
      <c r="K3" s="291"/>
      <c r="L3" s="12" t="s">
        <v>143</v>
      </c>
    </row>
    <row r="4" spans="1:19" x14ac:dyDescent="0.2">
      <c r="C4" s="6">
        <v>2019</v>
      </c>
      <c r="D4" s="6">
        <v>2020</v>
      </c>
      <c r="E4" s="6">
        <v>2021</v>
      </c>
      <c r="F4" s="6">
        <v>2022</v>
      </c>
      <c r="G4" s="7">
        <v>2023</v>
      </c>
      <c r="H4" s="6">
        <v>2024</v>
      </c>
      <c r="I4" s="6">
        <v>2025</v>
      </c>
      <c r="J4" s="6">
        <v>2026</v>
      </c>
      <c r="K4" s="6">
        <v>2027</v>
      </c>
      <c r="L4" s="7" t="s">
        <v>7</v>
      </c>
      <c r="M4" s="6" t="s">
        <v>144</v>
      </c>
    </row>
    <row r="5" spans="1:19" x14ac:dyDescent="0.2">
      <c r="A5" s="19" t="s">
        <v>200</v>
      </c>
      <c r="B5" s="20"/>
      <c r="G5" s="4"/>
      <c r="L5" s="4"/>
    </row>
    <row r="6" spans="1:19" x14ac:dyDescent="0.2">
      <c r="A6" s="21" t="s">
        <v>159</v>
      </c>
      <c r="B6" s="20"/>
      <c r="C6" s="79">
        <f>'Income Statement'!B19</f>
        <v>-29593</v>
      </c>
      <c r="D6" s="79">
        <f>'Income Statement'!C19</f>
        <v>31050</v>
      </c>
      <c r="E6" s="79">
        <f>'Income Statement'!D19</f>
        <v>-91767</v>
      </c>
      <c r="F6" s="79">
        <f>'Income Statement'!E19</f>
        <v>-382140</v>
      </c>
      <c r="G6" s="86">
        <f>'Income Statement'!F19</f>
        <v>-65711.788316534934</v>
      </c>
      <c r="H6" s="79">
        <f>'Income Statement'!G19</f>
        <v>-45251.160514280848</v>
      </c>
      <c r="I6" s="79">
        <f>'Income Statement'!H19</f>
        <v>-31657.572249744506</v>
      </c>
      <c r="J6" s="79">
        <f>'Income Statement'!I19</f>
        <v>-20661.042374838165</v>
      </c>
      <c r="K6" s="79">
        <f>'Income Statement'!J19</f>
        <v>-2348.7047461095281</v>
      </c>
      <c r="L6" s="86" t="e">
        <f>#REF!</f>
        <v>#REF!</v>
      </c>
    </row>
    <row r="7" spans="1:19" x14ac:dyDescent="0.2">
      <c r="A7" s="21" t="s">
        <v>153</v>
      </c>
      <c r="B7" s="20"/>
      <c r="C7" s="79">
        <f>'Income Statement'!B13</f>
        <v>6057</v>
      </c>
      <c r="D7" s="79">
        <f>'Income Statement'!C13</f>
        <v>7762</v>
      </c>
      <c r="E7" s="79">
        <f>'Income Statement'!D13</f>
        <v>9150</v>
      </c>
      <c r="F7" s="79">
        <f>'Income Statement'!E13</f>
        <v>13821</v>
      </c>
      <c r="G7" s="86">
        <f>'Income Statement'!F13</f>
        <v>13821</v>
      </c>
      <c r="H7" s="79">
        <f>'Income Statement'!G13</f>
        <v>14783.935159004861</v>
      </c>
      <c r="I7" s="79">
        <f>'Income Statement'!H13</f>
        <v>15779.478045151955</v>
      </c>
      <c r="J7" s="79">
        <f>'Income Statement'!I13</f>
        <v>16146.689049510309</v>
      </c>
      <c r="K7" s="79">
        <f>'Income Statement'!J13</f>
        <v>16220.436215435893</v>
      </c>
      <c r="L7" s="86">
        <f>'Income Statement'!K13</f>
        <v>13821</v>
      </c>
    </row>
    <row r="8" spans="1:19" x14ac:dyDescent="0.2">
      <c r="A8" t="s">
        <v>154</v>
      </c>
      <c r="C8" s="79">
        <f>'Income Statement'!B13+'Income Statement'!B14</f>
        <v>39157</v>
      </c>
      <c r="D8" s="79">
        <f>'Income Statement'!C14</f>
        <v>33206</v>
      </c>
      <c r="E8" s="79">
        <f>'Income Statement'!D14</f>
        <v>38350</v>
      </c>
      <c r="F8" s="79">
        <f>'Income Statement'!E14</f>
        <v>42726</v>
      </c>
      <c r="G8" s="86">
        <f>'Income Statement'!F14</f>
        <v>35556</v>
      </c>
      <c r="H8" s="79">
        <f>'Income Statement'!G14</f>
        <v>35556</v>
      </c>
      <c r="I8" s="79">
        <f>'Income Statement'!H14</f>
        <v>35556</v>
      </c>
      <c r="J8" s="79">
        <f>'Income Statement'!I14</f>
        <v>35556</v>
      </c>
      <c r="K8" s="79">
        <f>'Income Statement'!J14</f>
        <v>35556</v>
      </c>
      <c r="L8" s="86">
        <f>'Income Statement'!K14</f>
        <v>35556</v>
      </c>
      <c r="N8" s="1" t="s">
        <v>201</v>
      </c>
    </row>
    <row r="9" spans="1:19" x14ac:dyDescent="0.2">
      <c r="A9" t="s">
        <v>202</v>
      </c>
      <c r="C9" s="79"/>
      <c r="D9" s="79">
        <f>-'Income Statement'!C17</f>
        <v>7526</v>
      </c>
      <c r="E9" s="79">
        <f>-'Income Statement'!D17</f>
        <v>-2483</v>
      </c>
      <c r="F9" s="79">
        <f>-'Income Statement'!E17</f>
        <v>-7127</v>
      </c>
      <c r="G9" s="86">
        <f>-'Income Statement'!F17</f>
        <v>10012</v>
      </c>
      <c r="H9" s="79">
        <f>'Income Statement'!G17</f>
        <v>0</v>
      </c>
      <c r="I9" s="79">
        <f>'Income Statement'!H17</f>
        <v>0</v>
      </c>
      <c r="J9" s="79">
        <f>'Income Statement'!I17</f>
        <v>0</v>
      </c>
      <c r="K9" s="79">
        <f>'Income Statement'!J17</f>
        <v>0</v>
      </c>
      <c r="L9" s="86">
        <f>'Income Statement'!K17</f>
        <v>-9244</v>
      </c>
      <c r="N9">
        <v>2022</v>
      </c>
      <c r="O9">
        <v>2023</v>
      </c>
      <c r="P9">
        <v>2024</v>
      </c>
      <c r="Q9">
        <v>2025</v>
      </c>
      <c r="R9">
        <v>2026</v>
      </c>
      <c r="S9">
        <v>2027</v>
      </c>
    </row>
    <row r="10" spans="1:19" x14ac:dyDescent="0.2">
      <c r="A10" s="21" t="s">
        <v>192</v>
      </c>
      <c r="B10" s="20"/>
      <c r="C10" s="79"/>
      <c r="D10" s="79">
        <f>SUM(D11:D16)</f>
        <v>-39163</v>
      </c>
      <c r="E10" s="79">
        <f>SUM(E11:E16)</f>
        <v>-53335</v>
      </c>
      <c r="F10" s="79">
        <f>SUM(F11:F16)</f>
        <v>-2504</v>
      </c>
      <c r="G10" s="86">
        <f>SUM(G11:G16)</f>
        <v>16253.717215909828</v>
      </c>
      <c r="H10" s="79">
        <f>SUM(H11:H16)</f>
        <v>-4296.0023288147568</v>
      </c>
      <c r="I10" s="79">
        <f t="shared" ref="I10:K10" si="0">SUM(I11:I16)</f>
        <v>-5520.2680835455867</v>
      </c>
      <c r="J10" s="79">
        <f t="shared" si="0"/>
        <v>-5768.8360271645925</v>
      </c>
      <c r="K10" s="79">
        <f t="shared" si="0"/>
        <v>-6027.3591589171629</v>
      </c>
      <c r="L10" s="86"/>
      <c r="N10">
        <v>2022</v>
      </c>
      <c r="O10" s="101">
        <f>'Balance Sheet'!F10-'Balance Sheet'!F23</f>
        <v>92178.606112875976</v>
      </c>
      <c r="P10" s="101">
        <f>'Balance Sheet'!G10-'Balance Sheet'!G23</f>
        <v>94629.117569184338</v>
      </c>
      <c r="Q10" s="101">
        <f>'Balance Sheet'!H10-'Balance Sheet'!H23</f>
        <v>98039.984462444685</v>
      </c>
      <c r="R10" s="101">
        <f>'Balance Sheet'!I10-'Balance Sheet'!I23</f>
        <v>102684.59865195835</v>
      </c>
      <c r="S10" s="101">
        <f>'Balance Sheet'!J10-'Balance Sheet'!J23</f>
        <v>107900.20547806894</v>
      </c>
    </row>
    <row r="11" spans="1:19" x14ac:dyDescent="0.2">
      <c r="A11" s="21"/>
      <c r="B11" s="20" t="s">
        <v>203</v>
      </c>
      <c r="C11" s="79"/>
      <c r="D11" s="79">
        <f>'Balance Sheet'!B7-'Balance Sheet'!C7</f>
        <v>-30170</v>
      </c>
      <c r="E11" s="79">
        <f>'Balance Sheet'!C7-'Balance Sheet'!D7</f>
        <v>-28087</v>
      </c>
      <c r="F11" s="79">
        <f>'Balance Sheet'!D7-'Balance Sheet'!E7</f>
        <v>50877</v>
      </c>
      <c r="G11" s="86">
        <f>'Balance Sheet'!E7-'Balance Sheet'!F7</f>
        <v>-10256.265575261481</v>
      </c>
      <c r="H11" s="79">
        <f>'Balance Sheet'!F7-'Balance Sheet'!G7</f>
        <v>-3138.3759345156868</v>
      </c>
      <c r="I11" s="79">
        <f>'Balance Sheet'!G7-'Balance Sheet'!H7</f>
        <v>-3326.6784905866298</v>
      </c>
      <c r="J11" s="79">
        <f>'Balance Sheet'!H7-'Balance Sheet'!I7</f>
        <v>-3526.2792000218251</v>
      </c>
      <c r="K11" s="79">
        <f>'Balance Sheet'!I7-'Balance Sheet'!J7</f>
        <v>-3737.8559520231502</v>
      </c>
      <c r="L11" s="86"/>
      <c r="M11" t="s">
        <v>204</v>
      </c>
      <c r="O11" s="101">
        <f>N10-O10</f>
        <v>-90156.606112875976</v>
      </c>
      <c r="P11" s="101">
        <f t="shared" ref="P11:S11" si="1">O10-P10</f>
        <v>-2450.5114563083625</v>
      </c>
      <c r="Q11" s="101">
        <f t="shared" si="1"/>
        <v>-3410.8668932603468</v>
      </c>
      <c r="R11" s="101">
        <f t="shared" si="1"/>
        <v>-4644.614189513668</v>
      </c>
      <c r="S11" s="101">
        <f t="shared" si="1"/>
        <v>-5215.6068261105829</v>
      </c>
    </row>
    <row r="12" spans="1:19" x14ac:dyDescent="0.2">
      <c r="A12" s="21"/>
      <c r="B12" s="20" t="s">
        <v>205</v>
      </c>
      <c r="C12" s="79"/>
      <c r="D12" s="79">
        <f>'Balance Sheet'!B8-'Balance Sheet'!C8</f>
        <v>-29531</v>
      </c>
      <c r="E12" s="79">
        <f>'Balance Sheet'!C8-'Balance Sheet'!D8</f>
        <v>-72705</v>
      </c>
      <c r="F12" s="79">
        <f>'Balance Sheet'!D8-'Balance Sheet'!E8</f>
        <v>-11931</v>
      </c>
      <c r="G12" s="86">
        <f>'Balance Sheet'!E8-'Balance Sheet'!F8</f>
        <v>50350.382300741257</v>
      </c>
      <c r="H12" s="79">
        <f>'Balance Sheet'!F8-'Balance Sheet'!G8</f>
        <v>-3047.8655682062818</v>
      </c>
      <c r="I12" s="79">
        <f>'Balance Sheet'!G8-'Balance Sheet'!H8</f>
        <v>-4525.2140409083368</v>
      </c>
      <c r="J12" s="79">
        <f>'Balance Sheet'!H8-'Balance Sheet'!I8</f>
        <v>-4686.0331860544538</v>
      </c>
      <c r="K12" s="79">
        <f>'Balance Sheet'!I8-'Balance Sheet'!J8</f>
        <v>-4849.8598580708785</v>
      </c>
      <c r="L12" s="86"/>
    </row>
    <row r="13" spans="1:19" x14ac:dyDescent="0.2">
      <c r="A13" s="21"/>
      <c r="B13" s="20" t="s">
        <v>206</v>
      </c>
      <c r="C13" s="79"/>
      <c r="D13" s="79">
        <f>'Balance Sheet'!B9-'Balance Sheet'!C9</f>
        <v>-10398</v>
      </c>
      <c r="E13" s="79">
        <f>'Balance Sheet'!C9-'Balance Sheet'!D9</f>
        <v>-1260</v>
      </c>
      <c r="F13" s="79">
        <f>'Balance Sheet'!D9-'Balance Sheet'!E9</f>
        <v>-12126</v>
      </c>
      <c r="G13" s="86">
        <f>'Balance Sheet'!E9-'Balance Sheet'!F9</f>
        <v>-8789.5827648931372</v>
      </c>
      <c r="H13" s="79">
        <f>'Balance Sheet'!F9-'Balance Sheet'!G9</f>
        <v>-2157.094965893586</v>
      </c>
      <c r="I13" s="79">
        <f>'Balance Sheet'!G9-'Balance Sheet'!H9</f>
        <v>-2286.5206638472009</v>
      </c>
      <c r="J13" s="79">
        <f>'Balance Sheet'!H9-'Balance Sheet'!I9</f>
        <v>-2423.711903678035</v>
      </c>
      <c r="K13" s="79">
        <f>'Balance Sheet'!I9-'Balance Sheet'!J9</f>
        <v>-2569.1346178987224</v>
      </c>
      <c r="L13" s="86"/>
    </row>
    <row r="14" spans="1:19" x14ac:dyDescent="0.2">
      <c r="B14" s="20" t="s">
        <v>207</v>
      </c>
      <c r="C14" s="79"/>
      <c r="D14" s="79">
        <f>'Balance Sheet'!C19-'Balance Sheet'!B19</f>
        <v>4282</v>
      </c>
      <c r="E14" s="79">
        <f>'Balance Sheet'!D19-'Balance Sheet'!C19</f>
        <v>21021</v>
      </c>
      <c r="F14" s="79">
        <f>'Balance Sheet'!E19-'Balance Sheet'!D19</f>
        <v>-12853</v>
      </c>
      <c r="G14" s="86">
        <f>'Balance Sheet'!F19-'Balance Sheet'!E19</f>
        <v>-3714.1732703703128</v>
      </c>
      <c r="H14" s="79">
        <f>'Balance Sheet'!G19-'Balance Sheet'!F19</f>
        <v>772.21274825918954</v>
      </c>
      <c r="I14" s="79">
        <f>'Balance Sheet'!H19-'Balance Sheet'!G19</f>
        <v>1146.5164367624784</v>
      </c>
      <c r="J14" s="79">
        <f>'Balance Sheet'!I19-'Balance Sheet'!H19</f>
        <v>1187.2618670535703</v>
      </c>
      <c r="K14" s="79">
        <f>'Balance Sheet'!J19-'Balance Sheet'!I19</f>
        <v>1228.7692898072601</v>
      </c>
      <c r="L14" s="85"/>
      <c r="M14" s="1"/>
    </row>
    <row r="15" spans="1:19" x14ac:dyDescent="0.2">
      <c r="A15" s="21"/>
      <c r="B15" s="20" t="s">
        <v>208</v>
      </c>
      <c r="C15" s="79"/>
      <c r="D15" s="79">
        <f>'Balance Sheet'!C20-'Balance Sheet'!B20</f>
        <v>26654</v>
      </c>
      <c r="E15" s="79">
        <f>'Balance Sheet'!D20-'Balance Sheet'!C20</f>
        <v>15076</v>
      </c>
      <c r="F15" s="79">
        <f>'Balance Sheet'!E20-'Balance Sheet'!D20</f>
        <v>-17478</v>
      </c>
      <c r="G15" s="86">
        <f>'Balance Sheet'!F20-'Balance Sheet'!E20</f>
        <v>-10567.737153251474</v>
      </c>
      <c r="H15" s="79">
        <f>'Balance Sheet'!G20-'Balance Sheet'!F20</f>
        <v>2503.6357708049109</v>
      </c>
      <c r="I15" s="79">
        <f>'Balance Sheet'!H20-'Balance Sheet'!G20</f>
        <v>2653.8539170532022</v>
      </c>
      <c r="J15" s="79">
        <f>'Balance Sheet'!I20-'Balance Sheet'!H20</f>
        <v>2813.0851520763972</v>
      </c>
      <c r="K15" s="79">
        <f>'Balance Sheet'!J20-'Balance Sheet'!I20</f>
        <v>2981.8702612009874</v>
      </c>
      <c r="L15" s="86"/>
    </row>
    <row r="16" spans="1:19" x14ac:dyDescent="0.2">
      <c r="A16" s="21"/>
      <c r="B16" s="22" t="s">
        <v>209</v>
      </c>
      <c r="C16" s="79"/>
      <c r="D16" s="79">
        <f>'Balance Sheet'!C22-'Balance Sheet'!B22</f>
        <v>0</v>
      </c>
      <c r="E16" s="79">
        <f>'Balance Sheet'!D22-'Balance Sheet'!C22</f>
        <v>12620</v>
      </c>
      <c r="F16" s="79">
        <f>'Balance Sheet'!E22-'Balance Sheet'!D22</f>
        <v>1007</v>
      </c>
      <c r="G16" s="86">
        <f>'Balance Sheet'!F22-'Balance Sheet'!E22</f>
        <v>-768.90632105502482</v>
      </c>
      <c r="H16" s="79">
        <f>'Balance Sheet'!G22-'Balance Sheet'!F22</f>
        <v>771.48562073669746</v>
      </c>
      <c r="I16" s="79">
        <f>'Balance Sheet'!H22-'Balance Sheet'!G22</f>
        <v>817.77475798090018</v>
      </c>
      <c r="J16" s="79">
        <f>'Balance Sheet'!I22-'Balance Sheet'!H22</f>
        <v>866.84124345975397</v>
      </c>
      <c r="K16" s="79">
        <f>'Balance Sheet'!J22-'Balance Sheet'!I22</f>
        <v>918.8517180673407</v>
      </c>
      <c r="L16" s="86"/>
    </row>
    <row r="17" spans="1:15" x14ac:dyDescent="0.2">
      <c r="A17" s="21"/>
      <c r="B17" s="23" t="s">
        <v>200</v>
      </c>
      <c r="C17" s="81"/>
      <c r="D17" s="81">
        <f>SUM(D6:D10)</f>
        <v>40381</v>
      </c>
      <c r="E17" s="81">
        <f>SUM(E6:E10)</f>
        <v>-100085</v>
      </c>
      <c r="F17" s="81">
        <f>SUM(F6:F10)</f>
        <v>-335224</v>
      </c>
      <c r="G17" s="85">
        <f>SUM(G6:G10)</f>
        <v>9930.9288993748942</v>
      </c>
      <c r="H17" s="81">
        <f t="shared" ref="H17:J17" si="2">SUM(H6:H10)</f>
        <v>792.77231590925658</v>
      </c>
      <c r="I17" s="81">
        <f t="shared" si="2"/>
        <v>14157.637711861862</v>
      </c>
      <c r="J17" s="81">
        <f t="shared" si="2"/>
        <v>25272.810647507547</v>
      </c>
      <c r="K17" s="81">
        <f>SUM(K6:K10)</f>
        <v>43400.372310409199</v>
      </c>
      <c r="L17" s="86"/>
    </row>
    <row r="18" spans="1:15" x14ac:dyDescent="0.2">
      <c r="A18" s="19" t="s">
        <v>210</v>
      </c>
      <c r="B18" s="20"/>
      <c r="C18" s="79"/>
      <c r="D18" s="79"/>
      <c r="E18" s="79"/>
      <c r="F18" s="79"/>
      <c r="G18" s="86"/>
      <c r="H18" s="79"/>
      <c r="I18" s="79"/>
      <c r="J18" s="79"/>
      <c r="K18" s="79"/>
      <c r="L18" s="86"/>
    </row>
    <row r="19" spans="1:15" x14ac:dyDescent="0.2">
      <c r="A19" s="19"/>
      <c r="B19" s="20" t="s">
        <v>211</v>
      </c>
      <c r="C19" s="79"/>
      <c r="D19" s="79">
        <f>-('Balance Sheet'!C11-'Balance Sheet'!B11+'Income Statement'!C13)</f>
        <v>-18391</v>
      </c>
      <c r="E19" s="79">
        <f>-('Balance Sheet'!D11-'Balance Sheet'!C11+'Income Statement'!D13)</f>
        <v>-32223</v>
      </c>
      <c r="F19" s="79">
        <f>-('Balance Sheet'!E11-'Balance Sheet'!D11+'Income Statement'!E13)</f>
        <v>-27708</v>
      </c>
      <c r="G19" s="86">
        <f>-('Balance Sheet'!F11-'Balance Sheet'!E11+'Income Statement'!F13)</f>
        <v>-17863.559999999998</v>
      </c>
      <c r="H19" s="79">
        <f>-('Balance Sheet'!G11-'Balance Sheet'!F11+'Income Statement'!G13)</f>
        <v>-19898.308759004853</v>
      </c>
      <c r="I19" s="79">
        <f>-('Balance Sheet'!H11-'Balance Sheet'!G11+'Income Statement'!H13)</f>
        <v>-21067.038902147084</v>
      </c>
      <c r="J19" s="79">
        <f>-('Balance Sheet'!I11-'Balance Sheet'!H11+'Income Statement'!I13)</f>
        <v>-18097.032485158365</v>
      </c>
      <c r="K19" s="79">
        <f>-('Balance Sheet'!J11-'Balance Sheet'!I11+'Income Statement'!J13)</f>
        <v>-16612.124643215819</v>
      </c>
      <c r="L19" s="86"/>
    </row>
    <row r="20" spans="1:15" x14ac:dyDescent="0.2">
      <c r="A20" s="4"/>
      <c r="B20" s="20" t="s">
        <v>212</v>
      </c>
      <c r="C20" s="79"/>
      <c r="D20" s="79">
        <f>-'Balance Sheet'!C12+'Balance Sheet'!B12</f>
        <v>-5668</v>
      </c>
      <c r="E20" s="79">
        <f>-'Balance Sheet'!D12+'Balance Sheet'!C12</f>
        <v>-40209</v>
      </c>
      <c r="F20" s="79">
        <f>-'Balance Sheet'!E12+'Balance Sheet'!D12</f>
        <v>222322</v>
      </c>
      <c r="G20" s="86">
        <f>-'Balance Sheet'!F12+'Balance Sheet'!E12</f>
        <v>0</v>
      </c>
      <c r="H20" s="79">
        <f>-'Balance Sheet'!G12+'Balance Sheet'!F12</f>
        <v>0</v>
      </c>
      <c r="I20" s="79">
        <f>-'Balance Sheet'!H12+'Balance Sheet'!G12</f>
        <v>0</v>
      </c>
      <c r="J20" s="79">
        <f>-'Balance Sheet'!I12+'Balance Sheet'!H12</f>
        <v>0</v>
      </c>
      <c r="K20" s="79">
        <f>-'Balance Sheet'!J12+'Balance Sheet'!I12</f>
        <v>0</v>
      </c>
      <c r="L20" s="86"/>
    </row>
    <row r="21" spans="1:15" x14ac:dyDescent="0.2">
      <c r="A21" s="4"/>
      <c r="B21" s="20" t="s">
        <v>213</v>
      </c>
      <c r="C21" s="79"/>
      <c r="D21" s="79"/>
      <c r="E21" s="79"/>
      <c r="F21" s="79"/>
      <c r="G21" s="86"/>
      <c r="H21" s="79"/>
      <c r="I21" s="79"/>
      <c r="J21" s="79"/>
      <c r="K21" s="79"/>
      <c r="L21" s="86"/>
      <c r="O21" s="79"/>
    </row>
    <row r="22" spans="1:15" x14ac:dyDescent="0.2">
      <c r="A22" s="21"/>
      <c r="B22" s="23" t="s">
        <v>210</v>
      </c>
      <c r="C22" s="79"/>
      <c r="D22" s="81">
        <f>SUM(D19:D21)</f>
        <v>-24059</v>
      </c>
      <c r="E22" s="81">
        <f>SUM(E19:E21)</f>
        <v>-72432</v>
      </c>
      <c r="F22" s="81">
        <f>SUM(F19:F21)</f>
        <v>194614</v>
      </c>
      <c r="G22" s="85">
        <f t="shared" ref="G22:J22" si="3">SUM(G19:G21)</f>
        <v>-17863.559999999998</v>
      </c>
      <c r="H22" s="81">
        <f t="shared" si="3"/>
        <v>-19898.308759004853</v>
      </c>
      <c r="I22" s="81">
        <f t="shared" si="3"/>
        <v>-21067.038902147084</v>
      </c>
      <c r="J22" s="81">
        <f t="shared" si="3"/>
        <v>-18097.032485158365</v>
      </c>
      <c r="K22" s="81">
        <f>SUM(K19:K21)</f>
        <v>-16612.124643215819</v>
      </c>
      <c r="L22" s="86"/>
    </row>
    <row r="23" spans="1:15" x14ac:dyDescent="0.2">
      <c r="A23" s="19" t="s">
        <v>214</v>
      </c>
      <c r="B23" s="20"/>
      <c r="C23" s="79"/>
      <c r="D23" s="79"/>
      <c r="E23" s="79"/>
      <c r="F23" s="79"/>
      <c r="G23" s="86"/>
      <c r="H23" s="79"/>
      <c r="I23" s="79"/>
      <c r="J23" s="79"/>
      <c r="K23" s="79"/>
      <c r="L23" s="86"/>
    </row>
    <row r="24" spans="1:15" x14ac:dyDescent="0.2">
      <c r="A24" s="19"/>
      <c r="B24" s="20" t="s">
        <v>215</v>
      </c>
      <c r="C24" s="79"/>
      <c r="D24" s="79">
        <f>'Balance Sheet'!C21-'Balance Sheet'!B21</f>
        <v>-27</v>
      </c>
      <c r="E24" s="79">
        <f>'Balance Sheet'!D21-'Balance Sheet'!C21</f>
        <v>37435</v>
      </c>
      <c r="F24" s="79">
        <f>'Balance Sheet'!E21-'Balance Sheet'!D21</f>
        <v>-23994</v>
      </c>
      <c r="G24" s="86">
        <f>'Balance Sheet'!F21-'Balance Sheet'!E21</f>
        <v>12623.676671214187</v>
      </c>
      <c r="H24" s="79">
        <f>'Balance Sheet'!G21-'Balance Sheet'!F21</f>
        <v>1786.0606002728491</v>
      </c>
      <c r="I24" s="79">
        <f>'Balance Sheet'!H21-'Balance Sheet'!G21</f>
        <v>1893.2242362892212</v>
      </c>
      <c r="J24" s="79">
        <f>'Balance Sheet'!I21-'Balance Sheet'!H21</f>
        <v>2006.8176904665743</v>
      </c>
      <c r="K24" s="79">
        <f>'Balance Sheet'!J21-'Balance Sheet'!I21</f>
        <v>2127.226751894581</v>
      </c>
      <c r="L24" s="86"/>
    </row>
    <row r="25" spans="1:15" x14ac:dyDescent="0.2">
      <c r="A25" s="21"/>
      <c r="B25" s="20" t="s">
        <v>216</v>
      </c>
      <c r="C25" s="79"/>
      <c r="D25" s="79">
        <f>'Balance Sheet'!C24-'Balance Sheet'!B24</f>
        <v>-10351</v>
      </c>
      <c r="E25" s="79">
        <f>'Balance Sheet'!D24-'Balance Sheet'!C24</f>
        <v>-54746</v>
      </c>
      <c r="F25" s="79">
        <f>'Balance Sheet'!E24-'Balance Sheet'!D24</f>
        <v>97714</v>
      </c>
      <c r="G25" s="86">
        <f>'Balance Sheet'!F24-'Balance Sheet'!E24</f>
        <v>-69869.04557058902</v>
      </c>
      <c r="H25" s="79">
        <f>'Balance Sheet'!G24-'Balance Sheet'!F24</f>
        <v>17260.04557058902</v>
      </c>
      <c r="I25" s="79">
        <f>'Balance Sheet'!H24-'Balance Sheet'!G24</f>
        <v>4800</v>
      </c>
      <c r="J25" s="79">
        <f>'Balance Sheet'!I24-'Balance Sheet'!H24</f>
        <v>-8300</v>
      </c>
      <c r="K25" s="79">
        <f>'Balance Sheet'!J24-'Balance Sheet'!I24</f>
        <v>-27600</v>
      </c>
      <c r="L25" s="86"/>
    </row>
    <row r="26" spans="1:15" x14ac:dyDescent="0.2">
      <c r="A26" s="21"/>
      <c r="B26" s="20" t="s">
        <v>217</v>
      </c>
      <c r="C26" s="79">
        <f>'COOK-US, CF FY''22'!B55</f>
        <v>0</v>
      </c>
      <c r="D26" s="79">
        <f>'COOK-US, CF FY''22'!C55</f>
        <v>0</v>
      </c>
      <c r="E26" s="79">
        <f>'COOK-US, CF FY''22'!D55</f>
        <v>142274</v>
      </c>
      <c r="F26" s="79">
        <f>'COOK-US, CF FY''22'!E55</f>
        <v>0</v>
      </c>
      <c r="G26" s="86">
        <f>F26</f>
        <v>0</v>
      </c>
      <c r="H26" s="79">
        <f t="shared" ref="H26:K26" si="4">G26</f>
        <v>0</v>
      </c>
      <c r="I26" s="79">
        <f t="shared" si="4"/>
        <v>0</v>
      </c>
      <c r="J26" s="79">
        <f t="shared" si="4"/>
        <v>0</v>
      </c>
      <c r="K26" s="79">
        <f t="shared" si="4"/>
        <v>0</v>
      </c>
      <c r="L26" s="86"/>
    </row>
    <row r="27" spans="1:15" x14ac:dyDescent="0.2">
      <c r="A27" s="4"/>
      <c r="B27" s="20" t="s">
        <v>218</v>
      </c>
      <c r="C27" s="79">
        <f>-'COOK-US, CF FY''22'!B56</f>
        <v>80</v>
      </c>
      <c r="D27" s="79">
        <f>-'COOK-US, CF FY''22'!C56</f>
        <v>250</v>
      </c>
      <c r="E27" s="79">
        <f>-'COOK-US, CF FY''22'!D56</f>
        <v>0</v>
      </c>
      <c r="F27" s="79">
        <f>-'COOK-US, CF FY''22'!E56</f>
        <v>0</v>
      </c>
      <c r="G27" s="86">
        <f>F27</f>
        <v>0</v>
      </c>
      <c r="H27" s="79">
        <f t="shared" ref="H27:K27" si="5">G27</f>
        <v>0</v>
      </c>
      <c r="I27" s="79">
        <f t="shared" si="5"/>
        <v>0</v>
      </c>
      <c r="J27" s="79">
        <f t="shared" si="5"/>
        <v>0</v>
      </c>
      <c r="K27" s="79">
        <f t="shared" si="5"/>
        <v>0</v>
      </c>
      <c r="L27" s="86"/>
    </row>
    <row r="28" spans="1:15" x14ac:dyDescent="0.2">
      <c r="A28" s="4"/>
      <c r="B28" s="20" t="s">
        <v>219</v>
      </c>
      <c r="C28" s="79"/>
      <c r="D28" s="79">
        <f>'Balance Sheet'!C25-'Balance Sheet'!B25</f>
        <v>16</v>
      </c>
      <c r="E28" s="79">
        <f>'Balance Sheet'!D25-'Balance Sheet'!C25</f>
        <v>25557</v>
      </c>
      <c r="F28" s="79">
        <f>'Balance Sheet'!E25-'Balance Sheet'!D25</f>
        <v>-4054</v>
      </c>
      <c r="G28" s="86">
        <f>'Balance Sheet'!F25-'Balance Sheet'!E25</f>
        <v>-10578</v>
      </c>
      <c r="H28" s="79">
        <f>'Balance Sheet'!G25-'Balance Sheet'!F25</f>
        <v>0</v>
      </c>
      <c r="I28" s="79">
        <f>'Balance Sheet'!H25-'Balance Sheet'!G25</f>
        <v>0</v>
      </c>
      <c r="J28" s="79">
        <f>'Balance Sheet'!I25-'Balance Sheet'!H25</f>
        <v>0</v>
      </c>
      <c r="K28" s="79">
        <f>'Balance Sheet'!J25-'Balance Sheet'!I25</f>
        <v>0</v>
      </c>
      <c r="L28" s="86"/>
    </row>
    <row r="29" spans="1:15" x14ac:dyDescent="0.2">
      <c r="A29" s="21"/>
      <c r="B29" s="23" t="s">
        <v>220</v>
      </c>
      <c r="C29" s="79"/>
      <c r="D29" s="81">
        <f>SUM(D24:D27)</f>
        <v>-10128</v>
      </c>
      <c r="E29" s="81">
        <f>SUM(E24:E27)</f>
        <v>124963</v>
      </c>
      <c r="F29" s="81">
        <f>SUM(F24:F27)</f>
        <v>73720</v>
      </c>
      <c r="G29" s="85">
        <f t="shared" ref="G29:K29" si="6">SUM(G24:G27)</f>
        <v>-57245.368899374836</v>
      </c>
      <c r="H29" s="81">
        <f t="shared" si="6"/>
        <v>19046.106170861869</v>
      </c>
      <c r="I29" s="81">
        <f t="shared" si="6"/>
        <v>6693.2242362892212</v>
      </c>
      <c r="J29" s="81">
        <f t="shared" si="6"/>
        <v>-6293.1823095334257</v>
      </c>
      <c r="K29" s="81">
        <f t="shared" si="6"/>
        <v>-25472.773248105419</v>
      </c>
      <c r="L29" s="86"/>
    </row>
    <row r="30" spans="1:15" x14ac:dyDescent="0.2">
      <c r="A30" s="21"/>
      <c r="B30" s="23"/>
      <c r="C30" s="79"/>
      <c r="D30" s="79"/>
      <c r="E30" s="79"/>
      <c r="F30" s="79"/>
      <c r="G30" s="86"/>
      <c r="H30" s="79"/>
      <c r="I30" s="79"/>
      <c r="J30" s="79"/>
      <c r="K30" s="79"/>
      <c r="L30" s="86"/>
    </row>
    <row r="31" spans="1:15" x14ac:dyDescent="0.2">
      <c r="A31" s="19" t="s">
        <v>221</v>
      </c>
      <c r="B31" s="20"/>
      <c r="C31" s="79"/>
      <c r="D31" s="82">
        <f t="shared" ref="D31:K31" si="7">D17+D22+D29</f>
        <v>6194</v>
      </c>
      <c r="E31" s="82">
        <f t="shared" si="7"/>
        <v>-47554</v>
      </c>
      <c r="F31" s="82">
        <f t="shared" si="7"/>
        <v>-66890</v>
      </c>
      <c r="G31" s="87">
        <f t="shared" si="7"/>
        <v>-65177.999999999942</v>
      </c>
      <c r="H31" s="79">
        <f t="shared" si="7"/>
        <v>-59.43027223372701</v>
      </c>
      <c r="I31" s="79">
        <f t="shared" si="7"/>
        <v>-216.17695399600052</v>
      </c>
      <c r="J31" s="79">
        <f t="shared" si="7"/>
        <v>882.5958528157571</v>
      </c>
      <c r="K31" s="79">
        <f t="shared" si="7"/>
        <v>1315.474419087961</v>
      </c>
      <c r="L31" s="86"/>
    </row>
    <row r="32" spans="1:15" x14ac:dyDescent="0.2">
      <c r="A32" s="24" t="s">
        <v>222</v>
      </c>
      <c r="B32" s="25"/>
      <c r="C32" s="79"/>
      <c r="D32" s="82">
        <f>'Balance Sheet'!B6</f>
        <v>7077</v>
      </c>
      <c r="E32" s="82">
        <f>'Balance Sheet'!C6</f>
        <v>11556</v>
      </c>
      <c r="F32" s="82">
        <f>'Balance Sheet'!D6</f>
        <v>16740</v>
      </c>
      <c r="G32" s="168">
        <f>'Balance Sheet'!E6</f>
        <v>51555</v>
      </c>
      <c r="H32" s="79">
        <f>'Balance Sheet'!F6</f>
        <v>11280</v>
      </c>
      <c r="I32" s="79">
        <f>'Balance Sheet'!G6</f>
        <v>11220.569727766444</v>
      </c>
      <c r="J32" s="79">
        <f>'Balance Sheet'!H6</f>
        <v>11004.392773770407</v>
      </c>
      <c r="K32" s="79">
        <f>'Balance Sheet'!I6</f>
        <v>11886.98862658607</v>
      </c>
      <c r="L32" s="86"/>
    </row>
    <row r="33" spans="1:12" x14ac:dyDescent="0.2">
      <c r="A33" s="26" t="s">
        <v>223</v>
      </c>
      <c r="B33" s="27"/>
      <c r="C33" s="79">
        <f>'COOK-US, CF FY''22'!B59</f>
        <v>7077</v>
      </c>
      <c r="D33" s="82">
        <f>'COOK-US, CF FY''22'!C59</f>
        <v>11556</v>
      </c>
      <c r="E33" s="82">
        <f>'COOK-US, CF FY''22'!D59</f>
        <v>16740</v>
      </c>
      <c r="F33" s="82">
        <f>'COOK-US, CF FY''22'!E59</f>
        <v>51555</v>
      </c>
      <c r="G33" s="168">
        <f>'Balance Sheet'!F6</f>
        <v>11280</v>
      </c>
      <c r="H33" s="79">
        <f>'Balance Sheet'!G6</f>
        <v>11220.569727766444</v>
      </c>
      <c r="I33" s="79">
        <f>'Balance Sheet'!H6</f>
        <v>11004.392773770407</v>
      </c>
      <c r="J33" s="79">
        <f>'Balance Sheet'!I6</f>
        <v>11886.98862658607</v>
      </c>
      <c r="K33" s="79">
        <f>'Balance Sheet'!J6</f>
        <v>13202.463045674085</v>
      </c>
      <c r="L33" s="86"/>
    </row>
    <row r="34" spans="1:12" x14ac:dyDescent="0.2">
      <c r="C34" s="79"/>
      <c r="D34" s="79"/>
      <c r="E34" s="79"/>
      <c r="F34" s="79"/>
      <c r="G34" s="79"/>
      <c r="H34" s="79"/>
      <c r="I34" s="79"/>
      <c r="J34" s="79"/>
      <c r="K34" s="79"/>
      <c r="L34" s="79"/>
    </row>
    <row r="35" spans="1:12" x14ac:dyDescent="0.2">
      <c r="C35" s="79"/>
      <c r="D35" s="79"/>
      <c r="E35" s="79"/>
      <c r="F35" s="79"/>
      <c r="G35" s="79"/>
      <c r="H35" s="79"/>
      <c r="I35" s="79"/>
      <c r="J35" s="79"/>
      <c r="K35" s="79"/>
      <c r="L35" s="79"/>
    </row>
    <row r="40" spans="1:12" x14ac:dyDescent="0.2">
      <c r="G40" s="79">
        <f>-F19</f>
        <v>27708</v>
      </c>
    </row>
    <row r="41" spans="1:12" x14ac:dyDescent="0.2">
      <c r="G41" s="79">
        <f>'Income Statement'!F7</f>
        <v>595452</v>
      </c>
    </row>
    <row r="42" spans="1:12" x14ac:dyDescent="0.2">
      <c r="F42" s="44">
        <v>4.6532718002458638E-2</v>
      </c>
      <c r="G42" s="44">
        <f>G40/G41</f>
        <v>4.6532718002458638E-2</v>
      </c>
    </row>
  </sheetData>
  <mergeCells count="2">
    <mergeCell ref="C3:F3"/>
    <mergeCell ref="G3:K3"/>
  </mergeCells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C09C8C-EDCC-5646-AF23-BC6BB8A9365A}">
  <sheetPr codeName="Sheet10">
    <tabColor rgb="FFC00000"/>
  </sheetPr>
  <dimension ref="A1:I32"/>
  <sheetViews>
    <sheetView workbookViewId="0">
      <selection activeCell="K15" sqref="K15"/>
    </sheetView>
  </sheetViews>
  <sheetFormatPr baseColWidth="10" defaultColWidth="11" defaultRowHeight="16" x14ac:dyDescent="0.2"/>
  <cols>
    <col min="1" max="1" width="24.6640625" customWidth="1"/>
    <col min="6" max="6" width="11.6640625" bestFit="1" customWidth="1"/>
    <col min="9" max="9" width="12" customWidth="1"/>
  </cols>
  <sheetData>
    <row r="1" spans="1:7" ht="21" x14ac:dyDescent="0.25">
      <c r="A1" s="274" t="s">
        <v>224</v>
      </c>
      <c r="B1" s="275"/>
      <c r="C1" s="275"/>
      <c r="D1" s="275"/>
      <c r="E1" s="275"/>
      <c r="F1" s="276"/>
    </row>
    <row r="2" spans="1:7" x14ac:dyDescent="0.2">
      <c r="A2" s="207" t="s">
        <v>225</v>
      </c>
      <c r="B2" s="37">
        <f>21%+4.85%</f>
        <v>0.25850000000000001</v>
      </c>
      <c r="F2" s="208"/>
    </row>
    <row r="3" spans="1:7" x14ac:dyDescent="0.2">
      <c r="A3" s="207" t="s">
        <v>226</v>
      </c>
      <c r="B3" s="37">
        <v>3.1899999999999998E-2</v>
      </c>
      <c r="F3" s="208"/>
    </row>
    <row r="4" spans="1:7" x14ac:dyDescent="0.2">
      <c r="A4" s="207" t="s">
        <v>227</v>
      </c>
      <c r="B4" s="37">
        <f ca="1">WACC!B13</f>
        <v>9.1522974800230264E-2</v>
      </c>
      <c r="F4" s="208"/>
    </row>
    <row r="5" spans="1:7" x14ac:dyDescent="0.2">
      <c r="A5" s="207" t="s">
        <v>228</v>
      </c>
      <c r="B5" s="37">
        <f ca="1">WACC!B14</f>
        <v>9.6782323941207227E-2</v>
      </c>
      <c r="C5" s="37">
        <f ca="1">B5-B4</f>
        <v>5.2593491409769627E-3</v>
      </c>
      <c r="F5" s="208"/>
    </row>
    <row r="6" spans="1:7" x14ac:dyDescent="0.2">
      <c r="A6" s="209"/>
      <c r="F6" s="208"/>
    </row>
    <row r="7" spans="1:7" x14ac:dyDescent="0.2">
      <c r="A7" s="209"/>
      <c r="B7">
        <v>1</v>
      </c>
      <c r="C7">
        <v>2</v>
      </c>
      <c r="D7">
        <v>3</v>
      </c>
      <c r="E7">
        <v>4</v>
      </c>
      <c r="F7" s="208">
        <v>5</v>
      </c>
    </row>
    <row r="8" spans="1:7" x14ac:dyDescent="0.2">
      <c r="A8" s="209"/>
      <c r="B8" s="125">
        <v>2023</v>
      </c>
      <c r="C8" s="126">
        <v>2024</v>
      </c>
      <c r="D8" s="126">
        <v>2025</v>
      </c>
      <c r="E8" s="126">
        <v>2026</v>
      </c>
      <c r="F8" s="210">
        <v>2027</v>
      </c>
    </row>
    <row r="9" spans="1:7" x14ac:dyDescent="0.2">
      <c r="A9" s="207" t="s">
        <v>229</v>
      </c>
      <c r="B9" s="79">
        <f>'Income Statement'!F15</f>
        <v>-43584.788316534934</v>
      </c>
      <c r="C9" s="127">
        <f>'Income Statement'!G15</f>
        <v>-19803.361974531872</v>
      </c>
      <c r="D9" s="127">
        <f>'Income Statement'!H15</f>
        <v>-5836.2917976105891</v>
      </c>
      <c r="E9" s="127">
        <f>'Income Statement'!I15</f>
        <v>10058.296965203575</v>
      </c>
      <c r="F9" s="211">
        <f>'Income Statement'!J15</f>
        <v>27647.573268020031</v>
      </c>
      <c r="G9" t="s">
        <v>230</v>
      </c>
    </row>
    <row r="10" spans="1:7" x14ac:dyDescent="0.2">
      <c r="A10" s="207"/>
      <c r="B10" s="79"/>
      <c r="C10" s="127"/>
      <c r="D10" s="127"/>
      <c r="E10" s="127"/>
      <c r="F10" s="211"/>
    </row>
    <row r="11" spans="1:7" x14ac:dyDescent="0.2">
      <c r="A11" s="207" t="s">
        <v>191</v>
      </c>
      <c r="B11" s="79">
        <f>'Cash Flow'!G10</f>
        <v>16253.717215909828</v>
      </c>
      <c r="C11" s="127">
        <f>'Cash Flow'!H10</f>
        <v>-4296.0023288147568</v>
      </c>
      <c r="D11" s="127">
        <f>'Cash Flow'!I10</f>
        <v>-5520.2680835455867</v>
      </c>
      <c r="E11" s="127">
        <f>'Cash Flow'!J10</f>
        <v>-5768.8360271645925</v>
      </c>
      <c r="F11" s="211">
        <f>'Cash Flow'!K10</f>
        <v>-6027.3591589171629</v>
      </c>
    </row>
    <row r="12" spans="1:7" x14ac:dyDescent="0.2">
      <c r="A12" s="207" t="s">
        <v>231</v>
      </c>
      <c r="B12" s="206">
        <f>-('Balance Sheet'!F11-'Balance Sheet'!E11+'Income Statement'!F13)</f>
        <v>-17863.559999999998</v>
      </c>
      <c r="C12" s="206">
        <f>-('Balance Sheet'!G11-'Balance Sheet'!F11+'Income Statement'!G13)</f>
        <v>-19898.308759004853</v>
      </c>
      <c r="D12" s="206">
        <f>-('Balance Sheet'!H11-'Balance Sheet'!G11+'Income Statement'!H13)</f>
        <v>-21067.038902147084</v>
      </c>
      <c r="E12" s="206">
        <f>-('Balance Sheet'!I11-'Balance Sheet'!H11+'Income Statement'!I13)</f>
        <v>-18097.032485158365</v>
      </c>
      <c r="F12" s="212">
        <f>-('Balance Sheet'!J11-'Balance Sheet'!I11+'Income Statement'!J13)</f>
        <v>-16612.124643215819</v>
      </c>
    </row>
    <row r="13" spans="1:7" x14ac:dyDescent="0.2">
      <c r="A13" s="207" t="s">
        <v>232</v>
      </c>
      <c r="B13" s="79">
        <f>SUM('Income Statement'!F13:F14)</f>
        <v>49377</v>
      </c>
      <c r="C13" s="127">
        <f>SUM('Income Statement'!G13:G14)</f>
        <v>50339.935159004861</v>
      </c>
      <c r="D13" s="127">
        <f>SUM('Income Statement'!H13:H14)</f>
        <v>51335.478045151955</v>
      </c>
      <c r="E13" s="127">
        <f>SUM('Income Statement'!I13:I14)</f>
        <v>51702.689049510307</v>
      </c>
      <c r="F13" s="211">
        <f>SUM('Income Statement'!J13:J14)</f>
        <v>51776.436215435897</v>
      </c>
    </row>
    <row r="14" spans="1:7" x14ac:dyDescent="0.2">
      <c r="A14" s="207"/>
      <c r="B14" s="79"/>
      <c r="C14" s="127"/>
      <c r="D14" s="127"/>
      <c r="E14" s="127"/>
      <c r="F14" s="211"/>
    </row>
    <row r="15" spans="1:7" x14ac:dyDescent="0.2">
      <c r="A15" s="207" t="s">
        <v>233</v>
      </c>
      <c r="B15" s="79">
        <f>SUM(B9:B13)</f>
        <v>4182.3688993748947</v>
      </c>
      <c r="C15" s="127">
        <f t="shared" ref="C15:F15" si="0">SUM(C9:C13)</f>
        <v>6342.2620966533796</v>
      </c>
      <c r="D15" s="127">
        <f t="shared" si="0"/>
        <v>18911.879261848695</v>
      </c>
      <c r="E15" s="127">
        <f t="shared" si="0"/>
        <v>37895.117502390924</v>
      </c>
      <c r="F15" s="211">
        <f t="shared" si="0"/>
        <v>56784.52568132295</v>
      </c>
    </row>
    <row r="16" spans="1:7" x14ac:dyDescent="0.2">
      <c r="A16" s="207" t="s">
        <v>234</v>
      </c>
      <c r="B16" s="128">
        <f ca="1">B15/(1+$B$4)^B7</f>
        <v>3831.6819672442984</v>
      </c>
      <c r="C16" s="129">
        <f ca="1">C15/(1+$B$4)^C7</f>
        <v>5323.2691215219193</v>
      </c>
      <c r="D16" s="129">
        <f ca="1">D15/(1+$B$4)^D7</f>
        <v>14542.39854222826</v>
      </c>
      <c r="E16" s="129">
        <f ca="1">(E15/(1+$B$5)^E7*10/12)+(E15/(1+$B$4)^E7*2/12)</f>
        <v>26272.68096739817</v>
      </c>
      <c r="F16" s="213">
        <f ca="1">F15/(1+$B$5)^F7</f>
        <v>35778.966323488399</v>
      </c>
    </row>
    <row r="17" spans="1:9" x14ac:dyDescent="0.2">
      <c r="A17" s="207"/>
      <c r="F17" s="208"/>
    </row>
    <row r="18" spans="1:9" x14ac:dyDescent="0.2">
      <c r="A18" s="207" t="s">
        <v>235</v>
      </c>
      <c r="F18" s="212">
        <f ca="1">SUM(B16:E16)</f>
        <v>49970.030598392652</v>
      </c>
    </row>
    <row r="19" spans="1:9" x14ac:dyDescent="0.2">
      <c r="A19" s="207" t="s">
        <v>236</v>
      </c>
      <c r="B19" s="79"/>
      <c r="C19" s="79"/>
      <c r="D19" s="79"/>
      <c r="E19" s="79"/>
      <c r="F19" s="212">
        <f ca="1">F16/(B5-B3)</f>
        <v>551443.97040878679</v>
      </c>
    </row>
    <row r="20" spans="1:9" x14ac:dyDescent="0.2">
      <c r="A20" s="207" t="s">
        <v>237</v>
      </c>
      <c r="F20" s="212">
        <f ca="1">F19/(1+B4)^F7</f>
        <v>355907.37361868157</v>
      </c>
    </row>
    <row r="21" spans="1:9" x14ac:dyDescent="0.2">
      <c r="A21" s="207" t="s">
        <v>238</v>
      </c>
      <c r="F21" s="212">
        <f ca="1">F18+F20</f>
        <v>405877.40421707422</v>
      </c>
      <c r="H21" t="s">
        <v>239</v>
      </c>
      <c r="I21" t="s">
        <v>240</v>
      </c>
    </row>
    <row r="22" spans="1:9" x14ac:dyDescent="0.2">
      <c r="A22" s="214" t="s">
        <v>241</v>
      </c>
      <c r="F22" s="215">
        <v>135123.13800000001</v>
      </c>
      <c r="H22" s="28">
        <f ca="1">F21/'Income Statement'!L7</f>
        <v>0.65956841871226191</v>
      </c>
      <c r="I22" s="28">
        <f ca="1">F21/'Income Statement'!K7</f>
        <v>0.69914252383499764</v>
      </c>
    </row>
    <row r="23" spans="1:9" ht="17" thickBot="1" x14ac:dyDescent="0.25">
      <c r="A23" s="216" t="s">
        <v>242</v>
      </c>
      <c r="B23" s="217"/>
      <c r="C23" s="217"/>
      <c r="D23" s="217"/>
      <c r="E23" s="217"/>
      <c r="F23" s="218">
        <f ca="1">F21/F22</f>
        <v>3.0037594613668177</v>
      </c>
    </row>
    <row r="27" spans="1:9" x14ac:dyDescent="0.2">
      <c r="G27" s="134"/>
    </row>
    <row r="32" spans="1:9" x14ac:dyDescent="0.2">
      <c r="A32" s="1" t="s">
        <v>243</v>
      </c>
      <c r="F32" s="111">
        <f>125809285/1000</f>
        <v>125809.285</v>
      </c>
    </row>
  </sheetData>
  <mergeCells count="1">
    <mergeCell ref="A1:F1"/>
  </mergeCells>
  <pageMargins left="0.7" right="0.7" top="0.75" bottom="0.75" header="0.3" footer="0.3"/>
  <pageSetup orientation="portrait" horizontalDpi="0" verticalDpi="0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91A69-D61E-D647-A45C-5E5D00CFF7BA}">
  <sheetPr codeName="Sheet11">
    <tabColor rgb="FFC00000"/>
  </sheetPr>
  <dimension ref="A1:I14"/>
  <sheetViews>
    <sheetView workbookViewId="0">
      <selection activeCell="B14" sqref="B14"/>
    </sheetView>
  </sheetViews>
  <sheetFormatPr baseColWidth="10" defaultColWidth="11" defaultRowHeight="16" x14ac:dyDescent="0.2"/>
  <cols>
    <col min="1" max="1" width="26.1640625" customWidth="1"/>
    <col min="2" max="2" width="10.33203125" customWidth="1"/>
    <col min="3" max="3" width="19" customWidth="1"/>
  </cols>
  <sheetData>
    <row r="1" spans="1:9" x14ac:dyDescent="0.2">
      <c r="A1" t="s">
        <v>244</v>
      </c>
    </row>
    <row r="2" spans="1:9" x14ac:dyDescent="0.2">
      <c r="F2" s="130"/>
    </row>
    <row r="3" spans="1:9" x14ac:dyDescent="0.2">
      <c r="I3" t="s">
        <v>245</v>
      </c>
    </row>
    <row r="4" spans="1:9" x14ac:dyDescent="0.2">
      <c r="A4" t="s">
        <v>246</v>
      </c>
      <c r="B4" s="37" t="s">
        <v>247</v>
      </c>
      <c r="C4" t="e" vm="1">
        <v>#VALUE!</v>
      </c>
      <c r="D4" s="130" cm="1">
        <f t="array" aca="1" ref="D4" ca="1">_FV(C4,"Previous close",TRUE)</f>
        <v>44.52</v>
      </c>
      <c r="F4" s="130"/>
      <c r="H4" s="131" t="s">
        <v>248</v>
      </c>
      <c r="I4">
        <v>1.93</v>
      </c>
    </row>
    <row r="5" spans="1:9" x14ac:dyDescent="0.2">
      <c r="A5" t="s">
        <v>249</v>
      </c>
      <c r="B5" s="37">
        <f ca="1">D4/1000</f>
        <v>4.4520000000000004E-2</v>
      </c>
      <c r="H5" s="131" t="s">
        <v>250</v>
      </c>
      <c r="I5">
        <v>1.62</v>
      </c>
    </row>
    <row r="6" spans="1:9" x14ac:dyDescent="0.2">
      <c r="A6" t="s">
        <v>251</v>
      </c>
      <c r="B6" s="28">
        <f>I4</f>
        <v>1.93</v>
      </c>
      <c r="C6" t="s">
        <v>252</v>
      </c>
    </row>
    <row r="7" spans="1:9" x14ac:dyDescent="0.2">
      <c r="A7" t="s">
        <v>253</v>
      </c>
      <c r="B7" s="171">
        <v>5.3100000000000001E-2</v>
      </c>
    </row>
    <row r="8" spans="1:9" x14ac:dyDescent="0.2">
      <c r="A8" s="1" t="s">
        <v>254</v>
      </c>
      <c r="B8" s="170">
        <f ca="1">B5+(B6*B7)</f>
        <v>0.14700299999999999</v>
      </c>
    </row>
    <row r="9" spans="1:9" x14ac:dyDescent="0.2">
      <c r="A9" t="s">
        <v>255</v>
      </c>
      <c r="B9" s="37">
        <f>'Debt Schedule'!E3</f>
        <v>5.5800000000000002E-2</v>
      </c>
    </row>
    <row r="10" spans="1:9" x14ac:dyDescent="0.2">
      <c r="A10" t="s">
        <v>256</v>
      </c>
      <c r="B10" s="37">
        <f>'Debt Schedule'!B21</f>
        <v>6.9599999999999995E-2</v>
      </c>
    </row>
    <row r="11" spans="1:9" x14ac:dyDescent="0.2">
      <c r="A11" t="s">
        <v>257</v>
      </c>
      <c r="B11" s="169">
        <f>('Balance Sheet'!E21+'Balance Sheet'!E24)/'Balance Sheet'!E16</f>
        <v>0.52207158437333301</v>
      </c>
    </row>
    <row r="12" spans="1:9" x14ac:dyDescent="0.2">
      <c r="A12" t="s">
        <v>258</v>
      </c>
      <c r="B12" s="169">
        <f>1-B11</f>
        <v>0.47792841562666699</v>
      </c>
    </row>
    <row r="13" spans="1:9" x14ac:dyDescent="0.2">
      <c r="A13" s="1" t="s">
        <v>244</v>
      </c>
      <c r="B13" s="172">
        <f ca="1">B8*B12+B9*B11*(1-0.27)</f>
        <v>9.1522974800230264E-2</v>
      </c>
    </row>
    <row r="14" spans="1:9" x14ac:dyDescent="0.2">
      <c r="A14" s="1" t="s">
        <v>228</v>
      </c>
      <c r="B14" s="170">
        <f ca="1">B8*B12+B10*B11*(1-0.27)</f>
        <v>9.6782323941207227E-2</v>
      </c>
    </row>
  </sheetData>
  <pageMargins left="0.7" right="0.7" top="0.75" bottom="0.75" header="0.3" footer="0.3"/>
  <legacyDrawing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18A851-C0BE-554C-9A14-A7B846D574A5}">
  <sheetPr codeName="Sheet12">
    <tabColor rgb="FFC00000"/>
  </sheetPr>
  <dimension ref="A1:H264"/>
  <sheetViews>
    <sheetView workbookViewId="0">
      <selection activeCell="L7" sqref="L7"/>
    </sheetView>
  </sheetViews>
  <sheetFormatPr baseColWidth="10" defaultColWidth="11" defaultRowHeight="16" x14ac:dyDescent="0.2"/>
  <cols>
    <col min="1" max="2" width="11" customWidth="1"/>
    <col min="3" max="3" width="22.83203125" bestFit="1" customWidth="1"/>
  </cols>
  <sheetData>
    <row r="1" spans="1:8" x14ac:dyDescent="0.2">
      <c r="A1" s="43" t="s">
        <v>259</v>
      </c>
      <c r="C1" s="43" t="s">
        <v>260</v>
      </c>
      <c r="E1" s="1" t="s">
        <v>261</v>
      </c>
    </row>
    <row r="3" spans="1:8" x14ac:dyDescent="0.2">
      <c r="A3" s="42" t="s">
        <v>262</v>
      </c>
      <c r="B3" s="42" t="s">
        <v>263</v>
      </c>
      <c r="C3" s="42" t="s">
        <v>263</v>
      </c>
      <c r="E3" s="1" t="s">
        <v>264</v>
      </c>
      <c r="F3" s="1" t="s">
        <v>265</v>
      </c>
    </row>
    <row r="4" spans="1:8" x14ac:dyDescent="0.2">
      <c r="A4" s="39">
        <v>45261</v>
      </c>
      <c r="B4" s="38">
        <v>4594.63</v>
      </c>
      <c r="C4" s="38">
        <v>2.36</v>
      </c>
      <c r="E4" s="44">
        <f>B5/B4-1</f>
        <v>-7.6817482726705411E-3</v>
      </c>
      <c r="F4" s="44">
        <f>C5/C4-1</f>
        <v>-1.2711864406779627E-2</v>
      </c>
      <c r="H4" s="28">
        <f>SLOPE(E4:$E$125,F4:$F$125)</f>
        <v>8.6623292564112969E-2</v>
      </c>
    </row>
    <row r="5" spans="1:8" x14ac:dyDescent="0.2">
      <c r="A5" s="41">
        <v>45254</v>
      </c>
      <c r="B5" s="40">
        <v>4559.3352089339396</v>
      </c>
      <c r="C5" s="40">
        <v>2.33</v>
      </c>
      <c r="E5" s="44">
        <f t="shared" ref="E5:E36" si="0">B6/B5-1</f>
        <v>-9.9394634139184923E-3</v>
      </c>
      <c r="F5" s="44">
        <f t="shared" ref="F5:F68" si="1">C6/C5-1</f>
        <v>3.4334763948497882E-2</v>
      </c>
      <c r="H5" s="28">
        <f>SLOPE(E5:$E$125,F5:$F$125)</f>
        <v>8.6517920833755604E-2</v>
      </c>
    </row>
    <row r="6" spans="1:8" x14ac:dyDescent="0.2">
      <c r="A6" s="39">
        <v>45247</v>
      </c>
      <c r="B6" s="38">
        <v>4514.0178634329504</v>
      </c>
      <c r="C6" s="38">
        <v>2.41</v>
      </c>
      <c r="E6" s="44">
        <f t="shared" si="0"/>
        <v>-2.1881431447185795E-2</v>
      </c>
      <c r="F6" s="44">
        <f t="shared" si="1"/>
        <v>-0.14107883817427402</v>
      </c>
      <c r="H6" s="28">
        <f>SLOPE(E6:$E$125,F6:$F$125)</f>
        <v>8.6580804752995816E-2</v>
      </c>
    </row>
    <row r="7" spans="1:8" x14ac:dyDescent="0.2">
      <c r="A7" s="41">
        <v>45240</v>
      </c>
      <c r="B7" s="40">
        <v>4415.2446910028702</v>
      </c>
      <c r="C7" s="40">
        <v>2.0699999999999998</v>
      </c>
      <c r="E7" s="44">
        <f t="shared" si="0"/>
        <v>-1.2889321652919339E-2</v>
      </c>
      <c r="F7" s="44">
        <f t="shared" si="1"/>
        <v>0.40579710144927561</v>
      </c>
      <c r="H7" s="28">
        <f>SLOPE(E7:$E$125,F7:$F$125)</f>
        <v>8.575815694066577E-2</v>
      </c>
    </row>
    <row r="8" spans="1:8" x14ac:dyDescent="0.2">
      <c r="A8" s="39">
        <v>45233</v>
      </c>
      <c r="B8" s="38">
        <v>4358.3351820041898</v>
      </c>
      <c r="C8" s="38">
        <v>2.91</v>
      </c>
      <c r="E8" s="44">
        <f t="shared" si="0"/>
        <v>-5.5287476438185212E-2</v>
      </c>
      <c r="F8" s="44">
        <f t="shared" si="1"/>
        <v>-8.2474226804123751E-2</v>
      </c>
      <c r="H8" s="28">
        <f>SLOPE(E8:$E$125,F8:$F$125)</f>
        <v>9.823811727633161E-2</v>
      </c>
    </row>
    <row r="9" spans="1:8" x14ac:dyDescent="0.2">
      <c r="A9" s="41">
        <v>45226</v>
      </c>
      <c r="B9" s="40">
        <v>4117.3738283194198</v>
      </c>
      <c r="C9" s="40">
        <v>2.67</v>
      </c>
      <c r="E9" s="44">
        <f t="shared" si="0"/>
        <v>2.5935379929149294E-2</v>
      </c>
      <c r="F9" s="44">
        <f t="shared" si="1"/>
        <v>2.9962546816479474E-2</v>
      </c>
      <c r="H9" s="28">
        <f>SLOPE(E9:$E$125,F9:$F$125)</f>
        <v>9.4760258261070499E-2</v>
      </c>
    </row>
    <row r="10" spans="1:8" x14ac:dyDescent="0.2">
      <c r="A10" s="39">
        <v>45219</v>
      </c>
      <c r="B10" s="38">
        <v>4224.1594828672196</v>
      </c>
      <c r="C10" s="38">
        <v>2.75</v>
      </c>
      <c r="E10" s="44">
        <f t="shared" si="0"/>
        <v>2.4531162897458492E-2</v>
      </c>
      <c r="F10" s="44">
        <f t="shared" si="1"/>
        <v>-9.0909090909090939E-2</v>
      </c>
      <c r="H10" s="28">
        <f>SLOPE(E10:$E$125,F10:$F$125)</f>
        <v>9.4657834437392521E-2</v>
      </c>
    </row>
    <row r="11" spans="1:8" x14ac:dyDescent="0.2">
      <c r="A11" s="41">
        <v>45212</v>
      </c>
      <c r="B11" s="40">
        <v>4327.7830272462797</v>
      </c>
      <c r="C11" s="40">
        <v>2.5</v>
      </c>
      <c r="E11" s="44">
        <f t="shared" si="0"/>
        <v>-4.4551142832679469E-3</v>
      </c>
      <c r="F11" s="44">
        <f t="shared" si="1"/>
        <v>0.10399999999999987</v>
      </c>
      <c r="H11" s="28">
        <f>SLOPE(E11:$E$125,F11:$F$125)</f>
        <v>9.7591462148364852E-2</v>
      </c>
    </row>
    <row r="12" spans="1:8" x14ac:dyDescent="0.2">
      <c r="A12" s="39">
        <v>45205</v>
      </c>
      <c r="B12" s="38">
        <v>4308.5022592667101</v>
      </c>
      <c r="C12" s="38">
        <v>2.76</v>
      </c>
      <c r="E12" s="44">
        <f t="shared" si="0"/>
        <v>-4.7459964963022516E-3</v>
      </c>
      <c r="F12" s="44">
        <f t="shared" si="1"/>
        <v>-1.0869565217391242E-2</v>
      </c>
      <c r="H12" s="28">
        <f>SLOPE(E12:$E$125,F12:$F$125)</f>
        <v>9.8322707547621027E-2</v>
      </c>
    </row>
    <row r="13" spans="1:8" x14ac:dyDescent="0.2">
      <c r="A13" s="41">
        <v>45198</v>
      </c>
      <c r="B13" s="40">
        <v>4288.05412263992</v>
      </c>
      <c r="C13" s="40">
        <v>2.73</v>
      </c>
      <c r="E13" s="44">
        <f t="shared" si="0"/>
        <v>7.4632929121816183E-3</v>
      </c>
      <c r="F13" s="44">
        <f t="shared" si="1"/>
        <v>0.10256410256410242</v>
      </c>
      <c r="H13" s="28">
        <f>SLOPE(E13:$E$125,F13:$F$125)</f>
        <v>9.8276916315557517E-2</v>
      </c>
    </row>
    <row r="14" spans="1:8" x14ac:dyDescent="0.2">
      <c r="A14" s="39">
        <v>45191</v>
      </c>
      <c r="B14" s="38">
        <v>4320.0571265804701</v>
      </c>
      <c r="C14" s="38">
        <v>3.01</v>
      </c>
      <c r="E14" s="44">
        <f t="shared" si="0"/>
        <v>3.0152183821896772E-2</v>
      </c>
      <c r="F14" s="44">
        <f t="shared" si="1"/>
        <v>0.32890365448504988</v>
      </c>
      <c r="H14" s="28">
        <f>SLOPE(E14:$E$125,F14:$F$125)</f>
        <v>9.8318004866526754E-2</v>
      </c>
    </row>
    <row r="15" spans="1:8" x14ac:dyDescent="0.2">
      <c r="A15" s="41">
        <v>45184</v>
      </c>
      <c r="B15" s="40">
        <v>4450.3162831822201</v>
      </c>
      <c r="C15" s="40">
        <v>4</v>
      </c>
      <c r="E15" s="44">
        <f t="shared" si="0"/>
        <v>1.6118012578740792E-3</v>
      </c>
      <c r="F15" s="44">
        <f t="shared" si="1"/>
        <v>-7.4999999999999512E-3</v>
      </c>
      <c r="H15" s="28">
        <f>SLOPE(E15:$E$125,F15:$F$125)</f>
        <v>9.838763377680157E-2</v>
      </c>
    </row>
    <row r="16" spans="1:8" x14ac:dyDescent="0.2">
      <c r="A16" s="39">
        <v>45177</v>
      </c>
      <c r="B16" s="38">
        <v>4457.4893085653903</v>
      </c>
      <c r="C16" s="38">
        <v>3.97</v>
      </c>
      <c r="E16" s="44">
        <f t="shared" si="0"/>
        <v>1.3074195712060144E-2</v>
      </c>
      <c r="F16" s="44">
        <f t="shared" si="1"/>
        <v>9.5717884130982256E-2</v>
      </c>
      <c r="H16" s="28">
        <f>SLOPE(E16:$E$125,F16:$F$125)</f>
        <v>9.8485133423215826E-2</v>
      </c>
    </row>
    <row r="17" spans="1:8" x14ac:dyDescent="0.2">
      <c r="A17" s="41">
        <v>45170</v>
      </c>
      <c r="B17" s="40">
        <v>4515.7673961699902</v>
      </c>
      <c r="C17" s="40">
        <v>4.3499999999999996</v>
      </c>
      <c r="E17" s="44">
        <f t="shared" si="0"/>
        <v>-2.4372748961848267E-2</v>
      </c>
      <c r="F17" s="44">
        <f t="shared" si="1"/>
        <v>-5.5172413793103336E-2</v>
      </c>
      <c r="H17" s="28">
        <f>SLOPE(E17:$E$125,F17:$F$125)</f>
        <v>9.8154150801414417E-2</v>
      </c>
    </row>
    <row r="18" spans="1:8" x14ac:dyDescent="0.2">
      <c r="A18" s="39">
        <v>45163</v>
      </c>
      <c r="B18" s="38">
        <v>4405.7057310530399</v>
      </c>
      <c r="C18" s="38">
        <v>4.1100000000000003</v>
      </c>
      <c r="E18" s="44">
        <f t="shared" si="0"/>
        <v>-8.1699125169751863E-3</v>
      </c>
      <c r="F18" s="44">
        <f t="shared" si="1"/>
        <v>0.15571776155717743</v>
      </c>
      <c r="H18" s="28">
        <f>SLOPE(E18:$E$125,F18:$F$125)</f>
        <v>9.7116290272104416E-2</v>
      </c>
    </row>
    <row r="19" spans="1:8" x14ac:dyDescent="0.2">
      <c r="A19" s="41">
        <v>45156</v>
      </c>
      <c r="B19" s="40">
        <v>4369.7115006548001</v>
      </c>
      <c r="C19" s="40">
        <v>4.75</v>
      </c>
      <c r="E19" s="44">
        <f t="shared" si="0"/>
        <v>2.1590226701209581E-2</v>
      </c>
      <c r="F19" s="44">
        <f t="shared" si="1"/>
        <v>0.12000000000000011</v>
      </c>
      <c r="H19" s="28">
        <f>SLOPE(E19:$E$125,F19:$F$125)</f>
        <v>9.9465633281570737E-2</v>
      </c>
    </row>
    <row r="20" spans="1:8" x14ac:dyDescent="0.2">
      <c r="A20" s="39">
        <v>45149</v>
      </c>
      <c r="B20" s="38">
        <v>4464.05456257282</v>
      </c>
      <c r="C20" s="38">
        <v>5.32</v>
      </c>
      <c r="E20" s="44">
        <f t="shared" si="0"/>
        <v>3.1315209745270689E-3</v>
      </c>
      <c r="F20" s="44">
        <f t="shared" si="1"/>
        <v>0.11842105263157898</v>
      </c>
      <c r="H20" s="28">
        <f>SLOPE(E20:$E$125,F20:$F$125)</f>
        <v>9.8539975503803001E-2</v>
      </c>
    </row>
    <row r="21" spans="1:8" x14ac:dyDescent="0.2">
      <c r="A21" s="41">
        <v>45142</v>
      </c>
      <c r="B21" s="40">
        <v>4478.0338430669499</v>
      </c>
      <c r="C21" s="40">
        <v>5.95</v>
      </c>
      <c r="E21" s="44">
        <f t="shared" si="0"/>
        <v>2.3268578561113751E-2</v>
      </c>
      <c r="F21" s="44">
        <f t="shared" si="1"/>
        <v>-0.27058823529411768</v>
      </c>
      <c r="H21" s="28">
        <f>SLOPE(E21:$E$125,F21:$F$125)</f>
        <v>9.9097800415783976E-2</v>
      </c>
    </row>
    <row r="22" spans="1:8" x14ac:dyDescent="0.2">
      <c r="A22" s="39">
        <v>45135</v>
      </c>
      <c r="B22" s="38">
        <v>4582.2313253436796</v>
      </c>
      <c r="C22" s="38">
        <v>4.34</v>
      </c>
      <c r="E22" s="44">
        <f t="shared" si="0"/>
        <v>-1.0015380077907254E-2</v>
      </c>
      <c r="F22" s="44">
        <f t="shared" si="1"/>
        <v>-2.995391705069117E-2</v>
      </c>
      <c r="H22" s="28">
        <f>SLOPE(E22:$E$125,F22:$F$125)</f>
        <v>0.11242397443810986</v>
      </c>
    </row>
    <row r="23" spans="1:8" x14ac:dyDescent="0.2">
      <c r="A23" s="41">
        <v>45128</v>
      </c>
      <c r="B23" s="40">
        <v>4536.3385370154701</v>
      </c>
      <c r="C23" s="40">
        <v>4.21</v>
      </c>
      <c r="E23" s="44">
        <f t="shared" si="0"/>
        <v>-6.8156724697804316E-3</v>
      </c>
      <c r="F23" s="44">
        <f t="shared" si="1"/>
        <v>-1.4251781472684022E-2</v>
      </c>
      <c r="H23" s="28">
        <f>SLOPE(E23:$E$125,F23:$F$125)</f>
        <v>0.11223267937452441</v>
      </c>
    </row>
    <row r="24" spans="1:8" x14ac:dyDescent="0.2">
      <c r="A24" s="39">
        <v>45121</v>
      </c>
      <c r="B24" s="38">
        <v>4505.4203393351299</v>
      </c>
      <c r="C24" s="38">
        <v>4.1500000000000004</v>
      </c>
      <c r="E24" s="44">
        <f t="shared" si="0"/>
        <v>-2.3631020281311033E-2</v>
      </c>
      <c r="F24" s="44">
        <f t="shared" si="1"/>
        <v>-7.7108433734939807E-2</v>
      </c>
      <c r="H24" s="28">
        <f>SLOPE(E24:$E$125,F24:$F$125)</f>
        <v>0.11214264756593864</v>
      </c>
    </row>
    <row r="25" spans="1:8" x14ac:dyDescent="0.2">
      <c r="A25" s="41">
        <v>45114</v>
      </c>
      <c r="B25" s="40">
        <v>4398.9526599204701</v>
      </c>
      <c r="C25" s="40">
        <v>3.83</v>
      </c>
      <c r="E25" s="44">
        <f t="shared" si="0"/>
        <v>1.1691112831768935E-2</v>
      </c>
      <c r="F25" s="44">
        <f t="shared" si="1"/>
        <v>0.10966057441253252</v>
      </c>
      <c r="H25" s="28">
        <f>SLOPE(E25:$E$125,F25:$F$125)</f>
        <v>0.11101567340694163</v>
      </c>
    </row>
    <row r="26" spans="1:8" x14ac:dyDescent="0.2">
      <c r="A26" s="39">
        <v>45107</v>
      </c>
      <c r="B26" s="38">
        <v>4450.3813118092103</v>
      </c>
      <c r="C26" s="38">
        <v>4.25</v>
      </c>
      <c r="E26" s="44">
        <f t="shared" si="0"/>
        <v>-2.2930763390803466E-2</v>
      </c>
      <c r="F26" s="44">
        <f t="shared" si="1"/>
        <v>-2.8235294117647136E-2</v>
      </c>
      <c r="H26" s="28">
        <f>SLOPE(E26:$E$125,F26:$F$125)</f>
        <v>0.11087760327268685</v>
      </c>
    </row>
    <row r="27" spans="1:8" x14ac:dyDescent="0.2">
      <c r="A27" s="41">
        <v>45100</v>
      </c>
      <c r="B27" s="40">
        <v>4348.3306709492599</v>
      </c>
      <c r="C27" s="40">
        <v>4.13</v>
      </c>
      <c r="E27" s="44">
        <f t="shared" si="0"/>
        <v>1.4089013606031875E-2</v>
      </c>
      <c r="F27" s="44">
        <f t="shared" si="1"/>
        <v>-7.2639225181598821E-3</v>
      </c>
      <c r="H27" s="28">
        <f>SLOPE(E27:$E$125,F27:$F$125)</f>
        <v>0.11007146321209423</v>
      </c>
    </row>
    <row r="28" spans="1:8" x14ac:dyDescent="0.2">
      <c r="A28" s="39">
        <v>45093</v>
      </c>
      <c r="B28" s="38">
        <v>4409.5943609357901</v>
      </c>
      <c r="C28" s="38">
        <v>4.0999999999999996</v>
      </c>
      <c r="E28" s="44">
        <f t="shared" si="0"/>
        <v>-2.5112751428983948E-2</v>
      </c>
      <c r="F28" s="44">
        <f t="shared" si="1"/>
        <v>2.4390243902441266E-3</v>
      </c>
      <c r="H28" s="28">
        <f>SLOPE(E28:$E$125,F28:$F$125)</f>
        <v>0.1105348808193862</v>
      </c>
    </row>
    <row r="29" spans="1:8" x14ac:dyDescent="0.2">
      <c r="A29" s="41">
        <v>45086</v>
      </c>
      <c r="B29" s="40">
        <v>4298.8573138469601</v>
      </c>
      <c r="C29" s="40">
        <v>4.1100000000000003</v>
      </c>
      <c r="E29" s="44">
        <f t="shared" si="0"/>
        <v>-3.836308037233338E-3</v>
      </c>
      <c r="F29" s="44">
        <f t="shared" si="1"/>
        <v>-6.8126520681265235E-2</v>
      </c>
      <c r="H29" s="28">
        <f>SLOPE(E29:$E$125,F29:$F$125)</f>
        <v>0.11010000731402317</v>
      </c>
    </row>
    <row r="30" spans="1:8" x14ac:dyDescent="0.2">
      <c r="A30" s="39">
        <v>45079</v>
      </c>
      <c r="B30" s="38">
        <v>4282.3655729829297</v>
      </c>
      <c r="C30" s="38">
        <v>3.83</v>
      </c>
      <c r="E30" s="44">
        <f t="shared" si="0"/>
        <v>-1.7960410935097926E-2</v>
      </c>
      <c r="F30" s="44">
        <f t="shared" si="1"/>
        <v>-9.9216710182767565E-2</v>
      </c>
      <c r="H30" s="28">
        <f>SLOPE(E30:$E$125,F30:$F$125)</f>
        <v>0.11057503154390955</v>
      </c>
    </row>
    <row r="31" spans="1:8" x14ac:dyDescent="0.2">
      <c r="A31" s="41">
        <v>45072</v>
      </c>
      <c r="B31" s="40">
        <v>4205.4525275178403</v>
      </c>
      <c r="C31" s="40">
        <v>3.45</v>
      </c>
      <c r="E31" s="44">
        <f t="shared" si="0"/>
        <v>-3.2036361430411997E-3</v>
      </c>
      <c r="F31" s="44">
        <f t="shared" si="1"/>
        <v>-1.1594202898550732E-2</v>
      </c>
      <c r="H31" s="28">
        <f>SLOPE(E31:$E$125,F31:$F$125)</f>
        <v>0.11000852271878256</v>
      </c>
    </row>
    <row r="32" spans="1:8" x14ac:dyDescent="0.2">
      <c r="A32" s="39">
        <v>45065</v>
      </c>
      <c r="B32" s="38">
        <v>4191.9797878028403</v>
      </c>
      <c r="C32" s="38">
        <v>3.41</v>
      </c>
      <c r="E32" s="44">
        <f t="shared" si="0"/>
        <v>-1.6197302878334874E-2</v>
      </c>
      <c r="F32" s="44">
        <f t="shared" si="1"/>
        <v>3.8123167155425186E-2</v>
      </c>
      <c r="H32" s="28">
        <f>SLOPE(E32:$E$125,F32:$F$125)</f>
        <v>0.11001092862898952</v>
      </c>
    </row>
    <row r="33" spans="1:8" x14ac:dyDescent="0.2">
      <c r="A33" s="41">
        <v>45058</v>
      </c>
      <c r="B33" s="40">
        <v>4124.0810215199399</v>
      </c>
      <c r="C33" s="40">
        <v>3.54</v>
      </c>
      <c r="E33" s="44">
        <f t="shared" si="0"/>
        <v>2.9515261593366926E-3</v>
      </c>
      <c r="F33" s="44">
        <f t="shared" si="1"/>
        <v>-0.18361581920903947</v>
      </c>
      <c r="H33" s="28">
        <f>SLOPE(E33:$E$125,F33:$F$125)</f>
        <v>0.11022049472363396</v>
      </c>
    </row>
    <row r="34" spans="1:8" x14ac:dyDescent="0.2">
      <c r="A34" s="39">
        <v>45051</v>
      </c>
      <c r="B34" s="38">
        <v>4136.2533545381802</v>
      </c>
      <c r="C34" s="38">
        <v>2.89</v>
      </c>
      <c r="E34" s="44">
        <f t="shared" si="0"/>
        <v>8.0333681836348703E-3</v>
      </c>
      <c r="F34" s="44">
        <f t="shared" si="1"/>
        <v>5.1903114186851118E-2</v>
      </c>
      <c r="H34" s="28">
        <f>SLOPE(E34:$E$125,F34:$F$125)</f>
        <v>0.11531452408226525</v>
      </c>
    </row>
    <row r="35" spans="1:8" x14ac:dyDescent="0.2">
      <c r="A35" s="41">
        <v>45044</v>
      </c>
      <c r="B35" s="40">
        <v>4169.4814006359802</v>
      </c>
      <c r="C35" s="40">
        <v>3.04</v>
      </c>
      <c r="E35" s="44">
        <f t="shared" si="0"/>
        <v>-8.6245930314872155E-3</v>
      </c>
      <c r="F35" s="44">
        <f t="shared" si="1"/>
        <v>3.9473684210526327E-2</v>
      </c>
      <c r="H35" s="28">
        <f>SLOPE(E35:$E$125,F35:$F$125)</f>
        <v>0.11521539665761446</v>
      </c>
    </row>
    <row r="36" spans="1:8" x14ac:dyDescent="0.2">
      <c r="A36" s="39">
        <v>45037</v>
      </c>
      <c r="B36" s="38">
        <v>4133.5213204031397</v>
      </c>
      <c r="C36" s="38">
        <v>3.16</v>
      </c>
      <c r="E36" s="44">
        <f t="shared" si="0"/>
        <v>9.9610332556077097E-4</v>
      </c>
      <c r="F36" s="44">
        <f t="shared" si="1"/>
        <v>0.16772151898734178</v>
      </c>
      <c r="H36" s="28">
        <f>SLOPE(E36:$E$125,F36:$F$125)</f>
        <v>0.11533946085482888</v>
      </c>
    </row>
    <row r="37" spans="1:8" x14ac:dyDescent="0.2">
      <c r="A37" s="41">
        <v>45030</v>
      </c>
      <c r="B37" s="40">
        <v>4137.6387347366699</v>
      </c>
      <c r="C37" s="40">
        <v>3.69</v>
      </c>
      <c r="E37" s="44">
        <f t="shared" ref="E37:E68" si="2">B38/B37-1</f>
        <v>-7.8837216419321843E-3</v>
      </c>
      <c r="F37" s="44">
        <f t="shared" si="1"/>
        <v>-6.2330623306233068E-2</v>
      </c>
      <c r="H37" s="28">
        <f>SLOPE(E37:$E$125,F37:$F$125)</f>
        <v>0.11759322317608266</v>
      </c>
    </row>
    <row r="38" spans="1:8" x14ac:dyDescent="0.2">
      <c r="A38" s="39">
        <v>45022</v>
      </c>
      <c r="B38" s="38">
        <v>4105.0187426971297</v>
      </c>
      <c r="C38" s="38">
        <v>3.46</v>
      </c>
      <c r="E38" s="44">
        <f t="shared" si="2"/>
        <v>1.0459640243978274E-3</v>
      </c>
      <c r="F38" s="44">
        <f t="shared" si="1"/>
        <v>0.18786127167630062</v>
      </c>
      <c r="H38" s="28">
        <f>SLOPE(E38:$E$125,F38:$F$125)</f>
        <v>0.11772333925848459</v>
      </c>
    </row>
    <row r="39" spans="1:8" x14ac:dyDescent="0.2">
      <c r="A39" s="41">
        <v>45016</v>
      </c>
      <c r="B39" s="40">
        <v>4109.3124446214697</v>
      </c>
      <c r="C39" s="40">
        <v>4.1100000000000003</v>
      </c>
      <c r="E39" s="44">
        <f t="shared" si="2"/>
        <v>-3.3661600226405186E-2</v>
      </c>
      <c r="F39" s="44">
        <f t="shared" si="1"/>
        <v>-7.2992700729927029E-2</v>
      </c>
      <c r="H39" s="28">
        <f>SLOPE(E39:$E$125,F39:$F$125)</f>
        <v>0.12086716741217696</v>
      </c>
    </row>
    <row r="40" spans="1:8" x14ac:dyDescent="0.2">
      <c r="A40" s="39">
        <v>45009</v>
      </c>
      <c r="B40" s="38">
        <v>3970.9864119052299</v>
      </c>
      <c r="C40" s="38">
        <v>3.81</v>
      </c>
      <c r="E40" s="44">
        <f t="shared" si="2"/>
        <v>-1.3686567369041724E-2</v>
      </c>
      <c r="F40" s="44">
        <f t="shared" si="1"/>
        <v>-3.937007874015741E-2</v>
      </c>
      <c r="H40" s="28">
        <f>SLOPE(E40:$E$125,F40:$F$125)</f>
        <v>0.11852769393844823</v>
      </c>
    </row>
    <row r="41" spans="1:8" x14ac:dyDescent="0.2">
      <c r="A41" s="41">
        <v>45002</v>
      </c>
      <c r="B41" s="40">
        <v>3916.6372388571399</v>
      </c>
      <c r="C41" s="40">
        <v>3.66</v>
      </c>
      <c r="E41" s="44">
        <f t="shared" si="2"/>
        <v>-1.4054743166265871E-2</v>
      </c>
      <c r="F41" s="44">
        <f t="shared" si="1"/>
        <v>-2.732240437158473E-2</v>
      </c>
      <c r="H41" s="28">
        <f>SLOPE(E41:$E$125,F41:$F$125)</f>
        <v>0.11801705148023613</v>
      </c>
    </row>
    <row r="42" spans="1:8" x14ac:dyDescent="0.2">
      <c r="A42" s="39">
        <v>44995</v>
      </c>
      <c r="B42" s="38">
        <v>3861.5899083895702</v>
      </c>
      <c r="C42" s="38">
        <v>3.56</v>
      </c>
      <c r="E42" s="44">
        <f t="shared" si="2"/>
        <v>4.7661130141316566E-2</v>
      </c>
      <c r="F42" s="44">
        <f t="shared" si="1"/>
        <v>0.12359550561797761</v>
      </c>
      <c r="H42" s="28">
        <f>SLOPE(E42:$E$125,F42:$F$125)</f>
        <v>0.11748357024233468</v>
      </c>
    </row>
    <row r="43" spans="1:8" x14ac:dyDescent="0.2">
      <c r="A43" s="41">
        <v>44988</v>
      </c>
      <c r="B43" s="40">
        <v>4045.6376475657198</v>
      </c>
      <c r="C43" s="40">
        <v>4</v>
      </c>
      <c r="E43" s="44">
        <f t="shared" si="2"/>
        <v>-1.8687010108270341E-2</v>
      </c>
      <c r="F43" s="44">
        <f t="shared" si="1"/>
        <v>-5.2499999999999991E-2</v>
      </c>
      <c r="H43" s="28">
        <f>SLOPE(E43:$E$125,F43:$F$125)</f>
        <v>0.11399252253593055</v>
      </c>
    </row>
    <row r="44" spans="1:8" x14ac:dyDescent="0.2">
      <c r="A44" s="39">
        <v>44981</v>
      </c>
      <c r="B44" s="38">
        <v>3970.0367759512601</v>
      </c>
      <c r="C44" s="38">
        <v>3.79</v>
      </c>
      <c r="E44" s="44">
        <f t="shared" si="2"/>
        <v>2.7470245858757458E-2</v>
      </c>
      <c r="F44" s="44">
        <f t="shared" si="1"/>
        <v>2.9023746701847042E-2</v>
      </c>
      <c r="H44" s="28">
        <f>SLOPE(E44:$E$125,F44:$F$125)</f>
        <v>0.11306336735373185</v>
      </c>
    </row>
    <row r="45" spans="1:8" x14ac:dyDescent="0.2">
      <c r="A45" s="41">
        <v>44974</v>
      </c>
      <c r="B45" s="40">
        <v>4079.09466225495</v>
      </c>
      <c r="C45" s="40">
        <v>3.9</v>
      </c>
      <c r="E45" s="44">
        <f t="shared" si="2"/>
        <v>2.7867219601827031E-3</v>
      </c>
      <c r="F45" s="44">
        <f t="shared" si="1"/>
        <v>1.025641025641022E-2</v>
      </c>
      <c r="H45" s="28">
        <f>SLOPE(E45:$E$125,F45:$F$125)</f>
        <v>0.11302518154300062</v>
      </c>
    </row>
    <row r="46" spans="1:8" x14ac:dyDescent="0.2">
      <c r="A46" s="39">
        <v>44967</v>
      </c>
      <c r="B46" s="38">
        <v>4090.4619649279198</v>
      </c>
      <c r="C46" s="38">
        <v>3.94</v>
      </c>
      <c r="E46" s="44">
        <f t="shared" si="2"/>
        <v>1.1250473808058326E-2</v>
      </c>
      <c r="F46" s="44">
        <f t="shared" si="1"/>
        <v>0.1091370558375635</v>
      </c>
      <c r="H46" s="28">
        <f>SLOPE(E46:$E$125,F46:$F$125)</f>
        <v>0.11308901132375675</v>
      </c>
    </row>
    <row r="47" spans="1:8" x14ac:dyDescent="0.2">
      <c r="A47" s="41">
        <v>44960</v>
      </c>
      <c r="B47" s="40">
        <v>4136.4816001272002</v>
      </c>
      <c r="C47" s="40">
        <v>4.37</v>
      </c>
      <c r="E47" s="44">
        <f t="shared" si="2"/>
        <v>-1.5937048546717292E-2</v>
      </c>
      <c r="F47" s="44">
        <f t="shared" si="1"/>
        <v>-0.20366132723112129</v>
      </c>
      <c r="H47" s="28">
        <f>SLOPE(E47:$E$125,F47:$F$125)</f>
        <v>0.11302096035589959</v>
      </c>
    </row>
    <row r="48" spans="1:8" x14ac:dyDescent="0.2">
      <c r="A48" s="39">
        <v>44953</v>
      </c>
      <c r="B48" s="38">
        <v>4070.5582920533702</v>
      </c>
      <c r="C48" s="38">
        <v>3.48</v>
      </c>
      <c r="E48" s="44">
        <f t="shared" si="2"/>
        <v>-2.406250744564109E-2</v>
      </c>
      <c r="F48" s="44">
        <f t="shared" si="1"/>
        <v>-0.14655172413793094</v>
      </c>
      <c r="H48" s="28">
        <f>SLOPE(E48:$E$125,F48:$F$125)</f>
        <v>0.11536980852385617</v>
      </c>
    </row>
    <row r="49" spans="1:8" x14ac:dyDescent="0.2">
      <c r="A49" s="41">
        <v>44946</v>
      </c>
      <c r="B49" s="40">
        <v>3972.61045284292</v>
      </c>
      <c r="C49" s="40">
        <v>2.97</v>
      </c>
      <c r="E49" s="44">
        <f t="shared" si="2"/>
        <v>6.6657386712984934E-3</v>
      </c>
      <c r="F49" s="44">
        <f t="shared" si="1"/>
        <v>-1.6835016835016869E-2</v>
      </c>
      <c r="H49" s="28">
        <f>SLOPE(E49:$E$125,F49:$F$125)</f>
        <v>0.11431159978582464</v>
      </c>
    </row>
    <row r="50" spans="1:8" x14ac:dyDescent="0.2">
      <c r="A50" s="39">
        <v>44939</v>
      </c>
      <c r="B50" s="38">
        <v>3999.09083596444</v>
      </c>
      <c r="C50" s="38">
        <v>2.92</v>
      </c>
      <c r="E50" s="44">
        <f t="shared" si="2"/>
        <v>-2.6009728820497124E-2</v>
      </c>
      <c r="F50" s="44">
        <f t="shared" si="1"/>
        <v>-6.8493150684931448E-2</v>
      </c>
      <c r="H50" s="28">
        <f>SLOPE(E50:$E$125,F50:$F$125)</f>
        <v>0.11492179882215792</v>
      </c>
    </row>
    <row r="51" spans="1:8" x14ac:dyDescent="0.2">
      <c r="A51" s="41">
        <v>44932</v>
      </c>
      <c r="B51" s="40">
        <v>3895.0755677924699</v>
      </c>
      <c r="C51" s="40">
        <v>2.72</v>
      </c>
      <c r="E51" s="44">
        <f t="shared" si="2"/>
        <v>-1.4269037955317421E-2</v>
      </c>
      <c r="F51" s="44">
        <f t="shared" si="1"/>
        <v>3.6764705882352811E-2</v>
      </c>
      <c r="H51" s="28">
        <f>SLOPE(E51:$E$125,F51:$F$125)</f>
        <v>0.11298149282728488</v>
      </c>
    </row>
    <row r="52" spans="1:8" x14ac:dyDescent="0.2">
      <c r="A52" s="39">
        <v>44925</v>
      </c>
      <c r="B52" s="38">
        <v>3839.4965866768098</v>
      </c>
      <c r="C52" s="38">
        <v>2.82</v>
      </c>
      <c r="E52" s="44">
        <f t="shared" si="2"/>
        <v>1.3851927120069885E-3</v>
      </c>
      <c r="F52" s="44">
        <f t="shared" si="1"/>
        <v>-5.6737588652482129E-2</v>
      </c>
      <c r="H52" s="28">
        <f>SLOPE(E52:$E$125,F52:$F$125)</f>
        <v>0.11303570625651112</v>
      </c>
    </row>
    <row r="53" spans="1:8" x14ac:dyDescent="0.2">
      <c r="A53" s="41">
        <v>44918</v>
      </c>
      <c r="B53" s="40">
        <v>3844.8150293664498</v>
      </c>
      <c r="C53" s="40">
        <v>2.66</v>
      </c>
      <c r="E53" s="44">
        <f t="shared" si="2"/>
        <v>1.9633099554710043E-3</v>
      </c>
      <c r="F53" s="44">
        <f t="shared" si="1"/>
        <v>8.6466165413533913E-2</v>
      </c>
      <c r="H53" s="28">
        <f>SLOPE(E53:$E$125,F53:$F$125)</f>
        <v>0.11406986297026385</v>
      </c>
    </row>
    <row r="54" spans="1:8" x14ac:dyDescent="0.2">
      <c r="A54" s="39">
        <v>44911</v>
      </c>
      <c r="B54" s="38">
        <v>3852.3635929905499</v>
      </c>
      <c r="C54" s="38">
        <v>2.89</v>
      </c>
      <c r="E54" s="44">
        <f t="shared" si="2"/>
        <v>2.1288977858427982E-2</v>
      </c>
      <c r="F54" s="44">
        <f t="shared" si="1"/>
        <v>9.6885813148788857E-2</v>
      </c>
      <c r="H54" s="28">
        <f>SLOPE(E54:$E$125,F54:$F$125)</f>
        <v>0.11444995533632545</v>
      </c>
    </row>
    <row r="55" spans="1:8" x14ac:dyDescent="0.2">
      <c r="A55" s="41">
        <v>44904</v>
      </c>
      <c r="B55" s="40">
        <v>3934.37647622434</v>
      </c>
      <c r="C55" s="40">
        <v>3.17</v>
      </c>
      <c r="E55" s="44">
        <f t="shared" si="2"/>
        <v>3.4903512152620442E-2</v>
      </c>
      <c r="F55" s="44">
        <f t="shared" si="1"/>
        <v>0.14511041009463721</v>
      </c>
      <c r="H55" s="28">
        <f>SLOPE(E55:$E$125,F55:$F$125)</f>
        <v>0.11354348307983451</v>
      </c>
    </row>
    <row r="56" spans="1:8" x14ac:dyDescent="0.2">
      <c r="A56" s="39">
        <v>44897</v>
      </c>
      <c r="B56" s="38">
        <v>4071.7000333752198</v>
      </c>
      <c r="C56" s="38">
        <v>3.63</v>
      </c>
      <c r="E56" s="44">
        <f t="shared" si="2"/>
        <v>-1.1195455095124651E-2</v>
      </c>
      <c r="F56" s="44">
        <f t="shared" si="1"/>
        <v>-7.4380165289256173E-2</v>
      </c>
      <c r="H56" s="28">
        <f>SLOPE(E56:$E$125,F56:$F$125)</f>
        <v>0.11074292219612931</v>
      </c>
    </row>
    <row r="57" spans="1:8" x14ac:dyDescent="0.2">
      <c r="A57" s="41">
        <v>44890</v>
      </c>
      <c r="B57" s="40">
        <v>4026.1154984907498</v>
      </c>
      <c r="C57" s="40">
        <v>3.36</v>
      </c>
      <c r="E57" s="44">
        <f t="shared" si="2"/>
        <v>-1.5095492870058624E-2</v>
      </c>
      <c r="F57" s="44">
        <f t="shared" si="1"/>
        <v>0.11011904761904767</v>
      </c>
      <c r="H57" s="28">
        <f>SLOPE(E57:$E$125,F57:$F$125)</f>
        <v>0.11062180931951823</v>
      </c>
    </row>
    <row r="58" spans="1:8" x14ac:dyDescent="0.2">
      <c r="A58" s="39">
        <v>44883</v>
      </c>
      <c r="B58" s="38">
        <v>3965.3393006892502</v>
      </c>
      <c r="C58" s="38">
        <v>3.73</v>
      </c>
      <c r="E58" s="44">
        <f t="shared" si="2"/>
        <v>6.9573966844058699E-3</v>
      </c>
      <c r="F58" s="44">
        <f t="shared" si="1"/>
        <v>6.7024128686327122E-2</v>
      </c>
      <c r="H58" s="28">
        <f>SLOPE(E58:$E$125,F58:$F$125)</f>
        <v>0.11306780540105825</v>
      </c>
    </row>
    <row r="59" spans="1:8" x14ac:dyDescent="0.2">
      <c r="A59" s="41">
        <v>44876</v>
      </c>
      <c r="B59" s="40">
        <v>3992.9277391924102</v>
      </c>
      <c r="C59" s="40">
        <v>3.98</v>
      </c>
      <c r="E59" s="44">
        <f t="shared" si="2"/>
        <v>-5.5693795578631744E-2</v>
      </c>
      <c r="F59" s="44">
        <f t="shared" si="1"/>
        <v>2.7638190954773822E-2</v>
      </c>
      <c r="H59" s="28">
        <f>SLOPE(E59:$E$125,F59:$F$125)</f>
        <v>0.11301857588572141</v>
      </c>
    </row>
    <row r="60" spans="1:8" x14ac:dyDescent="0.2">
      <c r="A60" s="39">
        <v>44869</v>
      </c>
      <c r="B60" s="38">
        <v>3770.54643792558</v>
      </c>
      <c r="C60" s="38">
        <v>4.09</v>
      </c>
      <c r="E60" s="44">
        <f t="shared" si="2"/>
        <v>3.4614971882618306E-2</v>
      </c>
      <c r="F60" s="44">
        <f t="shared" si="1"/>
        <v>-4.8899755501221609E-3</v>
      </c>
      <c r="H60" s="28">
        <f>SLOPE(E60:$E$125,F60:$F$125)</f>
        <v>0.11270565602965398</v>
      </c>
    </row>
    <row r="61" spans="1:8" x14ac:dyDescent="0.2">
      <c r="A61" s="41">
        <v>44862</v>
      </c>
      <c r="B61" s="40">
        <v>3901.0637968564802</v>
      </c>
      <c r="C61" s="40">
        <v>4.07</v>
      </c>
      <c r="E61" s="44">
        <f t="shared" si="2"/>
        <v>-3.8019358706905648E-2</v>
      </c>
      <c r="F61" s="44">
        <f t="shared" si="1"/>
        <v>-0.13267813267813278</v>
      </c>
      <c r="H61" s="28">
        <f>SLOPE(E61:$E$125,F61:$F$125)</f>
        <v>0.11439771845219525</v>
      </c>
    </row>
    <row r="62" spans="1:8" x14ac:dyDescent="0.2">
      <c r="A62" s="39">
        <v>44855</v>
      </c>
      <c r="B62" s="38">
        <v>3752.7478530252702</v>
      </c>
      <c r="C62" s="38">
        <v>3.53</v>
      </c>
      <c r="E62" s="44">
        <f t="shared" si="2"/>
        <v>-4.5214532045837807E-2</v>
      </c>
      <c r="F62" s="44">
        <f t="shared" si="1"/>
        <v>-0.2407932011331444</v>
      </c>
      <c r="H62" s="28">
        <f>SLOPE(E62:$E$125,F62:$F$125)</f>
        <v>0.10974958250535309</v>
      </c>
    </row>
    <row r="63" spans="1:8" x14ac:dyDescent="0.2">
      <c r="A63" s="41">
        <v>44848</v>
      </c>
      <c r="B63" s="40">
        <v>3583.06911496471</v>
      </c>
      <c r="C63" s="40">
        <v>2.68</v>
      </c>
      <c r="E63" s="44">
        <f t="shared" si="2"/>
        <v>1.5793976890026373E-2</v>
      </c>
      <c r="F63" s="44">
        <f t="shared" si="1"/>
        <v>0.1231343283582087</v>
      </c>
      <c r="H63" s="28">
        <f>SLOPE(E63:$E$125,F63:$F$125)</f>
        <v>0.10255797008526779</v>
      </c>
    </row>
    <row r="64" spans="1:8" x14ac:dyDescent="0.2">
      <c r="A64" s="39">
        <v>44841</v>
      </c>
      <c r="B64" s="38">
        <v>3639.6600257618302</v>
      </c>
      <c r="C64" s="38">
        <v>3.01</v>
      </c>
      <c r="E64" s="44">
        <f t="shared" si="2"/>
        <v>-1.4846420223504131E-2</v>
      </c>
      <c r="F64" s="44">
        <f t="shared" si="1"/>
        <v>-6.3122923588039836E-2</v>
      </c>
      <c r="H64" s="28">
        <f>SLOPE(E64:$E$125,F64:$F$125)</f>
        <v>0.10211303178401721</v>
      </c>
    </row>
    <row r="65" spans="1:8" x14ac:dyDescent="0.2">
      <c r="A65" s="41">
        <v>44834</v>
      </c>
      <c r="B65" s="40">
        <v>3585.6241035486801</v>
      </c>
      <c r="C65" s="40">
        <v>2.82</v>
      </c>
      <c r="E65" s="44">
        <f t="shared" si="2"/>
        <v>3.0011351605462311E-2</v>
      </c>
      <c r="F65" s="44">
        <f t="shared" si="1"/>
        <v>4.6099290780142077E-2</v>
      </c>
      <c r="H65" s="28">
        <f>SLOPE(E65:$E$125,F65:$F$125)</f>
        <v>0.10090493999802089</v>
      </c>
    </row>
    <row r="66" spans="1:8" x14ac:dyDescent="0.2">
      <c r="A66" s="39">
        <v>44827</v>
      </c>
      <c r="B66" s="38">
        <v>3693.2335292452999</v>
      </c>
      <c r="C66" s="38">
        <v>2.95</v>
      </c>
      <c r="E66" s="44">
        <f t="shared" si="2"/>
        <v>4.8765056980126342E-2</v>
      </c>
      <c r="F66" s="44">
        <f t="shared" si="1"/>
        <v>4.4067796610169463E-2</v>
      </c>
      <c r="H66" s="28">
        <f>SLOPE(E66:$E$125,F66:$F$125)</f>
        <v>0.10066456482676878</v>
      </c>
    </row>
    <row r="67" spans="1:8" x14ac:dyDescent="0.2">
      <c r="A67" s="41">
        <v>44820</v>
      </c>
      <c r="B67" s="40">
        <v>3873.3342727398599</v>
      </c>
      <c r="C67" s="40">
        <v>3.08</v>
      </c>
      <c r="E67" s="44">
        <f t="shared" si="2"/>
        <v>5.0093288674163849E-2</v>
      </c>
      <c r="F67" s="44">
        <f t="shared" si="1"/>
        <v>7.7922077922077948E-2</v>
      </c>
      <c r="H67" s="28">
        <f>SLOPE(E67:$E$125,F67:$F$125)</f>
        <v>0.10037302743484004</v>
      </c>
    </row>
    <row r="68" spans="1:8" x14ac:dyDescent="0.2">
      <c r="A68" s="39">
        <v>44813</v>
      </c>
      <c r="B68" s="38">
        <v>4067.3623245957501</v>
      </c>
      <c r="C68" s="38">
        <v>3.32</v>
      </c>
      <c r="E68" s="44">
        <f t="shared" si="2"/>
        <v>-3.5183180853702978E-2</v>
      </c>
      <c r="F68" s="44">
        <f t="shared" si="1"/>
        <v>-0.21686746987951799</v>
      </c>
      <c r="H68" s="28">
        <f>SLOPE(E68:$E$125,F68:$F$125)</f>
        <v>9.7851193278817777E-2</v>
      </c>
    </row>
    <row r="69" spans="1:8" x14ac:dyDescent="0.2">
      <c r="A69" s="41">
        <v>44806</v>
      </c>
      <c r="B69" s="40">
        <v>3924.25958033196</v>
      </c>
      <c r="C69" s="40">
        <v>2.6</v>
      </c>
      <c r="E69" s="44">
        <f t="shared" ref="E69:E100" si="3">B70/B69-1</f>
        <v>3.3994563311475767E-2</v>
      </c>
      <c r="F69" s="44">
        <f t="shared" ref="F69:F125" si="4">C70/C69-1</f>
        <v>9.2307692307692202E-2</v>
      </c>
      <c r="H69" s="28">
        <f>SLOPE(E69:$E$125,F69:$F$125)</f>
        <v>9.2777211593599501E-2</v>
      </c>
    </row>
    <row r="70" spans="1:8" x14ac:dyDescent="0.2">
      <c r="A70" s="39">
        <v>44799</v>
      </c>
      <c r="B70" s="38">
        <v>4057.66307108622</v>
      </c>
      <c r="C70" s="38">
        <v>2.84</v>
      </c>
      <c r="E70" s="44">
        <f t="shared" si="3"/>
        <v>4.2096993790904813E-2</v>
      </c>
      <c r="F70" s="44">
        <f t="shared" si="4"/>
        <v>0.11267605633802824</v>
      </c>
      <c r="H70" s="28">
        <f>SLOPE(E70:$E$125,F70:$F$125)</f>
        <v>9.055262509999687E-2</v>
      </c>
    </row>
    <row r="71" spans="1:8" x14ac:dyDescent="0.2">
      <c r="A71" s="41">
        <v>44792</v>
      </c>
      <c r="B71" s="40">
        <v>4228.4784881953201</v>
      </c>
      <c r="C71" s="40">
        <v>3.16</v>
      </c>
      <c r="E71" s="44">
        <f t="shared" si="3"/>
        <v>1.2220007731419846E-2</v>
      </c>
      <c r="F71" s="44">
        <f t="shared" si="4"/>
        <v>0.14873417721518978</v>
      </c>
      <c r="H71" s="28">
        <f>SLOPE(E71:$E$125,F71:$F$125)</f>
        <v>8.6518140544606562E-2</v>
      </c>
    </row>
    <row r="72" spans="1:8" x14ac:dyDescent="0.2">
      <c r="A72" s="39">
        <v>44785</v>
      </c>
      <c r="B72" s="38">
        <v>4280.1505280132096</v>
      </c>
      <c r="C72" s="38">
        <v>3.63</v>
      </c>
      <c r="E72" s="44">
        <f t="shared" si="3"/>
        <v>-3.1531940220639099E-2</v>
      </c>
      <c r="F72" s="44">
        <f t="shared" si="4"/>
        <v>-6.3360881542699699E-2</v>
      </c>
      <c r="H72" s="28">
        <f>SLOPE(E72:$E$125,F72:$F$125)</f>
        <v>8.6168496586368645E-2</v>
      </c>
    </row>
    <row r="73" spans="1:8" x14ac:dyDescent="0.2">
      <c r="A73" s="41">
        <v>44778</v>
      </c>
      <c r="B73" s="40">
        <v>4145.1890774285603</v>
      </c>
      <c r="C73" s="40">
        <v>3.4</v>
      </c>
      <c r="E73" s="44">
        <f t="shared" si="3"/>
        <v>-3.5953254076037666E-3</v>
      </c>
      <c r="F73" s="44">
        <f t="shared" si="4"/>
        <v>-9.7058823529411753E-2</v>
      </c>
      <c r="H73" s="28">
        <f>SLOPE(E73:$E$125,F73:$F$125)</f>
        <v>8.1907462398936703E-2</v>
      </c>
    </row>
    <row r="74" spans="1:8" x14ac:dyDescent="0.2">
      <c r="A74" s="39">
        <v>44771</v>
      </c>
      <c r="B74" s="38">
        <v>4130.2857738191597</v>
      </c>
      <c r="C74" s="38">
        <v>3.07</v>
      </c>
      <c r="E74" s="44">
        <f t="shared" si="3"/>
        <v>-4.0832741803234263E-2</v>
      </c>
      <c r="F74" s="44">
        <f t="shared" si="4"/>
        <v>0.14983713355048867</v>
      </c>
      <c r="H74" s="28">
        <f>SLOPE(E74:$E$125,F74:$F$125)</f>
        <v>8.3495426778959034E-2</v>
      </c>
    </row>
    <row r="75" spans="1:8" x14ac:dyDescent="0.2">
      <c r="A75" s="41">
        <v>44764</v>
      </c>
      <c r="B75" s="40">
        <v>3961.6348812432302</v>
      </c>
      <c r="C75" s="40">
        <v>3.53</v>
      </c>
      <c r="E75" s="44">
        <f t="shared" si="3"/>
        <v>-2.4856418390668988E-2</v>
      </c>
      <c r="F75" s="44">
        <f t="shared" si="4"/>
        <v>0.12464589235127499</v>
      </c>
      <c r="H75" s="28">
        <f>SLOPE(E75:$E$125,F75:$F$125)</f>
        <v>9.3602293012503349E-2</v>
      </c>
    </row>
    <row r="76" spans="1:8" x14ac:dyDescent="0.2">
      <c r="A76" s="39">
        <v>44757</v>
      </c>
      <c r="B76" s="38">
        <v>3863.1628271239802</v>
      </c>
      <c r="C76" s="38">
        <v>3.97</v>
      </c>
      <c r="E76" s="44">
        <f t="shared" si="3"/>
        <v>9.3742671722201187E-3</v>
      </c>
      <c r="F76" s="44">
        <f t="shared" si="4"/>
        <v>0.1183879093198994</v>
      </c>
      <c r="H76" s="28">
        <f>SLOPE(E76:$E$125,F76:$F$125)</f>
        <v>9.9069265413436469E-2</v>
      </c>
    </row>
    <row r="77" spans="1:8" x14ac:dyDescent="0.2">
      <c r="A77" s="41">
        <v>44750</v>
      </c>
      <c r="B77" s="40">
        <v>3899.3771475952299</v>
      </c>
      <c r="C77" s="40">
        <v>4.4400000000000004</v>
      </c>
      <c r="E77" s="44">
        <f t="shared" si="3"/>
        <v>-1.8990479613929523E-2</v>
      </c>
      <c r="F77" s="44">
        <f t="shared" si="4"/>
        <v>1.3513513513513375E-2</v>
      </c>
      <c r="H77" s="28">
        <f>SLOPE(E77:$E$125,F77:$F$125)</f>
        <v>9.9262270331196903E-2</v>
      </c>
    </row>
    <row r="78" spans="1:8" x14ac:dyDescent="0.2">
      <c r="A78" s="39">
        <v>44743</v>
      </c>
      <c r="B78" s="38">
        <v>3825.3261053668002</v>
      </c>
      <c r="C78" s="38">
        <v>4.5</v>
      </c>
      <c r="E78" s="44">
        <f t="shared" si="3"/>
        <v>2.259094874940426E-2</v>
      </c>
      <c r="F78" s="44">
        <f t="shared" si="4"/>
        <v>0.15777777777777779</v>
      </c>
      <c r="H78" s="28">
        <f>SLOPE(E78:$E$125,F78:$F$125)</f>
        <v>9.833321088739487E-2</v>
      </c>
    </row>
    <row r="79" spans="1:8" x14ac:dyDescent="0.2">
      <c r="A79" s="41">
        <v>44736</v>
      </c>
      <c r="B79" s="40">
        <v>3911.7438513628999</v>
      </c>
      <c r="C79" s="40">
        <v>5.21</v>
      </c>
      <c r="E79" s="44">
        <f t="shared" si="3"/>
        <v>-6.0561862003147393E-2</v>
      </c>
      <c r="F79" s="44">
        <f t="shared" si="4"/>
        <v>-0.20537428023032633</v>
      </c>
      <c r="H79" s="28">
        <f>SLOPE(E79:$E$125,F79:$F$125)</f>
        <v>9.6539827896856528E-2</v>
      </c>
    </row>
    <row r="80" spans="1:8" x14ac:dyDescent="0.2">
      <c r="A80" s="39">
        <v>44729</v>
      </c>
      <c r="B80" s="38">
        <v>3674.8413600449999</v>
      </c>
      <c r="C80" s="38">
        <v>4.1399999999999997</v>
      </c>
      <c r="E80" s="44">
        <f t="shared" si="3"/>
        <v>6.1505543666086959E-2</v>
      </c>
      <c r="F80" s="44">
        <f t="shared" si="4"/>
        <v>4.8309178743961345E-2</v>
      </c>
      <c r="H80" s="28">
        <f>SLOPE(E80:$E$125,F80:$F$125)</f>
        <v>7.4964630214448713E-2</v>
      </c>
    </row>
    <row r="81" spans="1:8" x14ac:dyDescent="0.2">
      <c r="A81" s="41">
        <v>44722</v>
      </c>
      <c r="B81" s="40">
        <v>3900.8644757811899</v>
      </c>
      <c r="C81" s="40">
        <v>4.34</v>
      </c>
      <c r="E81" s="44">
        <f t="shared" si="3"/>
        <v>5.3237156426284571E-2</v>
      </c>
      <c r="F81" s="44">
        <f t="shared" si="4"/>
        <v>0.11981566820276512</v>
      </c>
      <c r="H81" s="28">
        <f>SLOPE(E81:$E$125,F81:$F$125)</f>
        <v>7.4157069305660794E-2</v>
      </c>
    </row>
    <row r="82" spans="1:8" x14ac:dyDescent="0.2">
      <c r="A82" s="39">
        <v>44715</v>
      </c>
      <c r="B82" s="38">
        <v>4108.5354080760899</v>
      </c>
      <c r="C82" s="38">
        <v>4.8600000000000003</v>
      </c>
      <c r="E82" s="44">
        <f t="shared" si="3"/>
        <v>1.2097486876661678E-2</v>
      </c>
      <c r="F82" s="44">
        <f t="shared" si="4"/>
        <v>-4.3209876543209846E-2</v>
      </c>
      <c r="H82" s="28">
        <f>SLOPE(E82:$E$125,F82:$F$125)</f>
        <v>6.6309347567334961E-2</v>
      </c>
    </row>
    <row r="83" spans="1:8" x14ac:dyDescent="0.2">
      <c r="A83" s="41">
        <v>44708</v>
      </c>
      <c r="B83" s="40">
        <v>4158.2383612575904</v>
      </c>
      <c r="C83" s="40">
        <v>4.6500000000000004</v>
      </c>
      <c r="E83" s="44">
        <f t="shared" si="3"/>
        <v>-6.1775627779940945E-2</v>
      </c>
      <c r="F83" s="44">
        <f t="shared" si="4"/>
        <v>4.3010752688171783E-2</v>
      </c>
      <c r="H83" s="28">
        <f>SLOPE(E83:$E$125,F83:$F$125)</f>
        <v>6.9332713264801782E-2</v>
      </c>
    </row>
    <row r="84" spans="1:8" x14ac:dyDescent="0.2">
      <c r="A84" s="39">
        <v>44701</v>
      </c>
      <c r="B84" s="38">
        <v>3901.3605760322698</v>
      </c>
      <c r="C84" s="38">
        <v>4.8499999999999996</v>
      </c>
      <c r="E84" s="44">
        <f t="shared" si="3"/>
        <v>3.1407169819413383E-2</v>
      </c>
      <c r="F84" s="44">
        <f t="shared" si="4"/>
        <v>0.18350515463917549</v>
      </c>
      <c r="H84" s="28">
        <f>SLOPE(E84:$E$125,F84:$F$125)</f>
        <v>6.9487400491907159E-2</v>
      </c>
    </row>
    <row r="85" spans="1:8" x14ac:dyDescent="0.2">
      <c r="A85" s="41">
        <v>44694</v>
      </c>
      <c r="B85" s="40">
        <v>4023.8912701704799</v>
      </c>
      <c r="C85" s="40">
        <v>5.74</v>
      </c>
      <c r="E85" s="44">
        <f t="shared" si="3"/>
        <v>2.471348584481925E-2</v>
      </c>
      <c r="F85" s="44">
        <f t="shared" si="4"/>
        <v>-7.4912891986062768E-2</v>
      </c>
      <c r="H85" s="28">
        <f>SLOPE(E85:$E$125,F85:$F$125)</f>
        <v>6.3173311395489942E-2</v>
      </c>
    </row>
    <row r="86" spans="1:8" x14ac:dyDescent="0.2">
      <c r="A86" s="39">
        <v>44687</v>
      </c>
      <c r="B86" s="38">
        <v>4123.3356501169301</v>
      </c>
      <c r="C86" s="38">
        <v>5.31</v>
      </c>
      <c r="E86" s="44">
        <f t="shared" si="3"/>
        <v>2.083449175530161E-3</v>
      </c>
      <c r="F86" s="44">
        <f t="shared" si="4"/>
        <v>0.12806026365348422</v>
      </c>
      <c r="H86" s="28">
        <f>SLOPE(E86:$E$125,F86:$F$125)</f>
        <v>7.1498782228309146E-2</v>
      </c>
    </row>
    <row r="87" spans="1:8" x14ac:dyDescent="0.2">
      <c r="A87" s="41">
        <v>44680</v>
      </c>
      <c r="B87" s="40">
        <v>4131.9264103776004</v>
      </c>
      <c r="C87" s="40">
        <v>5.99</v>
      </c>
      <c r="E87" s="44">
        <f t="shared" si="3"/>
        <v>3.3846006690353869E-2</v>
      </c>
      <c r="F87" s="44">
        <f t="shared" si="4"/>
        <v>8.0133555926544142E-2</v>
      </c>
      <c r="H87" s="28">
        <f>SLOPE(E87:$E$125,F87:$F$125)</f>
        <v>7.2806237880714164E-2</v>
      </c>
    </row>
    <row r="88" spans="1:8" x14ac:dyDescent="0.2">
      <c r="A88" s="39">
        <v>44673</v>
      </c>
      <c r="B88" s="38">
        <v>4271.7756193072901</v>
      </c>
      <c r="C88" s="38">
        <v>6.47</v>
      </c>
      <c r="E88" s="44">
        <f t="shared" si="3"/>
        <v>2.8281458093543543E-2</v>
      </c>
      <c r="F88" s="44">
        <f t="shared" si="4"/>
        <v>0.12828438948995369</v>
      </c>
      <c r="H88" s="28">
        <f>SLOPE(E88:$E$125,F88:$F$125)</f>
        <v>6.9764625380071887E-2</v>
      </c>
    </row>
    <row r="89" spans="1:8" x14ac:dyDescent="0.2">
      <c r="A89" s="41">
        <v>44665</v>
      </c>
      <c r="B89" s="40">
        <v>4392.5876624697503</v>
      </c>
      <c r="C89" s="40">
        <v>7.3</v>
      </c>
      <c r="E89" s="44">
        <f t="shared" si="3"/>
        <v>2.1785356686069068E-2</v>
      </c>
      <c r="F89" s="44">
        <f t="shared" si="4"/>
        <v>-2.6027397260273921E-2</v>
      </c>
      <c r="H89" s="28">
        <f>SLOPE(E89:$E$125,F89:$F$125)</f>
        <v>6.4818770592193486E-2</v>
      </c>
    </row>
    <row r="90" spans="1:8" x14ac:dyDescent="0.2">
      <c r="A90" s="39">
        <v>44659</v>
      </c>
      <c r="B90" s="38">
        <v>4488.2817514714798</v>
      </c>
      <c r="C90" s="38">
        <v>7.11</v>
      </c>
      <c r="E90" s="44">
        <f t="shared" si="3"/>
        <v>1.2827578372675674E-2</v>
      </c>
      <c r="F90" s="44">
        <f t="shared" si="4"/>
        <v>4.3600562587904346E-2</v>
      </c>
      <c r="H90" s="28">
        <f>SLOPE(E90:$E$125,F90:$F$125)</f>
        <v>6.8964364053027791E-2</v>
      </c>
    </row>
    <row r="91" spans="1:8" x14ac:dyDescent="0.2">
      <c r="A91" s="41">
        <v>44652</v>
      </c>
      <c r="B91" s="40">
        <v>4545.8555373971303</v>
      </c>
      <c r="C91" s="40">
        <v>7.42</v>
      </c>
      <c r="E91" s="44">
        <f t="shared" si="3"/>
        <v>-6.1576057272660911E-4</v>
      </c>
      <c r="F91" s="44">
        <f t="shared" si="4"/>
        <v>-2.8301886792452824E-2</v>
      </c>
      <c r="H91" s="28">
        <f>SLOPE(E91:$E$125,F91:$F$125)</f>
        <v>6.8751386741247117E-2</v>
      </c>
    </row>
    <row r="92" spans="1:8" x14ac:dyDescent="0.2">
      <c r="A92" s="39">
        <v>44645</v>
      </c>
      <c r="B92" s="38">
        <v>4543.05637878789</v>
      </c>
      <c r="C92" s="38">
        <v>7.21</v>
      </c>
      <c r="E92" s="44">
        <f t="shared" si="3"/>
        <v>-1.7595816921430862E-2</v>
      </c>
      <c r="F92" s="44">
        <f t="shared" si="4"/>
        <v>0.32593619972260757</v>
      </c>
      <c r="H92" s="28">
        <f>SLOPE(E92:$E$125,F92:$F$125)</f>
        <v>6.9558849937707515E-2</v>
      </c>
    </row>
    <row r="93" spans="1:8" x14ac:dyDescent="0.2">
      <c r="A93" s="41">
        <v>44638</v>
      </c>
      <c r="B93" s="40">
        <v>4463.1175904829997</v>
      </c>
      <c r="C93" s="40">
        <v>9.56</v>
      </c>
      <c r="E93" s="44">
        <f t="shared" si="3"/>
        <v>-5.7987658765175198E-2</v>
      </c>
      <c r="F93" s="44">
        <f t="shared" si="4"/>
        <v>-0.10878661087866115</v>
      </c>
      <c r="H93" s="28">
        <f>SLOPE(E93:$E$125,F93:$F$125)</f>
        <v>0.10572693501487435</v>
      </c>
    </row>
    <row r="94" spans="1:8" x14ac:dyDescent="0.2">
      <c r="A94" s="39">
        <v>44631</v>
      </c>
      <c r="B94" s="38">
        <v>4204.3118506172204</v>
      </c>
      <c r="C94" s="38">
        <v>8.52</v>
      </c>
      <c r="E94" s="44">
        <f t="shared" si="3"/>
        <v>2.9626973513492638E-2</v>
      </c>
      <c r="F94" s="44">
        <f t="shared" si="4"/>
        <v>9.037558685446001E-2</v>
      </c>
      <c r="H94" s="28">
        <f>SLOPE(E94:$E$125,F94:$F$125)</f>
        <v>8.374317291893478E-2</v>
      </c>
    </row>
    <row r="95" spans="1:8" x14ac:dyDescent="0.2">
      <c r="A95" s="41">
        <v>44624</v>
      </c>
      <c r="B95" s="40">
        <v>4328.8728864579198</v>
      </c>
      <c r="C95" s="40">
        <v>9.2899999999999991</v>
      </c>
      <c r="E95" s="44">
        <f t="shared" si="3"/>
        <v>1.2885941926722433E-2</v>
      </c>
      <c r="F95" s="44">
        <f t="shared" si="4"/>
        <v>3.4445640473627526E-2</v>
      </c>
      <c r="H95" s="28">
        <f>SLOPE(E95:$E$125,F95:$F$125)</f>
        <v>7.8897534781332157E-2</v>
      </c>
    </row>
    <row r="96" spans="1:8" x14ac:dyDescent="0.2">
      <c r="A96" s="39">
        <v>44617</v>
      </c>
      <c r="B96" s="38">
        <v>4384.6544910809798</v>
      </c>
      <c r="C96" s="38">
        <v>9.61</v>
      </c>
      <c r="E96" s="44">
        <f t="shared" si="3"/>
        <v>-8.161485601680285E-3</v>
      </c>
      <c r="F96" s="44">
        <f t="shared" si="4"/>
        <v>-3.8501560874089402E-2</v>
      </c>
      <c r="H96" s="28">
        <f>SLOPE(E96:$E$125,F96:$F$125)</f>
        <v>7.8826527279547767E-2</v>
      </c>
    </row>
    <row r="97" spans="1:8" x14ac:dyDescent="0.2">
      <c r="A97" s="41">
        <v>44610</v>
      </c>
      <c r="B97" s="40">
        <v>4348.8691965836797</v>
      </c>
      <c r="C97" s="40">
        <v>9.24</v>
      </c>
      <c r="E97" s="44">
        <f t="shared" si="3"/>
        <v>1.6042634844818382E-2</v>
      </c>
      <c r="F97" s="44">
        <f t="shared" si="4"/>
        <v>5.5194805194805241E-2</v>
      </c>
      <c r="H97" s="28">
        <f>SLOPE(E97:$E$125,F97:$F$125)</f>
        <v>7.8070162790672845E-2</v>
      </c>
    </row>
    <row r="98" spans="1:8" x14ac:dyDescent="0.2">
      <c r="A98" s="39">
        <v>44603</v>
      </c>
      <c r="B98" s="38">
        <v>4418.63651709235</v>
      </c>
      <c r="C98" s="38">
        <v>9.75</v>
      </c>
      <c r="E98" s="44">
        <f t="shared" si="3"/>
        <v>1.85339843615695E-2</v>
      </c>
      <c r="F98" s="44">
        <f t="shared" si="4"/>
        <v>-1.9487179487179485E-2</v>
      </c>
      <c r="H98" s="28">
        <f>SLOPE(E98:$E$125,F98:$F$125)</f>
        <v>7.7012436030249029E-2</v>
      </c>
    </row>
    <row r="99" spans="1:8" x14ac:dyDescent="0.2">
      <c r="A99" s="41">
        <v>44596</v>
      </c>
      <c r="B99" s="40">
        <v>4500.5314571995996</v>
      </c>
      <c r="C99" s="40">
        <v>9.56</v>
      </c>
      <c r="E99" s="44">
        <f t="shared" si="3"/>
        <v>-1.526093947773588E-2</v>
      </c>
      <c r="F99" s="44">
        <f t="shared" si="4"/>
        <v>-1.778242677824271E-2</v>
      </c>
      <c r="H99" s="28">
        <f>SLOPE(E99:$E$125,F99:$F$125)</f>
        <v>8.1744905239552357E-2</v>
      </c>
    </row>
    <row r="100" spans="1:8" x14ac:dyDescent="0.2">
      <c r="A100" s="39">
        <v>44589</v>
      </c>
      <c r="B100" s="38">
        <v>4431.8491190136301</v>
      </c>
      <c r="C100" s="38">
        <v>9.39</v>
      </c>
      <c r="E100" s="44">
        <f t="shared" si="3"/>
        <v>-7.6514212408718141E-3</v>
      </c>
      <c r="F100" s="44">
        <f t="shared" si="4"/>
        <v>1.4909478168263934E-2</v>
      </c>
      <c r="H100" s="28">
        <f>SLOPE(E100:$E$125,F100:$F$125)</f>
        <v>7.9596584310475449E-2</v>
      </c>
    </row>
    <row r="101" spans="1:8" x14ac:dyDescent="0.2">
      <c r="A101" s="41">
        <v>44582</v>
      </c>
      <c r="B101" s="40">
        <v>4397.93917452807</v>
      </c>
      <c r="C101" s="40">
        <v>9.5299999999999994</v>
      </c>
      <c r="E101" s="44">
        <f t="shared" ref="E101:E125" si="5">B102/B101-1</f>
        <v>6.0236154657356655E-2</v>
      </c>
      <c r="F101" s="44">
        <f t="shared" si="4"/>
        <v>0.10703043022035685</v>
      </c>
      <c r="H101" s="28">
        <f>SLOPE(E101:$E$125,F101:$F$125)</f>
        <v>7.9073044530879544E-2</v>
      </c>
    </row>
    <row r="102" spans="1:8" x14ac:dyDescent="0.2">
      <c r="A102" s="39">
        <v>44575</v>
      </c>
      <c r="B102" s="38">
        <v>4662.85411881859</v>
      </c>
      <c r="C102" s="38">
        <v>10.55</v>
      </c>
      <c r="E102" s="44">
        <f t="shared" si="5"/>
        <v>3.0396700291668299E-3</v>
      </c>
      <c r="F102" s="44">
        <f t="shared" si="4"/>
        <v>2.180094786729847E-2</v>
      </c>
      <c r="H102" s="28">
        <f>SLOPE(E102:$E$125,F102:$F$125)</f>
        <v>6.4317835253794711E-2</v>
      </c>
    </row>
    <row r="103" spans="1:8" x14ac:dyDescent="0.2">
      <c r="A103" s="41">
        <v>44568</v>
      </c>
      <c r="B103" s="40">
        <v>4677.0276567339397</v>
      </c>
      <c r="C103" s="40">
        <v>10.78</v>
      </c>
      <c r="E103" s="44">
        <f t="shared" si="5"/>
        <v>1.906238796044013E-2</v>
      </c>
      <c r="F103" s="44">
        <f t="shared" si="4"/>
        <v>0.12801484230055671</v>
      </c>
      <c r="H103" s="28">
        <f>SLOPE(E103:$E$125,F103:$F$125)</f>
        <v>6.4699160398241182E-2</v>
      </c>
    </row>
    <row r="104" spans="1:8" x14ac:dyDescent="0.2">
      <c r="A104" s="39">
        <v>44561</v>
      </c>
      <c r="B104" s="38">
        <v>4766.1829724283098</v>
      </c>
      <c r="C104" s="38">
        <v>12.16</v>
      </c>
      <c r="E104" s="44">
        <f t="shared" si="5"/>
        <v>-8.4752789358523151E-3</v>
      </c>
      <c r="F104" s="44">
        <f t="shared" si="4"/>
        <v>3.9473684210526327E-2</v>
      </c>
      <c r="H104" s="28">
        <f>SLOPE(E104:$E$125,F104:$F$125)</f>
        <v>5.8765777676228335E-2</v>
      </c>
    </row>
    <row r="105" spans="1:8" x14ac:dyDescent="0.2">
      <c r="A105" s="41">
        <v>44553</v>
      </c>
      <c r="B105" s="40">
        <v>4725.7882422776702</v>
      </c>
      <c r="C105" s="40">
        <v>12.64</v>
      </c>
      <c r="E105" s="44">
        <f t="shared" si="5"/>
        <v>-2.225009916509324E-2</v>
      </c>
      <c r="F105" s="44">
        <f t="shared" si="4"/>
        <v>-7.9113924050633333E-4</v>
      </c>
      <c r="H105" s="28">
        <f>SLOPE(E105:$E$125,F105:$F$125)</f>
        <v>5.8900709283535149E-2</v>
      </c>
    </row>
    <row r="106" spans="1:8" x14ac:dyDescent="0.2">
      <c r="A106" s="39">
        <v>44547</v>
      </c>
      <c r="B106" s="38">
        <v>4620.6389852537604</v>
      </c>
      <c r="C106" s="38">
        <v>12.63</v>
      </c>
      <c r="E106" s="44">
        <f t="shared" si="5"/>
        <v>1.9777600282040009E-2</v>
      </c>
      <c r="F106" s="44">
        <f t="shared" si="4"/>
        <v>4.8297703879651488E-2</v>
      </c>
      <c r="H106" s="28">
        <f>SLOPE(E106:$E$125,F106:$F$125)</f>
        <v>5.649939616767366E-2</v>
      </c>
    </row>
    <row r="107" spans="1:8" x14ac:dyDescent="0.2">
      <c r="A107" s="41">
        <v>44540</v>
      </c>
      <c r="B107" s="40">
        <v>4712.0241361517201</v>
      </c>
      <c r="C107" s="40">
        <v>13.24</v>
      </c>
      <c r="E107" s="44">
        <f t="shared" si="5"/>
        <v>-3.6841125214813863E-2</v>
      </c>
      <c r="F107" s="44">
        <f t="shared" si="4"/>
        <v>-3.92749244712991E-2</v>
      </c>
      <c r="H107" s="28">
        <f>SLOPE(E107:$E$125,F107:$F$125)</f>
        <v>5.5279276626102145E-2</v>
      </c>
    </row>
    <row r="108" spans="1:8" x14ac:dyDescent="0.2">
      <c r="A108" s="39">
        <v>44533</v>
      </c>
      <c r="B108" s="38">
        <v>4538.4278649365297</v>
      </c>
      <c r="C108" s="38">
        <v>12.72</v>
      </c>
      <c r="E108" s="44">
        <f t="shared" si="5"/>
        <v>1.2381030226749301E-2</v>
      </c>
      <c r="F108" s="44">
        <f t="shared" si="4"/>
        <v>4.6383647798742045E-2</v>
      </c>
      <c r="H108" s="28">
        <f>SLOPE(E108:$E$125,F108:$F$125)</f>
        <v>4.6030618023246421E-2</v>
      </c>
    </row>
    <row r="109" spans="1:8" x14ac:dyDescent="0.2">
      <c r="A109" s="41">
        <v>44526</v>
      </c>
      <c r="B109" s="40">
        <v>4594.6182775142297</v>
      </c>
      <c r="C109" s="40">
        <v>13.31</v>
      </c>
      <c r="E109" s="44">
        <f t="shared" si="5"/>
        <v>2.2490840955050384E-2</v>
      </c>
      <c r="F109" s="44">
        <f t="shared" si="4"/>
        <v>9.8422238918106641E-2</v>
      </c>
      <c r="H109" s="28">
        <f>SLOPE(E109:$E$125,F109:$F$125)</f>
        <v>4.5538972121989631E-2</v>
      </c>
    </row>
    <row r="110" spans="1:8" x14ac:dyDescent="0.2">
      <c r="A110" s="39">
        <v>44519</v>
      </c>
      <c r="B110" s="38">
        <v>4697.9551064429697</v>
      </c>
      <c r="C110" s="38">
        <v>14.62</v>
      </c>
      <c r="E110" s="44">
        <f t="shared" si="5"/>
        <v>-3.2158056324294026E-3</v>
      </c>
      <c r="F110" s="44">
        <f t="shared" si="4"/>
        <v>0.34883720930232553</v>
      </c>
      <c r="H110" s="28">
        <f>SLOPE(E110:$E$125,F110:$F$125)</f>
        <v>3.9566304411159832E-2</v>
      </c>
    </row>
    <row r="111" spans="1:8" x14ac:dyDescent="0.2">
      <c r="A111" s="41">
        <v>44512</v>
      </c>
      <c r="B111" s="40">
        <v>4682.8473959507701</v>
      </c>
      <c r="C111" s="40">
        <v>19.72</v>
      </c>
      <c r="E111" s="44">
        <f t="shared" si="5"/>
        <v>3.1347187497832163E-3</v>
      </c>
      <c r="F111" s="44">
        <f t="shared" si="4"/>
        <v>7.5557809330628833E-2</v>
      </c>
      <c r="H111" s="28">
        <f>SLOPE(E111:$E$125,F111:$F$125)</f>
        <v>6.8480261984931359E-2</v>
      </c>
    </row>
    <row r="112" spans="1:8" x14ac:dyDescent="0.2">
      <c r="A112" s="39">
        <v>44505</v>
      </c>
      <c r="B112" s="38">
        <v>4697.5268054852304</v>
      </c>
      <c r="C112" s="38">
        <v>21.21</v>
      </c>
      <c r="E112" s="44">
        <f t="shared" si="5"/>
        <v>-1.9616739004028272E-2</v>
      </c>
      <c r="F112" s="44">
        <f t="shared" si="4"/>
        <v>-0.10938236680810942</v>
      </c>
      <c r="H112" s="28">
        <f>SLOPE(E112:$E$125,F112:$F$125)</f>
        <v>6.6946288849451724E-2</v>
      </c>
    </row>
    <row r="113" spans="1:8" x14ac:dyDescent="0.2">
      <c r="A113" s="41">
        <v>44498</v>
      </c>
      <c r="B113" s="40">
        <v>4605.3766481776001</v>
      </c>
      <c r="C113" s="40">
        <v>18.89</v>
      </c>
      <c r="E113" s="44">
        <f t="shared" si="5"/>
        <v>-1.3132127970426066E-2</v>
      </c>
      <c r="F113" s="44">
        <f t="shared" si="4"/>
        <v>9.9523557437797727E-2</v>
      </c>
      <c r="H113" s="28">
        <f>SLOPE(E113:$E$125,F113:$F$125)</f>
        <v>5.9190479527829812E-2</v>
      </c>
    </row>
    <row r="114" spans="1:8" x14ac:dyDescent="0.2">
      <c r="A114" s="39">
        <v>44491</v>
      </c>
      <c r="B114" s="38">
        <v>4544.8982526817199</v>
      </c>
      <c r="C114" s="38">
        <v>20.77</v>
      </c>
      <c r="E114" s="44">
        <f t="shared" si="5"/>
        <v>-1.6178535662611071E-2</v>
      </c>
      <c r="F114" s="44">
        <f t="shared" si="4"/>
        <v>-4.9590755897929717E-2</v>
      </c>
      <c r="H114" s="28">
        <f>SLOPE(E114:$E$125,F114:$F$125)</f>
        <v>7.1090216653958246E-2</v>
      </c>
    </row>
    <row r="115" spans="1:8" x14ac:dyDescent="0.2">
      <c r="A115" s="41">
        <v>44484</v>
      </c>
      <c r="B115" s="40">
        <v>4471.3684542177698</v>
      </c>
      <c r="C115" s="40">
        <v>19.739999999999998</v>
      </c>
      <c r="E115" s="44">
        <f t="shared" si="5"/>
        <v>-1.7898413622299048E-2</v>
      </c>
      <c r="F115" s="44">
        <f t="shared" si="4"/>
        <v>1.4184397163120588E-2</v>
      </c>
      <c r="H115" s="28">
        <f>SLOPE(E115:$E$125,F115:$F$125)</f>
        <v>6.5313190390634698E-2</v>
      </c>
    </row>
    <row r="116" spans="1:8" x14ac:dyDescent="0.2">
      <c r="A116" s="39">
        <v>44477</v>
      </c>
      <c r="B116" s="38">
        <v>4391.3380521664803</v>
      </c>
      <c r="C116" s="38">
        <v>20.02</v>
      </c>
      <c r="E116" s="44">
        <f t="shared" si="5"/>
        <v>-7.8106436855205352E-3</v>
      </c>
      <c r="F116" s="44">
        <f t="shared" si="4"/>
        <v>5.4945054945054972E-2</v>
      </c>
      <c r="H116" s="28">
        <f>SLOPE(E116:$E$125,F116:$F$125)</f>
        <v>6.500364620318945E-2</v>
      </c>
    </row>
    <row r="117" spans="1:8" x14ac:dyDescent="0.2">
      <c r="A117" s="41">
        <v>44470</v>
      </c>
      <c r="B117" s="40">
        <v>4357.0388753383404</v>
      </c>
      <c r="C117" s="40">
        <v>21.12</v>
      </c>
      <c r="E117" s="44">
        <f t="shared" si="5"/>
        <v>2.259310585961094E-2</v>
      </c>
      <c r="F117" s="44">
        <f t="shared" si="4"/>
        <v>7.6704545454545414E-2</v>
      </c>
      <c r="H117" s="28">
        <f>SLOPE(E117:$E$125,F117:$F$125)</f>
        <v>6.9403225479398076E-2</v>
      </c>
    </row>
    <row r="118" spans="1:8" x14ac:dyDescent="0.2">
      <c r="A118" s="39">
        <v>44463</v>
      </c>
      <c r="B118" s="38">
        <v>4455.4779158832998</v>
      </c>
      <c r="C118" s="38">
        <v>22.74</v>
      </c>
      <c r="E118" s="44">
        <f t="shared" si="5"/>
        <v>-5.0478167052749878E-3</v>
      </c>
      <c r="F118" s="44">
        <f t="shared" si="4"/>
        <v>-4.3535620052770341E-2</v>
      </c>
      <c r="H118" s="28">
        <f>SLOPE(E118:$E$125,F118:$F$125)</f>
        <v>5.670863055213346E-2</v>
      </c>
    </row>
    <row r="119" spans="1:8" x14ac:dyDescent="0.2">
      <c r="A119" s="41">
        <v>44456</v>
      </c>
      <c r="B119" s="40">
        <v>4432.9874800295202</v>
      </c>
      <c r="C119" s="40">
        <v>21.75</v>
      </c>
      <c r="E119" s="44">
        <f t="shared" si="5"/>
        <v>5.7731664301765573E-3</v>
      </c>
      <c r="F119" s="44">
        <f t="shared" si="4"/>
        <v>0.10436781609195411</v>
      </c>
      <c r="H119" s="28">
        <f>SLOPE(E119:$E$125,F119:$F$125)</f>
        <v>5.6304046214036535E-2</v>
      </c>
    </row>
    <row r="120" spans="1:8" x14ac:dyDescent="0.2">
      <c r="A120" s="39">
        <v>44449</v>
      </c>
      <c r="B120" s="38">
        <v>4458.5798545346197</v>
      </c>
      <c r="C120" s="38">
        <v>24.02</v>
      </c>
      <c r="E120" s="44">
        <f t="shared" si="5"/>
        <v>1.7237055958259084E-2</v>
      </c>
      <c r="F120" s="44">
        <f t="shared" si="4"/>
        <v>0.11032472939217319</v>
      </c>
      <c r="H120" s="28">
        <f>SLOPE(E120:$E$125,F120:$F$125)</f>
        <v>5.4175584076605984E-2</v>
      </c>
    </row>
    <row r="121" spans="1:8" x14ac:dyDescent="0.2">
      <c r="A121" s="41">
        <v>44442</v>
      </c>
      <c r="B121" s="40">
        <v>4535.4326449815999</v>
      </c>
      <c r="C121" s="40">
        <v>26.67</v>
      </c>
      <c r="E121" s="44">
        <f t="shared" si="5"/>
        <v>-5.7466525560507797E-3</v>
      </c>
      <c r="F121" s="44">
        <f t="shared" si="4"/>
        <v>-1.8372703412073532E-2</v>
      </c>
      <c r="H121" s="28">
        <f>SLOPE(E121:$E$125,F121:$F$125)</f>
        <v>2.7517887977459281E-2</v>
      </c>
    </row>
    <row r="122" spans="1:8" x14ac:dyDescent="0.2">
      <c r="A122" s="39">
        <v>44435</v>
      </c>
      <c r="B122" s="38">
        <v>4509.3690893795201</v>
      </c>
      <c r="C122" s="38">
        <v>26.18</v>
      </c>
      <c r="E122" s="44">
        <f t="shared" si="5"/>
        <v>-1.5014053173612929E-2</v>
      </c>
      <c r="F122" s="44">
        <f t="shared" si="4"/>
        <v>-4.5072574484339212E-2</v>
      </c>
      <c r="H122" s="28">
        <f>SLOPE(E122:$E$125,F122:$F$125)</f>
        <v>2.7479081486057603E-2</v>
      </c>
    </row>
    <row r="123" spans="1:8" x14ac:dyDescent="0.2">
      <c r="A123" s="41">
        <v>44428</v>
      </c>
      <c r="B123" s="40">
        <v>4441.6651820921297</v>
      </c>
      <c r="C123" s="40">
        <v>25</v>
      </c>
      <c r="E123" s="44">
        <f t="shared" si="5"/>
        <v>5.9297720153648203E-3</v>
      </c>
      <c r="F123" s="44">
        <f t="shared" si="4"/>
        <v>7.0400000000000018E-2</v>
      </c>
      <c r="H123" s="28">
        <f>SLOPE(E123:$E$125,F123:$F$125)</f>
        <v>2.5174965446073349E-2</v>
      </c>
    </row>
    <row r="124" spans="1:8" x14ac:dyDescent="0.2">
      <c r="A124" s="39">
        <v>44421</v>
      </c>
      <c r="B124" s="38">
        <v>4468.0032439905199</v>
      </c>
      <c r="C124" s="38">
        <v>26.76</v>
      </c>
      <c r="E124" s="44">
        <f t="shared" si="5"/>
        <v>-7.0468810175481345E-3</v>
      </c>
      <c r="F124" s="44">
        <f t="shared" si="4"/>
        <v>9.1554559043348194E-2</v>
      </c>
      <c r="H124" s="28">
        <f>SLOPE(E124:$E$125,F124:$F$125)</f>
        <v>6.7989578770624587E-3</v>
      </c>
    </row>
    <row r="125" spans="1:8" x14ac:dyDescent="0.2">
      <c r="A125" s="41">
        <v>44414</v>
      </c>
      <c r="B125" s="40">
        <v>4436.5177567440996</v>
      </c>
      <c r="C125" s="40">
        <v>29.21</v>
      </c>
      <c r="E125" s="44">
        <f t="shared" si="5"/>
        <v>-9.2986857808036172E-3</v>
      </c>
      <c r="F125" s="44">
        <f t="shared" si="4"/>
        <v>-0.23964395754878465</v>
      </c>
      <c r="H125" s="28"/>
    </row>
    <row r="126" spans="1:8" x14ac:dyDescent="0.2">
      <c r="A126" s="39">
        <v>44407</v>
      </c>
      <c r="B126" s="38">
        <v>4395.2639721631804</v>
      </c>
      <c r="C126" s="38">
        <v>22.21</v>
      </c>
      <c r="E126" s="44"/>
      <c r="F126" s="44"/>
      <c r="H126" s="28"/>
    </row>
    <row r="127" spans="1:8" x14ac:dyDescent="0.2">
      <c r="A127" s="41"/>
      <c r="B127" s="40"/>
      <c r="C127" s="40"/>
      <c r="E127" s="44"/>
      <c r="F127" s="44"/>
      <c r="H127" s="28"/>
    </row>
    <row r="128" spans="1:8" x14ac:dyDescent="0.2">
      <c r="A128" s="39"/>
      <c r="B128" s="38"/>
      <c r="C128" s="38"/>
      <c r="E128" s="44"/>
      <c r="F128" s="44"/>
    </row>
    <row r="129" spans="1:8" x14ac:dyDescent="0.2">
      <c r="A129" s="41"/>
      <c r="B129" s="40"/>
      <c r="G129" t="s">
        <v>266</v>
      </c>
      <c r="H129" s="36">
        <f>AVERAGE(H4:H124)</f>
        <v>8.9524962897738869E-2</v>
      </c>
    </row>
    <row r="130" spans="1:8" x14ac:dyDescent="0.2">
      <c r="A130" s="39"/>
      <c r="B130" s="38"/>
    </row>
    <row r="131" spans="1:8" x14ac:dyDescent="0.2">
      <c r="A131" s="41"/>
      <c r="B131" s="40"/>
    </row>
    <row r="132" spans="1:8" x14ac:dyDescent="0.2">
      <c r="A132" s="39"/>
      <c r="B132" s="38"/>
    </row>
    <row r="133" spans="1:8" x14ac:dyDescent="0.2">
      <c r="A133" s="41"/>
      <c r="B133" s="40"/>
    </row>
    <row r="134" spans="1:8" x14ac:dyDescent="0.2">
      <c r="A134" s="39"/>
      <c r="B134" s="38"/>
    </row>
    <row r="135" spans="1:8" x14ac:dyDescent="0.2">
      <c r="A135" s="41"/>
      <c r="B135" s="40"/>
    </row>
    <row r="136" spans="1:8" x14ac:dyDescent="0.2">
      <c r="A136" s="39"/>
      <c r="B136" s="38"/>
    </row>
    <row r="137" spans="1:8" x14ac:dyDescent="0.2">
      <c r="A137" s="41"/>
      <c r="B137" s="40"/>
    </row>
    <row r="138" spans="1:8" x14ac:dyDescent="0.2">
      <c r="A138" s="39"/>
      <c r="B138" s="38"/>
    </row>
    <row r="139" spans="1:8" x14ac:dyDescent="0.2">
      <c r="A139" s="41"/>
      <c r="B139" s="40"/>
    </row>
    <row r="140" spans="1:8" x14ac:dyDescent="0.2">
      <c r="A140" s="39"/>
      <c r="B140" s="38"/>
    </row>
    <row r="141" spans="1:8" x14ac:dyDescent="0.2">
      <c r="A141" s="41"/>
      <c r="B141" s="40"/>
    </row>
    <row r="142" spans="1:8" x14ac:dyDescent="0.2">
      <c r="A142" s="39"/>
      <c r="B142" s="38"/>
    </row>
    <row r="143" spans="1:8" x14ac:dyDescent="0.2">
      <c r="A143" s="41"/>
      <c r="B143" s="40"/>
    </row>
    <row r="144" spans="1:8" x14ac:dyDescent="0.2">
      <c r="A144" s="39"/>
      <c r="B144" s="38"/>
    </row>
    <row r="145" spans="1:2" x14ac:dyDescent="0.2">
      <c r="A145" s="41"/>
      <c r="B145" s="40"/>
    </row>
    <row r="146" spans="1:2" x14ac:dyDescent="0.2">
      <c r="A146" s="39"/>
      <c r="B146" s="38"/>
    </row>
    <row r="147" spans="1:2" x14ac:dyDescent="0.2">
      <c r="A147" s="41"/>
      <c r="B147" s="40"/>
    </row>
    <row r="148" spans="1:2" x14ac:dyDescent="0.2">
      <c r="A148" s="39"/>
      <c r="B148" s="38"/>
    </row>
    <row r="149" spans="1:2" x14ac:dyDescent="0.2">
      <c r="A149" s="41"/>
      <c r="B149" s="40"/>
    </row>
    <row r="150" spans="1:2" x14ac:dyDescent="0.2">
      <c r="A150" s="39"/>
      <c r="B150" s="38"/>
    </row>
    <row r="151" spans="1:2" x14ac:dyDescent="0.2">
      <c r="A151" s="41"/>
      <c r="B151" s="40"/>
    </row>
    <row r="152" spans="1:2" x14ac:dyDescent="0.2">
      <c r="A152" s="39"/>
      <c r="B152" s="38"/>
    </row>
    <row r="153" spans="1:2" x14ac:dyDescent="0.2">
      <c r="A153" s="41"/>
      <c r="B153" s="40"/>
    </row>
    <row r="154" spans="1:2" x14ac:dyDescent="0.2">
      <c r="A154" s="39"/>
      <c r="B154" s="38"/>
    </row>
    <row r="155" spans="1:2" x14ac:dyDescent="0.2">
      <c r="A155" s="41"/>
      <c r="B155" s="40"/>
    </row>
    <row r="156" spans="1:2" x14ac:dyDescent="0.2">
      <c r="A156" s="39"/>
      <c r="B156" s="38"/>
    </row>
    <row r="157" spans="1:2" x14ac:dyDescent="0.2">
      <c r="A157" s="41"/>
      <c r="B157" s="40"/>
    </row>
    <row r="158" spans="1:2" x14ac:dyDescent="0.2">
      <c r="A158" s="39"/>
      <c r="B158" s="38"/>
    </row>
    <row r="159" spans="1:2" x14ac:dyDescent="0.2">
      <c r="A159" s="41"/>
      <c r="B159" s="40"/>
    </row>
    <row r="160" spans="1:2" x14ac:dyDescent="0.2">
      <c r="A160" s="39"/>
      <c r="B160" s="38"/>
    </row>
    <row r="161" spans="1:2" x14ac:dyDescent="0.2">
      <c r="A161" s="41"/>
      <c r="B161" s="40"/>
    </row>
    <row r="162" spans="1:2" x14ac:dyDescent="0.2">
      <c r="A162" s="39"/>
      <c r="B162" s="38"/>
    </row>
    <row r="163" spans="1:2" x14ac:dyDescent="0.2">
      <c r="A163" s="41"/>
      <c r="B163" s="40"/>
    </row>
    <row r="164" spans="1:2" x14ac:dyDescent="0.2">
      <c r="A164" s="39"/>
      <c r="B164" s="38"/>
    </row>
    <row r="165" spans="1:2" x14ac:dyDescent="0.2">
      <c r="A165" s="41"/>
      <c r="B165" s="40"/>
    </row>
    <row r="166" spans="1:2" x14ac:dyDescent="0.2">
      <c r="A166" s="39"/>
      <c r="B166" s="38"/>
    </row>
    <row r="167" spans="1:2" x14ac:dyDescent="0.2">
      <c r="A167" s="41"/>
      <c r="B167" s="40"/>
    </row>
    <row r="168" spans="1:2" x14ac:dyDescent="0.2">
      <c r="A168" s="39"/>
      <c r="B168" s="38"/>
    </row>
    <row r="169" spans="1:2" x14ac:dyDescent="0.2">
      <c r="A169" s="41"/>
      <c r="B169" s="40"/>
    </row>
    <row r="170" spans="1:2" x14ac:dyDescent="0.2">
      <c r="A170" s="39"/>
      <c r="B170" s="38"/>
    </row>
    <row r="171" spans="1:2" x14ac:dyDescent="0.2">
      <c r="A171" s="41"/>
      <c r="B171" s="40"/>
    </row>
    <row r="172" spans="1:2" x14ac:dyDescent="0.2">
      <c r="A172" s="39"/>
      <c r="B172" s="38"/>
    </row>
    <row r="173" spans="1:2" x14ac:dyDescent="0.2">
      <c r="A173" s="41"/>
      <c r="B173" s="40"/>
    </row>
    <row r="174" spans="1:2" x14ac:dyDescent="0.2">
      <c r="A174" s="39"/>
      <c r="B174" s="38"/>
    </row>
    <row r="175" spans="1:2" x14ac:dyDescent="0.2">
      <c r="A175" s="41"/>
      <c r="B175" s="40"/>
    </row>
    <row r="176" spans="1:2" x14ac:dyDescent="0.2">
      <c r="A176" s="39"/>
      <c r="B176" s="38"/>
    </row>
    <row r="177" spans="1:2" x14ac:dyDescent="0.2">
      <c r="A177" s="41"/>
      <c r="B177" s="40"/>
    </row>
    <row r="178" spans="1:2" x14ac:dyDescent="0.2">
      <c r="A178" s="39"/>
      <c r="B178" s="38"/>
    </row>
    <row r="179" spans="1:2" x14ac:dyDescent="0.2">
      <c r="A179" s="41"/>
      <c r="B179" s="40"/>
    </row>
    <row r="180" spans="1:2" x14ac:dyDescent="0.2">
      <c r="A180" s="39"/>
      <c r="B180" s="38"/>
    </row>
    <row r="181" spans="1:2" x14ac:dyDescent="0.2">
      <c r="A181" s="41"/>
      <c r="B181" s="40"/>
    </row>
    <row r="182" spans="1:2" x14ac:dyDescent="0.2">
      <c r="A182" s="39"/>
      <c r="B182" s="38"/>
    </row>
    <row r="183" spans="1:2" x14ac:dyDescent="0.2">
      <c r="A183" s="41"/>
      <c r="B183" s="40"/>
    </row>
    <row r="184" spans="1:2" x14ac:dyDescent="0.2">
      <c r="A184" s="39"/>
      <c r="B184" s="38"/>
    </row>
    <row r="185" spans="1:2" x14ac:dyDescent="0.2">
      <c r="A185" s="41"/>
      <c r="B185" s="40"/>
    </row>
    <row r="186" spans="1:2" x14ac:dyDescent="0.2">
      <c r="A186" s="39"/>
      <c r="B186" s="38"/>
    </row>
    <row r="187" spans="1:2" x14ac:dyDescent="0.2">
      <c r="A187" s="41"/>
      <c r="B187" s="40"/>
    </row>
    <row r="188" spans="1:2" x14ac:dyDescent="0.2">
      <c r="A188" s="39"/>
      <c r="B188" s="38"/>
    </row>
    <row r="189" spans="1:2" x14ac:dyDescent="0.2">
      <c r="A189" s="41"/>
      <c r="B189" s="40"/>
    </row>
    <row r="190" spans="1:2" x14ac:dyDescent="0.2">
      <c r="A190" s="39"/>
      <c r="B190" s="38"/>
    </row>
    <row r="191" spans="1:2" x14ac:dyDescent="0.2">
      <c r="A191" s="41"/>
      <c r="B191" s="40"/>
    </row>
    <row r="192" spans="1:2" x14ac:dyDescent="0.2">
      <c r="A192" s="39"/>
      <c r="B192" s="38"/>
    </row>
    <row r="193" spans="1:2" x14ac:dyDescent="0.2">
      <c r="A193" s="41"/>
      <c r="B193" s="40"/>
    </row>
    <row r="194" spans="1:2" x14ac:dyDescent="0.2">
      <c r="A194" s="39"/>
      <c r="B194" s="38"/>
    </row>
    <row r="195" spans="1:2" x14ac:dyDescent="0.2">
      <c r="A195" s="41"/>
      <c r="B195" s="40"/>
    </row>
    <row r="196" spans="1:2" x14ac:dyDescent="0.2">
      <c r="A196" s="39"/>
      <c r="B196" s="38"/>
    </row>
    <row r="197" spans="1:2" x14ac:dyDescent="0.2">
      <c r="A197" s="41"/>
      <c r="B197" s="40"/>
    </row>
    <row r="198" spans="1:2" x14ac:dyDescent="0.2">
      <c r="A198" s="39"/>
      <c r="B198" s="38"/>
    </row>
    <row r="199" spans="1:2" x14ac:dyDescent="0.2">
      <c r="A199" s="41"/>
      <c r="B199" s="40"/>
    </row>
    <row r="200" spans="1:2" x14ac:dyDescent="0.2">
      <c r="A200" s="39"/>
      <c r="B200" s="38"/>
    </row>
    <row r="201" spans="1:2" x14ac:dyDescent="0.2">
      <c r="A201" s="41"/>
      <c r="B201" s="40"/>
    </row>
    <row r="202" spans="1:2" x14ac:dyDescent="0.2">
      <c r="A202" s="39"/>
      <c r="B202" s="38"/>
    </row>
    <row r="203" spans="1:2" x14ac:dyDescent="0.2">
      <c r="A203" s="41"/>
      <c r="B203" s="40"/>
    </row>
    <row r="204" spans="1:2" x14ac:dyDescent="0.2">
      <c r="A204" s="39"/>
      <c r="B204" s="38"/>
    </row>
    <row r="205" spans="1:2" x14ac:dyDescent="0.2">
      <c r="A205" s="41"/>
      <c r="B205" s="40"/>
    </row>
    <row r="206" spans="1:2" x14ac:dyDescent="0.2">
      <c r="A206" s="39"/>
      <c r="B206" s="38"/>
    </row>
    <row r="207" spans="1:2" x14ac:dyDescent="0.2">
      <c r="A207" s="41"/>
      <c r="B207" s="40"/>
    </row>
    <row r="208" spans="1:2" x14ac:dyDescent="0.2">
      <c r="A208" s="39"/>
      <c r="B208" s="38"/>
    </row>
    <row r="209" spans="1:2" x14ac:dyDescent="0.2">
      <c r="A209" s="41"/>
      <c r="B209" s="40"/>
    </row>
    <row r="210" spans="1:2" x14ac:dyDescent="0.2">
      <c r="A210" s="39"/>
      <c r="B210" s="38"/>
    </row>
    <row r="211" spans="1:2" x14ac:dyDescent="0.2">
      <c r="A211" s="41"/>
      <c r="B211" s="40"/>
    </row>
    <row r="212" spans="1:2" x14ac:dyDescent="0.2">
      <c r="A212" s="39"/>
      <c r="B212" s="38"/>
    </row>
    <row r="213" spans="1:2" x14ac:dyDescent="0.2">
      <c r="A213" s="41"/>
      <c r="B213" s="40"/>
    </row>
    <row r="214" spans="1:2" x14ac:dyDescent="0.2">
      <c r="A214" s="39"/>
      <c r="B214" s="38"/>
    </row>
    <row r="215" spans="1:2" x14ac:dyDescent="0.2">
      <c r="A215" s="41"/>
      <c r="B215" s="40"/>
    </row>
    <row r="216" spans="1:2" x14ac:dyDescent="0.2">
      <c r="A216" s="39"/>
      <c r="B216" s="38"/>
    </row>
    <row r="217" spans="1:2" x14ac:dyDescent="0.2">
      <c r="A217" s="41"/>
      <c r="B217" s="40"/>
    </row>
    <row r="218" spans="1:2" x14ac:dyDescent="0.2">
      <c r="A218" s="39"/>
      <c r="B218" s="38"/>
    </row>
    <row r="219" spans="1:2" x14ac:dyDescent="0.2">
      <c r="A219" s="41"/>
      <c r="B219" s="40"/>
    </row>
    <row r="220" spans="1:2" x14ac:dyDescent="0.2">
      <c r="A220" s="39"/>
      <c r="B220" s="38"/>
    </row>
    <row r="221" spans="1:2" x14ac:dyDescent="0.2">
      <c r="A221" s="41"/>
      <c r="B221" s="40"/>
    </row>
    <row r="222" spans="1:2" x14ac:dyDescent="0.2">
      <c r="A222" s="39"/>
      <c r="B222" s="38"/>
    </row>
    <row r="223" spans="1:2" x14ac:dyDescent="0.2">
      <c r="A223" s="41"/>
      <c r="B223" s="40"/>
    </row>
    <row r="224" spans="1:2" x14ac:dyDescent="0.2">
      <c r="A224" s="39"/>
      <c r="B224" s="38"/>
    </row>
    <row r="225" spans="1:2" x14ac:dyDescent="0.2">
      <c r="A225" s="41"/>
      <c r="B225" s="40"/>
    </row>
    <row r="226" spans="1:2" x14ac:dyDescent="0.2">
      <c r="A226" s="39"/>
      <c r="B226" s="38"/>
    </row>
    <row r="227" spans="1:2" x14ac:dyDescent="0.2">
      <c r="A227" s="41"/>
      <c r="B227" s="40"/>
    </row>
    <row r="228" spans="1:2" x14ac:dyDescent="0.2">
      <c r="A228" s="39"/>
      <c r="B228" s="38"/>
    </row>
    <row r="229" spans="1:2" x14ac:dyDescent="0.2">
      <c r="A229" s="41"/>
      <c r="B229" s="40"/>
    </row>
    <row r="230" spans="1:2" x14ac:dyDescent="0.2">
      <c r="A230" s="39"/>
      <c r="B230" s="38"/>
    </row>
    <row r="231" spans="1:2" x14ac:dyDescent="0.2">
      <c r="A231" s="41"/>
      <c r="B231" s="40"/>
    </row>
    <row r="232" spans="1:2" x14ac:dyDescent="0.2">
      <c r="A232" s="39"/>
      <c r="B232" s="38"/>
    </row>
    <row r="233" spans="1:2" x14ac:dyDescent="0.2">
      <c r="A233" s="41"/>
      <c r="B233" s="40"/>
    </row>
    <row r="234" spans="1:2" x14ac:dyDescent="0.2">
      <c r="A234" s="39"/>
      <c r="B234" s="38"/>
    </row>
    <row r="235" spans="1:2" x14ac:dyDescent="0.2">
      <c r="A235" s="41"/>
      <c r="B235" s="40"/>
    </row>
    <row r="236" spans="1:2" x14ac:dyDescent="0.2">
      <c r="A236" s="39"/>
      <c r="B236" s="38"/>
    </row>
    <row r="237" spans="1:2" x14ac:dyDescent="0.2">
      <c r="A237" s="41"/>
      <c r="B237" s="40"/>
    </row>
    <row r="238" spans="1:2" x14ac:dyDescent="0.2">
      <c r="A238" s="39"/>
      <c r="B238" s="38"/>
    </row>
    <row r="239" spans="1:2" x14ac:dyDescent="0.2">
      <c r="A239" s="41"/>
      <c r="B239" s="40"/>
    </row>
    <row r="240" spans="1:2" x14ac:dyDescent="0.2">
      <c r="A240" s="39"/>
      <c r="B240" s="38"/>
    </row>
    <row r="241" spans="1:2" x14ac:dyDescent="0.2">
      <c r="A241" s="41"/>
      <c r="B241" s="40"/>
    </row>
    <row r="242" spans="1:2" x14ac:dyDescent="0.2">
      <c r="A242" s="39"/>
      <c r="B242" s="38"/>
    </row>
    <row r="243" spans="1:2" x14ac:dyDescent="0.2">
      <c r="A243" s="41"/>
      <c r="B243" s="40"/>
    </row>
    <row r="244" spans="1:2" x14ac:dyDescent="0.2">
      <c r="A244" s="39"/>
      <c r="B244" s="38"/>
    </row>
    <row r="245" spans="1:2" x14ac:dyDescent="0.2">
      <c r="A245" s="41"/>
      <c r="B245" s="40"/>
    </row>
    <row r="246" spans="1:2" x14ac:dyDescent="0.2">
      <c r="A246" s="39"/>
      <c r="B246" s="38"/>
    </row>
    <row r="247" spans="1:2" x14ac:dyDescent="0.2">
      <c r="A247" s="41"/>
      <c r="B247" s="40"/>
    </row>
    <row r="248" spans="1:2" x14ac:dyDescent="0.2">
      <c r="A248" s="39"/>
      <c r="B248" s="38"/>
    </row>
    <row r="249" spans="1:2" x14ac:dyDescent="0.2">
      <c r="A249" s="41"/>
      <c r="B249" s="40"/>
    </row>
    <row r="250" spans="1:2" x14ac:dyDescent="0.2">
      <c r="A250" s="39"/>
      <c r="B250" s="38"/>
    </row>
    <row r="251" spans="1:2" x14ac:dyDescent="0.2">
      <c r="A251" s="41"/>
      <c r="B251" s="40"/>
    </row>
    <row r="252" spans="1:2" x14ac:dyDescent="0.2">
      <c r="A252" s="39"/>
      <c r="B252" s="38"/>
    </row>
    <row r="253" spans="1:2" x14ac:dyDescent="0.2">
      <c r="A253" s="41"/>
      <c r="B253" s="40"/>
    </row>
    <row r="254" spans="1:2" x14ac:dyDescent="0.2">
      <c r="A254" s="39"/>
      <c r="B254" s="38"/>
    </row>
    <row r="255" spans="1:2" x14ac:dyDescent="0.2">
      <c r="A255" s="41"/>
      <c r="B255" s="40"/>
    </row>
    <row r="256" spans="1:2" x14ac:dyDescent="0.2">
      <c r="A256" s="39"/>
      <c r="B256" s="38"/>
    </row>
    <row r="257" spans="1:2" x14ac:dyDescent="0.2">
      <c r="A257" s="41"/>
      <c r="B257" s="40"/>
    </row>
    <row r="258" spans="1:2" x14ac:dyDescent="0.2">
      <c r="A258" s="39"/>
      <c r="B258" s="38"/>
    </row>
    <row r="259" spans="1:2" x14ac:dyDescent="0.2">
      <c r="A259" s="41"/>
      <c r="B259" s="40"/>
    </row>
    <row r="260" spans="1:2" x14ac:dyDescent="0.2">
      <c r="A260" s="39"/>
      <c r="B260" s="38"/>
    </row>
    <row r="261" spans="1:2" x14ac:dyDescent="0.2">
      <c r="A261" s="41"/>
      <c r="B261" s="40"/>
    </row>
    <row r="262" spans="1:2" x14ac:dyDescent="0.2">
      <c r="A262" s="39"/>
      <c r="B262" s="38"/>
    </row>
    <row r="263" spans="1:2" x14ac:dyDescent="0.2">
      <c r="A263" s="41"/>
      <c r="B263" s="40"/>
    </row>
    <row r="264" spans="1:2" x14ac:dyDescent="0.2">
      <c r="A264" s="39"/>
      <c r="B264" s="38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A26BAA-0278-A541-B9F0-24EA3D544798}">
  <sheetPr codeName="Sheet13">
    <tabColor rgb="FFC00000"/>
  </sheetPr>
  <dimension ref="A1:J21"/>
  <sheetViews>
    <sheetView workbookViewId="0">
      <selection activeCell="L34" sqref="L34"/>
    </sheetView>
  </sheetViews>
  <sheetFormatPr baseColWidth="10" defaultColWidth="11" defaultRowHeight="16" x14ac:dyDescent="0.2"/>
  <cols>
    <col min="1" max="1" width="28.83203125" bestFit="1" customWidth="1"/>
    <col min="3" max="3" width="12.83203125" customWidth="1"/>
    <col min="7" max="7" width="15" bestFit="1" customWidth="1"/>
  </cols>
  <sheetData>
    <row r="1" spans="1:10" x14ac:dyDescent="0.2"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</row>
    <row r="2" spans="1:10" x14ac:dyDescent="0.2">
      <c r="A2" t="s">
        <v>273</v>
      </c>
      <c r="B2" s="58">
        <v>44012</v>
      </c>
      <c r="C2" s="12">
        <v>46203</v>
      </c>
      <c r="D2">
        <f>DATEDIF(B2,C2,"y")</f>
        <v>6</v>
      </c>
      <c r="E2" s="37">
        <f>SUM(B16:B17)</f>
        <v>5.5800000000000002E-2</v>
      </c>
      <c r="F2" s="37">
        <v>2.5000000000000001E-3</v>
      </c>
      <c r="G2" s="59">
        <v>125000000</v>
      </c>
      <c r="J2" t="s">
        <v>274</v>
      </c>
    </row>
    <row r="3" spans="1:10" ht="17" x14ac:dyDescent="0.2">
      <c r="A3" t="s">
        <v>275</v>
      </c>
      <c r="B3" s="58">
        <v>44012</v>
      </c>
      <c r="C3" s="12">
        <v>46934</v>
      </c>
      <c r="D3">
        <f>DATEDIF(B3,C3,"y")</f>
        <v>8</v>
      </c>
      <c r="E3" s="37">
        <f>SUM(B16:B17)</f>
        <v>5.5800000000000002E-2</v>
      </c>
      <c r="J3" s="57" t="s">
        <v>276</v>
      </c>
    </row>
    <row r="4" spans="1:10" ht="17" x14ac:dyDescent="0.2">
      <c r="J4" s="57" t="s">
        <v>277</v>
      </c>
    </row>
    <row r="5" spans="1:10" x14ac:dyDescent="0.2">
      <c r="B5">
        <v>2023</v>
      </c>
      <c r="C5">
        <v>2024</v>
      </c>
      <c r="D5">
        <v>2025</v>
      </c>
      <c r="E5">
        <v>2026</v>
      </c>
      <c r="F5">
        <v>2027</v>
      </c>
    </row>
    <row r="6" spans="1:10" x14ac:dyDescent="0.2">
      <c r="A6" t="s">
        <v>278</v>
      </c>
    </row>
    <row r="7" spans="1:10" x14ac:dyDescent="0.2">
      <c r="A7" s="56" t="s">
        <v>279</v>
      </c>
      <c r="B7" s="56"/>
      <c r="C7" s="56"/>
      <c r="D7" s="56"/>
      <c r="E7" s="56"/>
      <c r="F7" s="56"/>
      <c r="G7" s="56"/>
    </row>
    <row r="8" spans="1:10" x14ac:dyDescent="0.2">
      <c r="A8" s="1" t="s">
        <v>280</v>
      </c>
    </row>
    <row r="9" spans="1:10" x14ac:dyDescent="0.2">
      <c r="A9" t="s">
        <v>281</v>
      </c>
    </row>
    <row r="10" spans="1:10" x14ac:dyDescent="0.2">
      <c r="A10" s="56" t="s">
        <v>282</v>
      </c>
      <c r="B10" s="56"/>
      <c r="C10" s="56"/>
      <c r="D10" s="56"/>
      <c r="E10" s="56"/>
      <c r="F10" s="56"/>
      <c r="G10" s="56"/>
    </row>
    <row r="11" spans="1:10" x14ac:dyDescent="0.2">
      <c r="A11" s="1" t="s">
        <v>283</v>
      </c>
    </row>
    <row r="14" spans="1:10" x14ac:dyDescent="0.2">
      <c r="C14" t="s">
        <v>268</v>
      </c>
    </row>
    <row r="15" spans="1:10" x14ac:dyDescent="0.2">
      <c r="A15" t="s">
        <v>246</v>
      </c>
      <c r="B15" s="37" t="s">
        <v>247</v>
      </c>
      <c r="C15" s="12">
        <v>46081</v>
      </c>
    </row>
    <row r="16" spans="1:10" x14ac:dyDescent="0.2">
      <c r="A16" t="s">
        <v>284</v>
      </c>
      <c r="B16" s="37">
        <v>2.0799999999999999E-2</v>
      </c>
    </row>
    <row r="17" spans="1:3" x14ac:dyDescent="0.2">
      <c r="A17" t="s">
        <v>285</v>
      </c>
      <c r="B17" s="37">
        <v>3.5000000000000003E-2</v>
      </c>
      <c r="C17" s="133" t="s">
        <v>286</v>
      </c>
    </row>
    <row r="18" spans="1:3" x14ac:dyDescent="0.2">
      <c r="A18" s="1" t="s">
        <v>287</v>
      </c>
      <c r="B18" s="132">
        <f>B16+B17</f>
        <v>5.5800000000000002E-2</v>
      </c>
    </row>
    <row r="19" spans="1:3" x14ac:dyDescent="0.2">
      <c r="A19" t="s">
        <v>288</v>
      </c>
      <c r="B19" s="37">
        <v>3.2000000000000001E-2</v>
      </c>
    </row>
    <row r="20" spans="1:3" x14ac:dyDescent="0.2">
      <c r="A20" t="s">
        <v>289</v>
      </c>
      <c r="B20" s="37">
        <v>2.5999999999999999E-3</v>
      </c>
    </row>
    <row r="21" spans="1:3" x14ac:dyDescent="0.2">
      <c r="A21" s="1" t="s">
        <v>290</v>
      </c>
      <c r="B21" s="132">
        <f>SUM(B19:B20)+B17</f>
        <v>6.9599999999999995E-2</v>
      </c>
    </row>
  </sheetData>
  <hyperlinks>
    <hyperlink ref="C17" r:id="rId1" xr:uid="{6A3CEECA-0DD6-40D5-ACBC-EFE05B9BC5A0}"/>
  </hyperlinks>
  <pageMargins left="0.7" right="0.7" top="0.75" bottom="0.75" header="0.3" footer="0.3"/>
  <pageSetup orientation="portrait" horizontalDpi="0" verticalDpi="0"/>
  <drawing r:id="rId2"/>
  <legacyDrawing r:id="rId3"/>
  <tableParts count="1">
    <tablePart r:id="rId4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18670E-91BB-E94D-9A29-4A87201EDE51}">
  <sheetPr>
    <tabColor rgb="FF0070C0"/>
    <outlinePr summaryBelow="0" summaryRight="0"/>
  </sheetPr>
  <dimension ref="A1:Z36"/>
  <sheetViews>
    <sheetView workbookViewId="0">
      <selection activeCell="I34" sqref="I34"/>
    </sheetView>
  </sheetViews>
  <sheetFormatPr baseColWidth="10" defaultColWidth="9.1640625" defaultRowHeight="15" customHeight="1" x14ac:dyDescent="0.15"/>
  <cols>
    <col min="1" max="1" width="26.33203125" style="2" customWidth="1"/>
    <col min="2" max="2" width="10.5" style="2" customWidth="1"/>
    <col min="3" max="3" width="12" style="2" customWidth="1"/>
    <col min="4" max="4" width="13" style="2" customWidth="1"/>
    <col min="5" max="5" width="11.83203125" style="2" customWidth="1"/>
    <col min="6" max="8" width="9.5" style="2" customWidth="1"/>
    <col min="9" max="9" width="10.5" style="2" customWidth="1"/>
    <col min="10" max="11" width="7.5" style="2" customWidth="1"/>
    <col min="12" max="12" width="9.83203125" style="2" customWidth="1"/>
    <col min="13" max="13" width="13.1640625" style="2" customWidth="1"/>
    <col min="14" max="14" width="7.5" style="2" customWidth="1"/>
    <col min="15" max="15" width="9.5" style="2" bestFit="1" customWidth="1"/>
    <col min="16" max="16" width="11.6640625" style="2" bestFit="1" customWidth="1"/>
    <col min="17" max="17" width="9.6640625" style="2" bestFit="1" customWidth="1"/>
    <col min="18" max="18" width="12" style="2" bestFit="1" customWidth="1"/>
    <col min="19" max="19" width="13.83203125" style="2" bestFit="1" customWidth="1"/>
    <col min="20" max="20" width="10.83203125" style="2" customWidth="1"/>
    <col min="21" max="21" width="8" style="2" customWidth="1"/>
    <col min="22" max="16384" width="9.1640625" style="2"/>
  </cols>
  <sheetData>
    <row r="1" spans="1:26" ht="15" customHeight="1" x14ac:dyDescent="0.15">
      <c r="A1" s="3" t="s">
        <v>291</v>
      </c>
    </row>
    <row r="2" spans="1:26" ht="15" customHeight="1" x14ac:dyDescent="0.15">
      <c r="A2" s="174" t="s">
        <v>292</v>
      </c>
    </row>
    <row r="3" spans="1:26" ht="15" customHeight="1" x14ac:dyDescent="0.15">
      <c r="A3" s="175"/>
      <c r="B3" s="175"/>
      <c r="C3" s="175"/>
      <c r="D3" s="175"/>
      <c r="E3" s="175"/>
      <c r="F3" s="175"/>
      <c r="G3" s="175"/>
      <c r="H3" s="175"/>
      <c r="I3" s="175"/>
      <c r="J3" s="175"/>
      <c r="K3" s="175"/>
      <c r="L3" s="175"/>
      <c r="M3" s="175"/>
      <c r="N3" s="175"/>
      <c r="O3" s="175"/>
      <c r="P3" s="175"/>
      <c r="Q3" s="175"/>
      <c r="R3" s="175"/>
      <c r="S3" s="175"/>
      <c r="T3" s="175"/>
      <c r="U3" s="175"/>
    </row>
    <row r="5" spans="1:26" ht="15" customHeight="1" x14ac:dyDescent="0.15">
      <c r="A5" s="3" t="s">
        <v>293</v>
      </c>
    </row>
    <row r="6" spans="1:26" ht="15" customHeight="1" x14ac:dyDescent="0.15">
      <c r="A6" s="3" t="s">
        <v>294</v>
      </c>
    </row>
    <row r="7" spans="1:26" ht="15" customHeight="1" x14ac:dyDescent="0.15">
      <c r="A7" s="176"/>
      <c r="B7" s="176"/>
      <c r="C7" s="176"/>
      <c r="D7" s="176"/>
      <c r="E7" s="176"/>
      <c r="F7" s="176"/>
      <c r="G7" s="176"/>
      <c r="H7" s="176" t="s">
        <v>295</v>
      </c>
      <c r="I7" s="176"/>
      <c r="J7" s="176"/>
      <c r="K7" s="176" t="s">
        <v>296</v>
      </c>
      <c r="L7" s="176"/>
      <c r="M7" s="176"/>
      <c r="N7" s="176"/>
      <c r="O7" s="176" t="s">
        <v>297</v>
      </c>
      <c r="P7" s="176"/>
      <c r="Q7" s="176"/>
      <c r="R7" s="176"/>
      <c r="S7" s="176" t="s">
        <v>298</v>
      </c>
      <c r="T7" s="176"/>
      <c r="U7" s="176"/>
    </row>
    <row r="8" spans="1:26" ht="15" customHeight="1" x14ac:dyDescent="0.15">
      <c r="A8" s="176" t="s">
        <v>299</v>
      </c>
      <c r="B8" s="176"/>
      <c r="C8" s="176" t="s">
        <v>300</v>
      </c>
      <c r="D8" s="176"/>
      <c r="E8" s="176" t="s">
        <v>301</v>
      </c>
      <c r="F8" s="176" t="s">
        <v>302</v>
      </c>
      <c r="G8" s="176" t="s">
        <v>295</v>
      </c>
      <c r="H8" s="176" t="s">
        <v>238</v>
      </c>
      <c r="I8" s="176" t="s">
        <v>298</v>
      </c>
      <c r="J8" s="176" t="s">
        <v>303</v>
      </c>
      <c r="K8" s="176" t="s">
        <v>269</v>
      </c>
      <c r="L8" s="176" t="s">
        <v>304</v>
      </c>
      <c r="M8" s="176" t="s">
        <v>305</v>
      </c>
      <c r="N8" s="176" t="s">
        <v>306</v>
      </c>
      <c r="O8" s="176" t="s">
        <v>307</v>
      </c>
      <c r="P8" s="176"/>
      <c r="Q8" s="176" t="s">
        <v>308</v>
      </c>
      <c r="R8" s="176" t="s">
        <v>152</v>
      </c>
      <c r="S8" s="176" t="s">
        <v>238</v>
      </c>
      <c r="T8" s="176" t="s">
        <v>297</v>
      </c>
      <c r="U8" s="176"/>
    </row>
    <row r="9" spans="1:26" ht="15" customHeight="1" x14ac:dyDescent="0.15">
      <c r="A9" s="176" t="s">
        <v>309</v>
      </c>
      <c r="B9" s="176" t="s">
        <v>310</v>
      </c>
      <c r="C9" s="176" t="s">
        <v>311</v>
      </c>
      <c r="D9" s="176" t="s">
        <v>263</v>
      </c>
      <c r="E9" s="176" t="s">
        <v>312</v>
      </c>
      <c r="F9" s="176" t="s">
        <v>313</v>
      </c>
      <c r="G9" s="176" t="s">
        <v>238</v>
      </c>
      <c r="H9" s="176" t="s">
        <v>314</v>
      </c>
      <c r="I9" s="176" t="s">
        <v>238</v>
      </c>
      <c r="J9" s="176" t="s">
        <v>315</v>
      </c>
      <c r="K9" s="176" t="s">
        <v>315</v>
      </c>
      <c r="L9" s="176" t="s">
        <v>316</v>
      </c>
      <c r="M9" s="176" t="s">
        <v>317</v>
      </c>
      <c r="N9" s="176" t="s">
        <v>318</v>
      </c>
      <c r="O9" s="176" t="s">
        <v>314</v>
      </c>
      <c r="P9" s="176" t="s">
        <v>319</v>
      </c>
      <c r="Q9" s="176" t="s">
        <v>320</v>
      </c>
      <c r="R9" s="176" t="s">
        <v>144</v>
      </c>
      <c r="S9" s="176" t="s">
        <v>314</v>
      </c>
      <c r="T9" s="176" t="s">
        <v>321</v>
      </c>
      <c r="U9" s="176" t="s">
        <v>152</v>
      </c>
    </row>
    <row r="10" spans="1:26" ht="15" customHeight="1" x14ac:dyDescent="0.15">
      <c r="A10" s="177" t="s">
        <v>322</v>
      </c>
      <c r="B10" s="177" t="s">
        <v>323</v>
      </c>
      <c r="C10" s="177" t="s">
        <v>324</v>
      </c>
      <c r="D10" s="178">
        <v>30</v>
      </c>
      <c r="E10" s="179">
        <v>58.071728</v>
      </c>
      <c r="F10" s="179">
        <v>59.072999000000003</v>
      </c>
      <c r="G10" s="179">
        <v>1742.1518329999999</v>
      </c>
      <c r="H10" s="179">
        <v>1772.1899699999999</v>
      </c>
      <c r="I10" s="179">
        <v>2752.9487300000001</v>
      </c>
      <c r="J10" s="179">
        <v>1050.751</v>
      </c>
      <c r="K10" s="179">
        <v>937.53802499999995</v>
      </c>
      <c r="L10" s="179">
        <v>0</v>
      </c>
      <c r="M10" s="179">
        <v>0</v>
      </c>
      <c r="N10" s="179">
        <v>39.954000000000001</v>
      </c>
      <c r="O10" s="180">
        <v>0.960669</v>
      </c>
      <c r="P10" s="179">
        <v>2865.6579999999999</v>
      </c>
      <c r="Q10" s="180">
        <v>5.5225559999999998</v>
      </c>
      <c r="R10" s="179">
        <v>487.66598499999998</v>
      </c>
      <c r="S10" s="179">
        <v>2693.1629699999999</v>
      </c>
      <c r="T10" s="180">
        <v>6.6138180000000002</v>
      </c>
      <c r="U10" s="179">
        <v>416.24200000000002</v>
      </c>
      <c r="X10" s="2">
        <f t="shared" ref="X10:X16" si="0">O10*P10</f>
        <v>2752.9488052019997</v>
      </c>
      <c r="Y10" s="2">
        <f t="shared" ref="Y10:Y16" si="1">O10*P10</f>
        <v>2752.9488052019997</v>
      </c>
      <c r="Z10" s="2">
        <f t="shared" ref="Z10:Z16" si="2">T10*U10</f>
        <v>2752.948831956</v>
      </c>
    </row>
    <row r="11" spans="1:26" ht="15" customHeight="1" x14ac:dyDescent="0.15">
      <c r="A11" s="181" t="s">
        <v>325</v>
      </c>
      <c r="B11" s="181" t="s">
        <v>326</v>
      </c>
      <c r="C11" s="181" t="s">
        <v>327</v>
      </c>
      <c r="D11" s="182">
        <v>5.64</v>
      </c>
      <c r="E11" s="183">
        <v>123.855782</v>
      </c>
      <c r="F11" s="183">
        <v>127.182782</v>
      </c>
      <c r="G11" s="183">
        <v>511.430429</v>
      </c>
      <c r="H11" s="183">
        <v>531.164445</v>
      </c>
      <c r="I11" s="183">
        <v>919.13147000000004</v>
      </c>
      <c r="J11" s="181">
        <v>199.22</v>
      </c>
      <c r="K11" s="181" t="s">
        <v>43</v>
      </c>
      <c r="L11" s="183">
        <v>0</v>
      </c>
      <c r="M11" s="183">
        <v>225.03200000000001</v>
      </c>
      <c r="N11" s="183">
        <v>16.550999999999998</v>
      </c>
      <c r="O11" s="184">
        <v>1.7450730000000001</v>
      </c>
      <c r="P11" s="183">
        <v>526.70100000000002</v>
      </c>
      <c r="Q11" s="184">
        <v>6.3365809999999998</v>
      </c>
      <c r="R11" s="183">
        <v>107.296257</v>
      </c>
      <c r="S11" s="183">
        <v>679.89144499999998</v>
      </c>
      <c r="T11" s="184">
        <v>13.888147999999999</v>
      </c>
      <c r="U11" s="183">
        <v>66.180999999999997</v>
      </c>
      <c r="X11" s="2">
        <f t="shared" si="0"/>
        <v>919.13169417300014</v>
      </c>
      <c r="Y11" s="2">
        <f t="shared" si="1"/>
        <v>919.13169417300014</v>
      </c>
      <c r="Z11" s="2">
        <f t="shared" si="2"/>
        <v>919.13152278799987</v>
      </c>
    </row>
    <row r="12" spans="1:26" ht="15" customHeight="1" x14ac:dyDescent="0.15">
      <c r="A12" s="177" t="s">
        <v>328</v>
      </c>
      <c r="B12" s="177" t="s">
        <v>329</v>
      </c>
      <c r="C12" s="177" t="s">
        <v>327</v>
      </c>
      <c r="D12" s="178">
        <v>52.860000999999997</v>
      </c>
      <c r="E12" s="179">
        <v>86.852880999999996</v>
      </c>
      <c r="F12" s="179">
        <v>88.964127000000005</v>
      </c>
      <c r="G12" s="179">
        <v>4591.0434160000004</v>
      </c>
      <c r="H12" s="179">
        <v>4702.6437299999998</v>
      </c>
      <c r="I12" s="179">
        <v>4469.3022460000002</v>
      </c>
      <c r="J12" s="179">
        <v>159.619</v>
      </c>
      <c r="K12" s="179">
        <v>86.040999999999997</v>
      </c>
      <c r="L12" s="179">
        <v>0</v>
      </c>
      <c r="M12" s="179">
        <v>0</v>
      </c>
      <c r="N12" s="179">
        <v>281.36</v>
      </c>
      <c r="O12" s="180">
        <v>2.8163450000000001</v>
      </c>
      <c r="P12" s="179">
        <v>1586.9159999999999</v>
      </c>
      <c r="Q12" s="180">
        <v>12.379125</v>
      </c>
      <c r="R12" s="179">
        <v>364.10690299999999</v>
      </c>
      <c r="S12" s="179">
        <v>4507.3247300000003</v>
      </c>
      <c r="T12" s="180">
        <v>34.287989000000003</v>
      </c>
      <c r="U12" s="179">
        <v>130.346</v>
      </c>
      <c r="X12" s="2">
        <f t="shared" si="0"/>
        <v>4469.30294202</v>
      </c>
      <c r="Y12" s="2">
        <f t="shared" si="1"/>
        <v>4469.30294202</v>
      </c>
      <c r="Z12" s="2">
        <f t="shared" si="2"/>
        <v>4469.302214194001</v>
      </c>
    </row>
    <row r="13" spans="1:26" ht="15" customHeight="1" x14ac:dyDescent="0.15">
      <c r="A13" s="181" t="s">
        <v>330</v>
      </c>
      <c r="B13" s="181" t="s">
        <v>331</v>
      </c>
      <c r="C13" s="181" t="s">
        <v>332</v>
      </c>
      <c r="D13" s="182">
        <v>27</v>
      </c>
      <c r="E13" s="183">
        <v>15.488999</v>
      </c>
      <c r="F13" s="183">
        <v>16.548203000000001</v>
      </c>
      <c r="G13" s="183">
        <v>418.20298300000002</v>
      </c>
      <c r="H13" s="183">
        <v>446.80148100000002</v>
      </c>
      <c r="I13" s="183">
        <v>542.28698699999995</v>
      </c>
      <c r="J13" s="183">
        <v>161.822</v>
      </c>
      <c r="K13" s="183">
        <v>0</v>
      </c>
      <c r="L13" s="183">
        <v>0</v>
      </c>
      <c r="M13" s="183">
        <v>0</v>
      </c>
      <c r="N13" s="183">
        <v>37.738</v>
      </c>
      <c r="O13" s="184">
        <v>0.78751499999999997</v>
      </c>
      <c r="P13" s="183">
        <v>688.60500000000002</v>
      </c>
      <c r="Q13" s="184">
        <v>6.2306090000000003</v>
      </c>
      <c r="R13" s="183">
        <v>65.653846999999999</v>
      </c>
      <c r="S13" s="183">
        <v>409.06348100000002</v>
      </c>
      <c r="T13" s="184">
        <v>9.6619569999999992</v>
      </c>
      <c r="U13" s="183">
        <v>56.125999999999998</v>
      </c>
      <c r="X13" s="2">
        <f t="shared" si="0"/>
        <v>542.286766575</v>
      </c>
      <c r="Y13" s="2">
        <f t="shared" si="1"/>
        <v>542.286766575</v>
      </c>
      <c r="Z13" s="2">
        <f t="shared" si="2"/>
        <v>542.28699858199991</v>
      </c>
    </row>
    <row r="14" spans="1:26" ht="15" customHeight="1" x14ac:dyDescent="0.15">
      <c r="A14" s="177" t="s">
        <v>333</v>
      </c>
      <c r="B14" s="177" t="s">
        <v>334</v>
      </c>
      <c r="C14" s="177" t="s">
        <v>327</v>
      </c>
      <c r="D14" s="178">
        <v>6.4</v>
      </c>
      <c r="E14" s="179">
        <v>360.45075000000003</v>
      </c>
      <c r="F14" s="179">
        <v>405.79497700000002</v>
      </c>
      <c r="G14" s="179">
        <v>2306.8848469999998</v>
      </c>
      <c r="H14" s="179">
        <v>2597.087853</v>
      </c>
      <c r="I14" s="179">
        <v>3911.5847170000002</v>
      </c>
      <c r="J14" s="179">
        <v>2353.1999999999998</v>
      </c>
      <c r="K14" s="179">
        <v>1687.8000489999999</v>
      </c>
      <c r="L14" s="179">
        <v>0</v>
      </c>
      <c r="M14" s="179">
        <v>0</v>
      </c>
      <c r="N14" s="179">
        <v>748.5</v>
      </c>
      <c r="O14" s="180">
        <v>1.4074500000000001</v>
      </c>
      <c r="P14" s="179">
        <v>2779.2</v>
      </c>
      <c r="Q14" s="180">
        <v>312.41599500000001</v>
      </c>
      <c r="R14" s="179">
        <v>11.319483999999999</v>
      </c>
      <c r="S14" s="179">
        <v>3536.3878530000002</v>
      </c>
      <c r="T14" s="177" t="s">
        <v>43</v>
      </c>
      <c r="U14" s="185">
        <v>-428.1</v>
      </c>
      <c r="X14" s="2">
        <f t="shared" si="0"/>
        <v>3911.5850399999999</v>
      </c>
      <c r="Y14" s="2">
        <f t="shared" si="1"/>
        <v>3911.5850399999999</v>
      </c>
      <c r="Z14" s="2" t="e">
        <f t="shared" si="2"/>
        <v>#VALUE!</v>
      </c>
    </row>
    <row r="15" spans="1:26" ht="15" customHeight="1" x14ac:dyDescent="0.15">
      <c r="A15" s="181" t="s">
        <v>335</v>
      </c>
      <c r="B15" s="181" t="s">
        <v>336</v>
      </c>
      <c r="C15" s="181" t="s">
        <v>337</v>
      </c>
      <c r="D15" s="182">
        <v>67.669998000000007</v>
      </c>
      <c r="E15" s="183">
        <v>42.380934000000003</v>
      </c>
      <c r="F15" s="183">
        <v>42.724933999999998</v>
      </c>
      <c r="G15" s="183">
        <v>2867.9175810000002</v>
      </c>
      <c r="H15" s="183">
        <v>2891.1962840000001</v>
      </c>
      <c r="I15" s="183">
        <v>2980.1015619999998</v>
      </c>
      <c r="J15" s="183">
        <v>202.815</v>
      </c>
      <c r="K15" s="183">
        <v>190</v>
      </c>
      <c r="L15" s="183">
        <v>0</v>
      </c>
      <c r="M15" s="183">
        <v>0</v>
      </c>
      <c r="N15" s="183">
        <v>90.631</v>
      </c>
      <c r="O15" s="184">
        <v>1.9347240000000001</v>
      </c>
      <c r="P15" s="183">
        <v>1540.3240000000001</v>
      </c>
      <c r="Q15" s="184">
        <v>8.765841</v>
      </c>
      <c r="R15" s="183">
        <v>341.16125499999998</v>
      </c>
      <c r="S15" s="183">
        <v>2990.5652839999998</v>
      </c>
      <c r="T15" s="184">
        <v>11.396531</v>
      </c>
      <c r="U15" s="183">
        <v>261.49200000000002</v>
      </c>
      <c r="X15" s="2">
        <f t="shared" si="0"/>
        <v>2980.1018105760004</v>
      </c>
      <c r="Y15" s="2">
        <f t="shared" si="1"/>
        <v>2980.1018105760004</v>
      </c>
      <c r="Z15" s="2">
        <f t="shared" si="2"/>
        <v>2980.1016842520003</v>
      </c>
    </row>
    <row r="16" spans="1:26" ht="15" customHeight="1" x14ac:dyDescent="0.15">
      <c r="A16" s="177" t="s">
        <v>338</v>
      </c>
      <c r="B16" s="177" t="s">
        <v>339</v>
      </c>
      <c r="C16" s="177" t="s">
        <v>327</v>
      </c>
      <c r="D16" s="178">
        <v>13.667</v>
      </c>
      <c r="E16" s="179">
        <v>105.72935</v>
      </c>
      <c r="F16" s="179">
        <v>105.978149</v>
      </c>
      <c r="G16" s="179">
        <v>2890.063083</v>
      </c>
      <c r="H16" s="179">
        <v>2896.8639560000001</v>
      </c>
      <c r="I16" s="179">
        <v>3057.6777339999999</v>
      </c>
      <c r="J16" s="179">
        <v>232.41471999999999</v>
      </c>
      <c r="K16" s="179">
        <v>232.41471899999999</v>
      </c>
      <c r="L16" s="179">
        <v>0</v>
      </c>
      <c r="M16" s="179">
        <v>0</v>
      </c>
      <c r="N16" s="179">
        <v>64.799985000000007</v>
      </c>
      <c r="O16" s="180">
        <v>3.5216240000000001</v>
      </c>
      <c r="P16" s="179">
        <v>868.25788</v>
      </c>
      <c r="Q16" s="177" t="s">
        <v>43</v>
      </c>
      <c r="R16" s="177" t="s">
        <v>43</v>
      </c>
      <c r="S16" s="179">
        <v>3079.4506150000002</v>
      </c>
      <c r="T16" s="180">
        <v>19.009440999999999</v>
      </c>
      <c r="U16" s="179">
        <v>160.85048</v>
      </c>
      <c r="X16" s="2">
        <f t="shared" si="0"/>
        <v>3057.6777883971199</v>
      </c>
      <c r="Y16" s="2">
        <f t="shared" si="1"/>
        <v>3057.6777883971199</v>
      </c>
      <c r="Z16" s="2">
        <f t="shared" si="2"/>
        <v>3057.67770938168</v>
      </c>
    </row>
    <row r="17" spans="1:21" ht="15" customHeight="1" x14ac:dyDescent="0.15">
      <c r="A17" s="181" t="s">
        <v>266</v>
      </c>
      <c r="B17" s="181"/>
      <c r="C17" s="181"/>
      <c r="D17" s="181"/>
      <c r="E17" s="181"/>
      <c r="F17" s="181"/>
      <c r="G17" s="181"/>
      <c r="H17" s="181"/>
      <c r="I17" s="181"/>
      <c r="J17" s="183">
        <f>AVERAGE(J10:J16)</f>
        <v>622.83453142857138</v>
      </c>
      <c r="K17" s="183">
        <f>AVERAGE(K10:K16)</f>
        <v>522.29896550000001</v>
      </c>
      <c r="L17" s="181"/>
      <c r="M17" s="181"/>
      <c r="N17" s="181"/>
      <c r="O17" s="182">
        <f>AVERAGE(O10:O16)</f>
        <v>1.8819142857142859</v>
      </c>
      <c r="P17" s="186"/>
      <c r="Q17" s="182">
        <f>AVERAGE(Q10:Q16)</f>
        <v>58.608451166666669</v>
      </c>
      <c r="R17" s="186"/>
      <c r="S17" s="186"/>
      <c r="T17" s="182">
        <f>AVERAGE(T10:T16)</f>
        <v>15.809647333333332</v>
      </c>
      <c r="U17" s="181"/>
    </row>
    <row r="18" spans="1:21" s="3" customFormat="1" ht="15" customHeight="1" x14ac:dyDescent="0.15">
      <c r="A18" s="187" t="s">
        <v>340</v>
      </c>
      <c r="B18" s="187"/>
      <c r="C18" s="187"/>
      <c r="D18" s="187"/>
      <c r="E18" s="187"/>
      <c r="F18" s="187"/>
      <c r="G18" s="187"/>
      <c r="H18" s="187"/>
      <c r="I18" s="187"/>
      <c r="J18" s="188">
        <f>MEDIAN(J10:J16)</f>
        <v>202.815</v>
      </c>
      <c r="K18" s="188">
        <f>MEDIAN(K10:K16)</f>
        <v>211.2073595</v>
      </c>
      <c r="L18" s="187"/>
      <c r="M18" s="187"/>
      <c r="N18" s="187"/>
      <c r="O18" s="189">
        <f>MEDIAN(O10:O16)</f>
        <v>1.7450730000000001</v>
      </c>
      <c r="P18" s="190"/>
      <c r="Q18" s="189">
        <f>MEDIAN(Q10:Q16)</f>
        <v>7.5512110000000003</v>
      </c>
      <c r="R18" s="190"/>
      <c r="S18" s="190"/>
      <c r="T18" s="189">
        <f>MEDIAN(T10:T16)</f>
        <v>12.642339499999999</v>
      </c>
      <c r="U18" s="187"/>
    </row>
    <row r="19" spans="1:21" ht="15" customHeight="1" x14ac:dyDescent="0.15">
      <c r="A19" s="3" t="s">
        <v>341</v>
      </c>
      <c r="M19" s="2" t="s">
        <v>342</v>
      </c>
      <c r="N19" s="259">
        <v>0.25</v>
      </c>
      <c r="O19" s="189">
        <f>PERCENTILE(O10:O16,0.25)</f>
        <v>1.1840595</v>
      </c>
      <c r="Q19" s="189">
        <f>PERCENTILE(Q10:Q16,0.25)</f>
        <v>6.2571019999999997</v>
      </c>
    </row>
    <row r="20" spans="1:21" ht="15" customHeight="1" x14ac:dyDescent="0.15">
      <c r="N20" s="259">
        <v>0.75</v>
      </c>
      <c r="O20" s="189">
        <f>PERCENTILE(O10:O16,0.75)</f>
        <v>2.3755345000000001</v>
      </c>
      <c r="Q20" s="189">
        <f>PERCENTILE(Q10:Q16,0.75)</f>
        <v>11.475804</v>
      </c>
    </row>
    <row r="22" spans="1:21" ht="15" customHeight="1" x14ac:dyDescent="0.15">
      <c r="A22" s="181" t="s">
        <v>343</v>
      </c>
      <c r="B22" s="181" t="s">
        <v>2</v>
      </c>
      <c r="C22" s="181" t="s">
        <v>327</v>
      </c>
      <c r="D22" s="182">
        <v>2.77</v>
      </c>
      <c r="E22" s="183">
        <v>125.809285</v>
      </c>
      <c r="F22" s="183">
        <v>135.12313800000001</v>
      </c>
      <c r="G22" s="183">
        <v>348.49170400000003</v>
      </c>
      <c r="H22" s="183">
        <v>374.29109199999999</v>
      </c>
      <c r="I22" s="183">
        <v>771.660706</v>
      </c>
      <c r="J22" s="183">
        <v>434.44900000000001</v>
      </c>
      <c r="K22" s="183">
        <v>397.25900300000001</v>
      </c>
      <c r="L22" s="183">
        <v>0</v>
      </c>
      <c r="M22" s="183">
        <v>0</v>
      </c>
      <c r="N22" s="183">
        <v>11.28</v>
      </c>
      <c r="O22" s="184">
        <v>1.329221</v>
      </c>
      <c r="P22" s="183">
        <v>580.53599999999994</v>
      </c>
      <c r="Q22" s="184">
        <v>11.146077</v>
      </c>
      <c r="R22" s="183">
        <v>70.452599000000006</v>
      </c>
      <c r="S22" s="183">
        <v>785.27009199999998</v>
      </c>
      <c r="T22" s="181" t="s">
        <v>43</v>
      </c>
      <c r="U22" s="191">
        <v>-0.56399999999999995</v>
      </c>
    </row>
    <row r="23" spans="1:21" ht="15" customHeight="1" x14ac:dyDescent="0.15">
      <c r="H23" s="192"/>
      <c r="I23" s="192"/>
    </row>
    <row r="25" spans="1:21" ht="15" customHeight="1" x14ac:dyDescent="0.15">
      <c r="O25" s="277" t="s">
        <v>344</v>
      </c>
      <c r="P25" s="278"/>
      <c r="Q25" s="278"/>
      <c r="R25" s="278"/>
      <c r="S25" s="279"/>
    </row>
    <row r="26" spans="1:21" ht="15" customHeight="1" x14ac:dyDescent="0.15">
      <c r="O26" s="268"/>
      <c r="P26" s="270" t="s">
        <v>345</v>
      </c>
      <c r="Q26" s="269" t="s">
        <v>340</v>
      </c>
      <c r="R26" s="270" t="s">
        <v>346</v>
      </c>
      <c r="S26" s="271" t="s">
        <v>347</v>
      </c>
    </row>
    <row r="27" spans="1:21" ht="15" customHeight="1" x14ac:dyDescent="0.15">
      <c r="C27" s="3" t="s">
        <v>348</v>
      </c>
      <c r="D27" s="3" t="s">
        <v>302</v>
      </c>
      <c r="E27" s="3" t="s">
        <v>349</v>
      </c>
      <c r="F27" s="3"/>
      <c r="G27" s="3" t="s">
        <v>350</v>
      </c>
      <c r="J27" s="3" t="s">
        <v>351</v>
      </c>
      <c r="O27" s="272" t="s">
        <v>352</v>
      </c>
      <c r="P27" s="260">
        <f>C30</f>
        <v>2.1001642755699619</v>
      </c>
      <c r="Q27" s="261">
        <f>C28</f>
        <v>4.6889122621434485</v>
      </c>
      <c r="R27" s="262">
        <f>C31</f>
        <v>7.5981220026168952</v>
      </c>
      <c r="S27" s="263">
        <f>C29</f>
        <v>8.2650382732422241</v>
      </c>
    </row>
    <row r="28" spans="1:21" ht="15" customHeight="1" x14ac:dyDescent="0.2">
      <c r="C28" s="193">
        <f>E28/D28</f>
        <v>4.6889122621434485</v>
      </c>
      <c r="D28" s="192">
        <f>E22</f>
        <v>125.809285</v>
      </c>
      <c r="E28" s="192">
        <f>G28-J22-L22-M22+N22</f>
        <v>589.90869912799985</v>
      </c>
      <c r="G28" s="192">
        <f>J28*P22</f>
        <v>1013.0776991279999</v>
      </c>
      <c r="J28" s="194">
        <f>O18</f>
        <v>1.7450730000000001</v>
      </c>
      <c r="O28" s="273" t="s">
        <v>308</v>
      </c>
      <c r="P28" s="264">
        <f>C34</f>
        <v>0.14037197737907839</v>
      </c>
      <c r="Q28" s="265">
        <f>C33</f>
        <v>0.86506683944185059</v>
      </c>
      <c r="R28" s="266">
        <f>C35</f>
        <v>3.0628201838568283</v>
      </c>
      <c r="S28" s="267"/>
    </row>
    <row r="29" spans="1:21" ht="15" customHeight="1" x14ac:dyDescent="0.2">
      <c r="C29" s="193">
        <f>E29/D29</f>
        <v>8.2650382732422241</v>
      </c>
      <c r="D29" s="192">
        <f>$E$22</f>
        <v>125.809285</v>
      </c>
      <c r="E29" s="192">
        <f>G29-$J$22-$L$22-$M$22+$N$22</f>
        <v>1039.8185556542389</v>
      </c>
      <c r="G29" s="192">
        <f>J29*$P$22</f>
        <v>1462.987555654239</v>
      </c>
      <c r="J29" s="194">
        <f>Valuation!C9</f>
        <v>2.5200634511111097</v>
      </c>
      <c r="K29" s="2" t="s">
        <v>353</v>
      </c>
    </row>
    <row r="30" spans="1:21" ht="15" customHeight="1" x14ac:dyDescent="0.2">
      <c r="C30" s="193">
        <f t="shared" ref="C30:C31" si="3">E30/D30</f>
        <v>2.1001642755699619</v>
      </c>
      <c r="D30" s="192">
        <f t="shared" ref="D30:D31" si="4">$E$22</f>
        <v>125.809285</v>
      </c>
      <c r="E30" s="192">
        <f t="shared" ref="E30" si="5">G30-$J$22-$L$22-$M$22+$N$22</f>
        <v>264.2201658919999</v>
      </c>
      <c r="G30" s="192">
        <f t="shared" ref="G30:G31" si="6">J30*$P$22</f>
        <v>687.38916589199994</v>
      </c>
      <c r="J30" s="194">
        <f>O19</f>
        <v>1.1840595</v>
      </c>
      <c r="K30" s="2" t="s">
        <v>354</v>
      </c>
    </row>
    <row r="31" spans="1:21" ht="15" customHeight="1" x14ac:dyDescent="0.2">
      <c r="C31" s="193">
        <f t="shared" si="3"/>
        <v>7.5981220026168952</v>
      </c>
      <c r="D31" s="192">
        <f t="shared" si="4"/>
        <v>125.809285</v>
      </c>
      <c r="E31" s="192">
        <f>G31-$J$22-$L$22-$M$22+$N$22</f>
        <v>955.91429649199972</v>
      </c>
      <c r="G31" s="192">
        <f t="shared" si="6"/>
        <v>1379.0832964919998</v>
      </c>
      <c r="J31" s="194">
        <f>O20</f>
        <v>2.3755345000000001</v>
      </c>
      <c r="K31" s="2" t="s">
        <v>355</v>
      </c>
    </row>
    <row r="32" spans="1:21" ht="15" customHeight="1" x14ac:dyDescent="0.15">
      <c r="C32" s="3" t="s">
        <v>348</v>
      </c>
      <c r="D32" s="3" t="s">
        <v>302</v>
      </c>
      <c r="E32" s="3" t="s">
        <v>356</v>
      </c>
      <c r="F32" s="3"/>
      <c r="G32" s="3" t="s">
        <v>357</v>
      </c>
      <c r="J32" s="3" t="s">
        <v>351</v>
      </c>
    </row>
    <row r="33" spans="2:11" ht="15" customHeight="1" x14ac:dyDescent="0.2">
      <c r="C33" s="195">
        <f>E33/$D$33</f>
        <v>0.86506683944185059</v>
      </c>
      <c r="D33" s="192">
        <f>E22</f>
        <v>125.809285</v>
      </c>
      <c r="E33" s="192">
        <f>G33-$J$22-$L$22-$M$22+$N$22</f>
        <v>108.83344054738902</v>
      </c>
      <c r="F33" s="192"/>
      <c r="G33" s="2">
        <f>J33*$R$22</f>
        <v>532.00244054738903</v>
      </c>
      <c r="J33" s="194">
        <f>Q18</f>
        <v>7.5512110000000003</v>
      </c>
    </row>
    <row r="34" spans="2:11" ht="15" customHeight="1" x14ac:dyDescent="0.2">
      <c r="C34" s="195">
        <f>E34/$D$33</f>
        <v>0.14037197737907839</v>
      </c>
      <c r="E34" s="192">
        <f>G34-$J$22-$L$22-$M$22+$N$22</f>
        <v>17.660098108098026</v>
      </c>
      <c r="G34" s="2">
        <f t="shared" ref="G34:G35" si="7">J34*$R$22</f>
        <v>440.82909810809804</v>
      </c>
      <c r="J34" s="194">
        <f>Q19</f>
        <v>6.2571019999999997</v>
      </c>
      <c r="K34" s="2" t="s">
        <v>354</v>
      </c>
    </row>
    <row r="35" spans="2:11" ht="15" customHeight="1" x14ac:dyDescent="0.2">
      <c r="C35" s="195">
        <f>E35/$D$33</f>
        <v>3.0628201838568283</v>
      </c>
      <c r="E35" s="192">
        <f>G35-$J$22-$L$22-$M$22+$N$22</f>
        <v>385.3312174145961</v>
      </c>
      <c r="G35" s="2">
        <f t="shared" si="7"/>
        <v>808.50021741459614</v>
      </c>
      <c r="J35" s="194">
        <f>Q20</f>
        <v>11.475804</v>
      </c>
      <c r="K35" s="2" t="s">
        <v>355</v>
      </c>
    </row>
    <row r="36" spans="2:11" ht="15" customHeight="1" x14ac:dyDescent="0.15">
      <c r="B36" s="3" t="s">
        <v>266</v>
      </c>
      <c r="C36" s="196">
        <f>AVERAGE(C28,C33)</f>
        <v>2.7769895507926496</v>
      </c>
    </row>
  </sheetData>
  <mergeCells count="1">
    <mergeCell ref="O25:S25"/>
  </mergeCells>
  <pageMargins left="0.75" right="0.75" top="1" bottom="1" header="0.5" footer="0.5"/>
  <pageSetup orientation="portrait" horizontalDpi="0" verticalDpi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B1432-F912-5843-A567-BFB5000498D9}">
  <sheetPr>
    <tabColor theme="5" tint="-0.249977111117893"/>
  </sheetPr>
  <dimension ref="A2:C9"/>
  <sheetViews>
    <sheetView workbookViewId="0">
      <selection activeCell="I16" sqref="I16"/>
    </sheetView>
  </sheetViews>
  <sheetFormatPr baseColWidth="10" defaultColWidth="11" defaultRowHeight="16" x14ac:dyDescent="0.2"/>
  <cols>
    <col min="1" max="1" width="12.33203125" customWidth="1"/>
    <col min="3" max="3" width="12" customWidth="1"/>
  </cols>
  <sheetData>
    <row r="2" spans="1:3" x14ac:dyDescent="0.2">
      <c r="A2" s="200" t="s">
        <v>358</v>
      </c>
      <c r="B2" s="201" t="s">
        <v>263</v>
      </c>
      <c r="C2" s="202" t="s">
        <v>359</v>
      </c>
    </row>
    <row r="3" spans="1:3" x14ac:dyDescent="0.2">
      <c r="A3" s="198" t="s">
        <v>352</v>
      </c>
      <c r="B3" s="197">
        <f>'COOK-USA'!C28</f>
        <v>4.6889122621434485</v>
      </c>
      <c r="C3" s="199">
        <v>0.1</v>
      </c>
    </row>
    <row r="4" spans="1:3" x14ac:dyDescent="0.2">
      <c r="A4" s="198" t="s">
        <v>308</v>
      </c>
      <c r="B4" s="197">
        <f>'COOK-USA'!C33</f>
        <v>0.86506683944185059</v>
      </c>
      <c r="C4" s="199">
        <v>0.15</v>
      </c>
    </row>
    <row r="5" spans="1:3" x14ac:dyDescent="0.2">
      <c r="A5" s="198" t="s">
        <v>224</v>
      </c>
      <c r="B5" s="197">
        <f ca="1">DCF!F23</f>
        <v>3.0037594613668177</v>
      </c>
      <c r="C5" s="199">
        <v>0.75</v>
      </c>
    </row>
    <row r="6" spans="1:3" x14ac:dyDescent="0.2">
      <c r="A6" s="203" t="s">
        <v>360</v>
      </c>
      <c r="B6" s="204">
        <f ca="1">B3*C3+B4*C4+B5*C5</f>
        <v>2.8514708481557358</v>
      </c>
      <c r="C6" s="205">
        <f>SUM(C3:C5)</f>
        <v>1</v>
      </c>
    </row>
    <row r="9" spans="1:3" x14ac:dyDescent="0.2">
      <c r="A9" t="s">
        <v>361</v>
      </c>
      <c r="C9">
        <f>3700000/1468217</f>
        <v>2.5200634511111097</v>
      </c>
    </row>
  </sheetData>
  <pageMargins left="0.7" right="0.7" top="0.75" bottom="0.75" header="0.3" footer="0.3"/>
  <pageSetup orientation="portrait" horizontalDpi="0" verticalDpi="0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11CB43-3F0F-B349-8F03-F774843542C9}">
  <sheetPr codeName="Sheet14">
    <tabColor rgb="FFC00000"/>
  </sheetPr>
  <dimension ref="B5:K20"/>
  <sheetViews>
    <sheetView workbookViewId="0">
      <selection activeCell="L27" sqref="L27"/>
    </sheetView>
  </sheetViews>
  <sheetFormatPr baseColWidth="10" defaultColWidth="11" defaultRowHeight="16" x14ac:dyDescent="0.2"/>
  <cols>
    <col min="3" max="3" width="17.1640625" bestFit="1" customWidth="1"/>
    <col min="4" max="4" width="14.33203125" bestFit="1" customWidth="1"/>
    <col min="7" max="9" width="12.5" bestFit="1" customWidth="1"/>
    <col min="10" max="11" width="13.5" bestFit="1" customWidth="1"/>
  </cols>
  <sheetData>
    <row r="5" spans="2:11" x14ac:dyDescent="0.2">
      <c r="F5" s="30">
        <v>2022</v>
      </c>
      <c r="G5" s="6">
        <v>2023</v>
      </c>
      <c r="H5" s="6">
        <v>2024</v>
      </c>
      <c r="I5" s="6">
        <v>2025</v>
      </c>
      <c r="J5" s="6">
        <v>2026</v>
      </c>
      <c r="K5" s="6">
        <v>2027</v>
      </c>
    </row>
    <row r="6" spans="2:11" x14ac:dyDescent="0.2">
      <c r="C6" s="29"/>
      <c r="D6" s="31"/>
      <c r="E6" s="31"/>
      <c r="F6" s="31"/>
      <c r="G6" s="31"/>
      <c r="H6" s="31"/>
    </row>
    <row r="7" spans="2:11" x14ac:dyDescent="0.2">
      <c r="B7" s="1"/>
      <c r="C7" s="32" t="s">
        <v>362</v>
      </c>
      <c r="D7" s="1" t="s">
        <v>363</v>
      </c>
    </row>
    <row r="8" spans="2:11" x14ac:dyDescent="0.2">
      <c r="B8" s="1" cm="1">
        <f t="array" ref="B8:B12">TRANSPOSE(G5:K5)</f>
        <v>2023</v>
      </c>
      <c r="C8" s="34">
        <v>20000</v>
      </c>
      <c r="D8">
        <v>8</v>
      </c>
      <c r="G8" s="33">
        <f t="shared" ref="G8:K8" si="0">$C8/$D8</f>
        <v>2500</v>
      </c>
      <c r="H8" s="33">
        <f t="shared" si="0"/>
        <v>2500</v>
      </c>
      <c r="I8" s="33">
        <f t="shared" si="0"/>
        <v>2500</v>
      </c>
      <c r="J8" s="33">
        <f t="shared" si="0"/>
        <v>2500</v>
      </c>
      <c r="K8" s="33">
        <f t="shared" si="0"/>
        <v>2500</v>
      </c>
    </row>
    <row r="9" spans="2:11" x14ac:dyDescent="0.2">
      <c r="B9" s="1">
        <v>2024</v>
      </c>
      <c r="C9" s="34">
        <v>50000</v>
      </c>
      <c r="D9">
        <v>8</v>
      </c>
      <c r="G9" s="33"/>
      <c r="H9" s="33">
        <f t="shared" ref="H9:K12" si="1">$C9/$D9</f>
        <v>6250</v>
      </c>
      <c r="I9" s="33">
        <f t="shared" si="1"/>
        <v>6250</v>
      </c>
      <c r="J9" s="33">
        <f t="shared" si="1"/>
        <v>6250</v>
      </c>
      <c r="K9" s="33">
        <f t="shared" si="1"/>
        <v>6250</v>
      </c>
    </row>
    <row r="10" spans="2:11" x14ac:dyDescent="0.2">
      <c r="B10" s="1">
        <v>2025</v>
      </c>
      <c r="C10" s="34">
        <v>20000</v>
      </c>
      <c r="D10">
        <v>8</v>
      </c>
      <c r="G10" s="33"/>
      <c r="H10" s="33"/>
      <c r="I10" s="33">
        <f t="shared" si="1"/>
        <v>2500</v>
      </c>
      <c r="J10" s="33">
        <f t="shared" si="1"/>
        <v>2500</v>
      </c>
      <c r="K10" s="33">
        <f t="shared" si="1"/>
        <v>2500</v>
      </c>
    </row>
    <row r="11" spans="2:11" x14ac:dyDescent="0.2">
      <c r="B11" s="1">
        <v>2026</v>
      </c>
      <c r="C11" s="34">
        <v>50000</v>
      </c>
      <c r="D11">
        <v>8</v>
      </c>
      <c r="G11" s="33"/>
      <c r="H11" s="33"/>
      <c r="I11" s="33"/>
      <c r="J11" s="33">
        <f t="shared" si="1"/>
        <v>6250</v>
      </c>
      <c r="K11" s="33">
        <f t="shared" si="1"/>
        <v>6250</v>
      </c>
    </row>
    <row r="12" spans="2:11" x14ac:dyDescent="0.2">
      <c r="B12" s="1">
        <v>2027</v>
      </c>
      <c r="C12" s="34">
        <v>20000</v>
      </c>
      <c r="D12">
        <v>8</v>
      </c>
      <c r="G12" s="33"/>
      <c r="H12" s="33"/>
      <c r="I12" s="33"/>
      <c r="J12" s="33"/>
      <c r="K12" s="33">
        <f t="shared" si="1"/>
        <v>2500</v>
      </c>
    </row>
    <row r="13" spans="2:11" x14ac:dyDescent="0.2">
      <c r="G13" s="33"/>
      <c r="H13" s="33"/>
      <c r="I13" s="33"/>
      <c r="J13" s="33"/>
      <c r="K13" s="33"/>
    </row>
    <row r="14" spans="2:11" s="1" customFormat="1" x14ac:dyDescent="0.2">
      <c r="B14" s="1" t="s">
        <v>364</v>
      </c>
      <c r="G14" s="35">
        <f>SUM(G8:G12)</f>
        <v>2500</v>
      </c>
      <c r="H14" s="35">
        <f t="shared" ref="H14:K14" si="2">SUM(H8:H12)</f>
        <v>8750</v>
      </c>
      <c r="I14" s="35">
        <f t="shared" si="2"/>
        <v>11250</v>
      </c>
      <c r="J14" s="35">
        <f t="shared" si="2"/>
        <v>17500</v>
      </c>
      <c r="K14" s="35">
        <f t="shared" si="2"/>
        <v>20000</v>
      </c>
    </row>
    <row r="15" spans="2:11" x14ac:dyDescent="0.2">
      <c r="G15" s="33"/>
      <c r="H15" s="33"/>
      <c r="I15" s="33"/>
      <c r="J15" s="33"/>
      <c r="K15" s="33"/>
    </row>
    <row r="16" spans="2:11" s="1" customFormat="1" x14ac:dyDescent="0.2">
      <c r="B16" s="1" t="s">
        <v>365</v>
      </c>
      <c r="G16" s="35">
        <f>'Balance Sheet'!E15</f>
        <v>672477</v>
      </c>
      <c r="H16" s="35">
        <f>G19</f>
        <v>689977</v>
      </c>
      <c r="I16" s="35">
        <f t="shared" ref="I16:K16" si="3">H19</f>
        <v>731227</v>
      </c>
      <c r="J16" s="35">
        <f t="shared" si="3"/>
        <v>739977</v>
      </c>
      <c r="K16" s="35">
        <f t="shared" si="3"/>
        <v>772477</v>
      </c>
    </row>
    <row r="17" spans="2:11" x14ac:dyDescent="0.2">
      <c r="B17" t="s">
        <v>231</v>
      </c>
      <c r="F17" s="28"/>
      <c r="G17" s="33">
        <f>LOOKUP(G5,_xlfn.ANCHORARRAY($B$8),$C$8:$C$12)</f>
        <v>20000</v>
      </c>
      <c r="H17" s="33">
        <f t="shared" ref="H17:K17" si="4">LOOKUP(H5,_xlfn.ANCHORARRAY($B$8),$C$8:$C$12)</f>
        <v>50000</v>
      </c>
      <c r="I17" s="33">
        <f t="shared" si="4"/>
        <v>20000</v>
      </c>
      <c r="J17" s="33">
        <f t="shared" si="4"/>
        <v>50000</v>
      </c>
      <c r="K17" s="33">
        <f t="shared" si="4"/>
        <v>20000</v>
      </c>
    </row>
    <row r="18" spans="2:11" x14ac:dyDescent="0.2">
      <c r="B18" t="s">
        <v>153</v>
      </c>
      <c r="F18" s="5"/>
      <c r="G18" s="33">
        <f>G14</f>
        <v>2500</v>
      </c>
      <c r="H18" s="33">
        <f t="shared" ref="H18:K18" si="5">H14</f>
        <v>8750</v>
      </c>
      <c r="I18" s="33">
        <f t="shared" si="5"/>
        <v>11250</v>
      </c>
      <c r="J18" s="33">
        <f t="shared" si="5"/>
        <v>17500</v>
      </c>
      <c r="K18" s="33">
        <f t="shared" si="5"/>
        <v>20000</v>
      </c>
    </row>
    <row r="19" spans="2:11" s="1" customFormat="1" x14ac:dyDescent="0.2">
      <c r="B19" s="1" t="s">
        <v>366</v>
      </c>
      <c r="F19" s="36"/>
      <c r="G19" s="35">
        <f>G16+G17-G18</f>
        <v>689977</v>
      </c>
      <c r="H19" s="35">
        <f t="shared" ref="H19:K19" si="6">H16+H17-H18</f>
        <v>731227</v>
      </c>
      <c r="I19" s="35">
        <f t="shared" si="6"/>
        <v>739977</v>
      </c>
      <c r="J19" s="35">
        <f t="shared" si="6"/>
        <v>772477</v>
      </c>
      <c r="K19" s="35">
        <f t="shared" si="6"/>
        <v>772477</v>
      </c>
    </row>
    <row r="20" spans="2:11" x14ac:dyDescent="0.2">
      <c r="G20" s="33"/>
      <c r="H20" s="33"/>
      <c r="I20" s="33"/>
      <c r="J20" s="33"/>
      <c r="K20" s="33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B1F9AA-177B-43EC-8736-5C03A438D6CD}">
  <sheetPr>
    <tabColor theme="5" tint="-0.249977111117893"/>
  </sheetPr>
  <dimension ref="A1:I11"/>
  <sheetViews>
    <sheetView topLeftCell="P1" workbookViewId="0">
      <selection activeCell="I11" sqref="C4:I11"/>
    </sheetView>
  </sheetViews>
  <sheetFormatPr baseColWidth="10" defaultColWidth="8.83203125" defaultRowHeight="16" x14ac:dyDescent="0.2"/>
  <cols>
    <col min="1" max="1" width="17.6640625" bestFit="1" customWidth="1"/>
    <col min="3" max="3" width="2.6640625" bestFit="1" customWidth="1"/>
  </cols>
  <sheetData>
    <row r="1" spans="1:9" x14ac:dyDescent="0.2">
      <c r="A1" s="1" t="s">
        <v>367</v>
      </c>
    </row>
    <row r="2" spans="1:9" x14ac:dyDescent="0.2">
      <c r="A2" t="s">
        <v>368</v>
      </c>
      <c r="B2" s="37">
        <f ca="1">WACC!B14</f>
        <v>9.6782323941207227E-2</v>
      </c>
      <c r="C2" s="37"/>
    </row>
    <row r="3" spans="1:9" x14ac:dyDescent="0.2">
      <c r="A3" t="s">
        <v>369</v>
      </c>
      <c r="B3" s="37">
        <f>DCF!B3</f>
        <v>3.1899999999999998E-2</v>
      </c>
      <c r="C3" s="37"/>
    </row>
    <row r="4" spans="1:9" x14ac:dyDescent="0.2">
      <c r="A4" t="s">
        <v>370</v>
      </c>
      <c r="B4" s="256">
        <v>5.0000000000000001E-3</v>
      </c>
      <c r="C4" s="282" t="s">
        <v>371</v>
      </c>
      <c r="D4" s="283"/>
      <c r="E4" s="283"/>
      <c r="F4" s="283"/>
      <c r="G4" s="283"/>
      <c r="H4" s="283"/>
      <c r="I4" s="284"/>
    </row>
    <row r="5" spans="1:9" x14ac:dyDescent="0.2">
      <c r="C5" s="285" t="s">
        <v>372</v>
      </c>
      <c r="D5" s="286"/>
      <c r="E5" s="286"/>
      <c r="F5" s="286"/>
      <c r="G5" s="286"/>
      <c r="H5" s="286"/>
      <c r="I5" s="287"/>
    </row>
    <row r="6" spans="1:9" x14ac:dyDescent="0.2">
      <c r="C6" s="280" t="s">
        <v>244</v>
      </c>
      <c r="D6" s="249"/>
      <c r="E6" s="253">
        <f>F6-$B$4</f>
        <v>2.1899999999999996E-2</v>
      </c>
      <c r="F6" s="253">
        <f>G6-$B$4</f>
        <v>2.6899999999999997E-2</v>
      </c>
      <c r="G6" s="254">
        <f>B3</f>
        <v>3.1899999999999998E-2</v>
      </c>
      <c r="H6" s="253">
        <f>G6+$B$4</f>
        <v>3.6899999999999995E-2</v>
      </c>
      <c r="I6" s="255">
        <f>H6+$B$4</f>
        <v>4.1899999999999993E-2</v>
      </c>
    </row>
    <row r="7" spans="1:9" ht="15.75" customHeight="1" x14ac:dyDescent="0.2">
      <c r="C7" s="280"/>
      <c r="D7" s="250">
        <f ca="1">D8-$B$4</f>
        <v>8.6782323941207218E-2</v>
      </c>
      <c r="E7" s="239">
        <f ca="1">'DCF Sensitivity'!F23</f>
        <v>3.2688804635603241</v>
      </c>
      <c r="F7" s="240">
        <f ca="1">'DCF Sensitivity'!M23</f>
        <v>3.5100016002062322</v>
      </c>
      <c r="G7" s="240">
        <f ca="1">'DCF Sensitivity'!T23</f>
        <v>3.7950569435931323</v>
      </c>
      <c r="H7" s="240">
        <f ca="1">'DCF Sensitivity'!AA23</f>
        <v>4.1372578489476082</v>
      </c>
      <c r="I7" s="241">
        <f ca="1">'DCF Sensitivity'!AH23</f>
        <v>4.5557027798571648</v>
      </c>
    </row>
    <row r="8" spans="1:9" x14ac:dyDescent="0.2">
      <c r="C8" s="280"/>
      <c r="D8" s="250">
        <f ca="1">D9-$B$4</f>
        <v>9.1782323941207222E-2</v>
      </c>
      <c r="E8" s="242">
        <f ca="1">'DCF Sensitivity'!F47</f>
        <v>2.9359939512716222</v>
      </c>
      <c r="F8" s="243">
        <f ca="1">'DCF Sensitivity'!M47</f>
        <v>3.1333193226751246</v>
      </c>
      <c r="G8" s="243">
        <f ca="1">'DCF Sensitivity'!T47</f>
        <v>3.3635968840432726</v>
      </c>
      <c r="H8" s="243">
        <f ca="1">'DCF Sensitivity'!AA47</f>
        <v>3.6358328656880157</v>
      </c>
      <c r="I8" s="244">
        <f ca="1">'DCF Sensitivity'!AH47</f>
        <v>3.9626444885890901</v>
      </c>
    </row>
    <row r="9" spans="1:9" x14ac:dyDescent="0.2">
      <c r="C9" s="280"/>
      <c r="D9" s="251">
        <f ca="1">B2</f>
        <v>9.6782323941207227E-2</v>
      </c>
      <c r="E9" s="242">
        <f ca="1">'DCF Sensitivity'!F71</f>
        <v>2.7652052722327105</v>
      </c>
      <c r="F9" s="243">
        <f ca="1">'DCF Sensitivity'!M71</f>
        <v>2.8157798306898192</v>
      </c>
      <c r="G9" s="245">
        <f ca="1">'DCF Sensitivity'!T71</f>
        <v>3.0042709098114462</v>
      </c>
      <c r="H9" s="243">
        <f ca="1">'DCF Sensitivity'!AA71</f>
        <v>3.2242389034407144</v>
      </c>
      <c r="I9" s="244">
        <f ca="1">'DCF Sensitivity'!AH71</f>
        <v>3.4842868313426107</v>
      </c>
    </row>
    <row r="10" spans="1:9" x14ac:dyDescent="0.2">
      <c r="C10" s="280"/>
      <c r="D10" s="250">
        <f ca="1">D9+$B$4</f>
        <v>0.10178232394120723</v>
      </c>
      <c r="E10" s="242">
        <f ca="1">'DCF Sensitivity'!F95</f>
        <v>2.4087536647912389</v>
      </c>
      <c r="F10" s="243">
        <f ca="1">'DCF Sensitivity'!M95</f>
        <v>2.5452600924798001</v>
      </c>
      <c r="G10" s="243">
        <f ca="1">'DCF Sensitivity'!T95</f>
        <v>2.7013002763444458</v>
      </c>
      <c r="H10" s="243">
        <f ca="1">'DCF Sensitivity'!AA95</f>
        <v>2.8813901819801613</v>
      </c>
      <c r="I10" s="244">
        <f ca="1">'DCF Sensitivity'!AH95</f>
        <v>3.0915540549877059</v>
      </c>
    </row>
    <row r="11" spans="1:9" x14ac:dyDescent="0.2">
      <c r="C11" s="281"/>
      <c r="D11" s="252">
        <f ca="1">D10+$B$4</f>
        <v>0.10678232394120724</v>
      </c>
      <c r="E11" s="246">
        <f ca="1">'DCF Sensitivity'!F119</f>
        <v>2.1976066735445272</v>
      </c>
      <c r="F11" s="247">
        <f ca="1">'DCF Sensitivity'!M119</f>
        <v>2.3126876659682067</v>
      </c>
      <c r="G11" s="247">
        <f ca="1">'DCF Sensitivity'!T119</f>
        <v>2.4431369037089032</v>
      </c>
      <c r="H11" s="247">
        <f ca="1">'DCF Sensitivity'!AA119</f>
        <v>2.5922531276606549</v>
      </c>
      <c r="I11" s="248">
        <f ca="1">'DCF Sensitivity'!AH119</f>
        <v>2.7643519168002486</v>
      </c>
    </row>
  </sheetData>
  <mergeCells count="3">
    <mergeCell ref="C6:C11"/>
    <mergeCell ref="C4:I4"/>
    <mergeCell ref="C5:I5"/>
  </mergeCells>
  <pageMargins left="0.7" right="0.7" top="0.75" bottom="0.75" header="0.3" footer="0.3"/>
  <pageSetup orientation="portrait" horizontalDpi="0" verticalDpi="0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2C4126-8F38-4774-9DEA-0D3E76F8E8C2}">
  <sheetPr>
    <tabColor theme="5" tint="-0.249977111117893"/>
  </sheetPr>
  <dimension ref="A1:AH119"/>
  <sheetViews>
    <sheetView tabSelected="1" workbookViewId="0">
      <selection activeCell="T71" sqref="T71"/>
    </sheetView>
  </sheetViews>
  <sheetFormatPr baseColWidth="10" defaultColWidth="11" defaultRowHeight="16" x14ac:dyDescent="0.2"/>
  <cols>
    <col min="1" max="1" width="24.6640625" customWidth="1"/>
    <col min="2" max="5" width="9"/>
    <col min="6" max="6" width="11.6640625" bestFit="1" customWidth="1"/>
    <col min="7" max="7" width="9"/>
    <col min="8" max="8" width="24.5" bestFit="1" customWidth="1"/>
    <col min="9" max="9" width="12" customWidth="1"/>
    <col min="15" max="15" width="24.5" bestFit="1" customWidth="1"/>
    <col min="22" max="22" width="24.5" bestFit="1" customWidth="1"/>
    <col min="29" max="29" width="24.5" bestFit="1" customWidth="1"/>
  </cols>
  <sheetData>
    <row r="1" spans="1:34" ht="21" x14ac:dyDescent="0.25">
      <c r="A1" s="274" t="s">
        <v>224</v>
      </c>
      <c r="B1" s="275"/>
      <c r="C1" s="275"/>
      <c r="D1" s="275"/>
      <c r="E1" s="275"/>
      <c r="F1" s="276"/>
      <c r="H1" s="274" t="s">
        <v>224</v>
      </c>
      <c r="I1" s="275"/>
      <c r="J1" s="275"/>
      <c r="K1" s="275"/>
      <c r="L1" s="275"/>
      <c r="M1" s="276"/>
      <c r="O1" s="274" t="s">
        <v>224</v>
      </c>
      <c r="P1" s="275"/>
      <c r="Q1" s="275"/>
      <c r="R1" s="275"/>
      <c r="S1" s="275"/>
      <c r="T1" s="276"/>
      <c r="V1" s="274" t="s">
        <v>224</v>
      </c>
      <c r="W1" s="275"/>
      <c r="X1" s="275"/>
      <c r="Y1" s="275"/>
      <c r="Z1" s="275"/>
      <c r="AA1" s="276"/>
      <c r="AC1" s="274" t="s">
        <v>224</v>
      </c>
      <c r="AD1" s="275"/>
      <c r="AE1" s="275"/>
      <c r="AF1" s="275"/>
      <c r="AG1" s="275"/>
      <c r="AH1" s="276"/>
    </row>
    <row r="2" spans="1:34" x14ac:dyDescent="0.2">
      <c r="A2" s="207" t="s">
        <v>225</v>
      </c>
      <c r="B2" s="37">
        <f>21%+4.85%</f>
        <v>0.25850000000000001</v>
      </c>
      <c r="F2" s="208"/>
      <c r="H2" s="207" t="s">
        <v>225</v>
      </c>
      <c r="I2" s="37">
        <f>21%+4.85%</f>
        <v>0.25850000000000001</v>
      </c>
      <c r="M2" s="208"/>
      <c r="O2" s="207" t="s">
        <v>225</v>
      </c>
      <c r="P2" s="37">
        <f>21%+4.85%</f>
        <v>0.25850000000000001</v>
      </c>
      <c r="T2" s="208"/>
      <c r="V2" s="207" t="s">
        <v>225</v>
      </c>
      <c r="W2" s="37">
        <f>21%+4.85%</f>
        <v>0.25850000000000001</v>
      </c>
      <c r="AA2" s="208"/>
      <c r="AC2" s="207" t="s">
        <v>225</v>
      </c>
      <c r="AD2" s="37">
        <f>21%+4.85%</f>
        <v>0.25850000000000001</v>
      </c>
      <c r="AH2" s="208"/>
    </row>
    <row r="3" spans="1:34" x14ac:dyDescent="0.2">
      <c r="A3" s="207" t="s">
        <v>226</v>
      </c>
      <c r="B3" s="45">
        <f>'Sensitivity Model'!E6</f>
        <v>2.1899999999999996E-2</v>
      </c>
      <c r="F3" s="208"/>
      <c r="H3" s="207" t="s">
        <v>226</v>
      </c>
      <c r="I3" s="45">
        <f>'Sensitivity Model'!F6</f>
        <v>2.6899999999999997E-2</v>
      </c>
      <c r="M3" s="208"/>
      <c r="O3" s="207" t="s">
        <v>226</v>
      </c>
      <c r="P3" s="45">
        <f>'Sensitivity Model'!G6</f>
        <v>3.1899999999999998E-2</v>
      </c>
      <c r="T3" s="208"/>
      <c r="V3" s="207" t="s">
        <v>226</v>
      </c>
      <c r="W3" s="45">
        <f>'Sensitivity Model'!H6</f>
        <v>3.6899999999999995E-2</v>
      </c>
      <c r="AA3" s="208"/>
      <c r="AC3" s="207" t="s">
        <v>226</v>
      </c>
      <c r="AD3" s="45">
        <f>'Sensitivity Model'!I6</f>
        <v>4.1899999999999993E-2</v>
      </c>
      <c r="AH3" s="208"/>
    </row>
    <row r="4" spans="1:34" x14ac:dyDescent="0.2">
      <c r="A4" s="207" t="s">
        <v>227</v>
      </c>
      <c r="B4" s="37">
        <f ca="1">B5-0.53%</f>
        <v>8.1482323941207219E-2</v>
      </c>
      <c r="F4" s="208"/>
      <c r="H4" s="207" t="s">
        <v>227</v>
      </c>
      <c r="I4" s="37">
        <f ca="1">I5-0.53%</f>
        <v>8.1482323941207219E-2</v>
      </c>
      <c r="M4" s="208"/>
      <c r="O4" s="207" t="s">
        <v>227</v>
      </c>
      <c r="P4" s="37">
        <f ca="1">P5-0.53%</f>
        <v>8.1482323941207219E-2</v>
      </c>
      <c r="T4" s="208"/>
      <c r="V4" s="207" t="s">
        <v>227</v>
      </c>
      <c r="W4" s="37">
        <f ca="1">W5-0.53%</f>
        <v>8.1482323941207219E-2</v>
      </c>
      <c r="AA4" s="208"/>
      <c r="AC4" s="207" t="s">
        <v>227</v>
      </c>
      <c r="AD4" s="37">
        <f ca="1">AD5-0.53%</f>
        <v>8.1482323941207219E-2</v>
      </c>
      <c r="AH4" s="208"/>
    </row>
    <row r="5" spans="1:34" x14ac:dyDescent="0.2">
      <c r="A5" s="207" t="s">
        <v>228</v>
      </c>
      <c r="B5" s="37">
        <f ca="1">'Sensitivity Model'!D7</f>
        <v>8.6782323941207218E-2</v>
      </c>
      <c r="F5" s="208"/>
      <c r="H5" s="207" t="s">
        <v>228</v>
      </c>
      <c r="I5" s="37">
        <f ca="1">B5</f>
        <v>8.6782323941207218E-2</v>
      </c>
      <c r="M5" s="208"/>
      <c r="O5" s="207" t="s">
        <v>228</v>
      </c>
      <c r="P5" s="37">
        <f ca="1">$B$5</f>
        <v>8.6782323941207218E-2</v>
      </c>
      <c r="T5" s="208"/>
      <c r="V5" s="207" t="s">
        <v>228</v>
      </c>
      <c r="W5" s="37">
        <f ca="1">$B$5</f>
        <v>8.6782323941207218E-2</v>
      </c>
      <c r="AA5" s="208"/>
      <c r="AC5" s="207" t="s">
        <v>228</v>
      </c>
      <c r="AD5" s="37">
        <f ca="1">$B$5</f>
        <v>8.6782323941207218E-2</v>
      </c>
      <c r="AH5" s="208"/>
    </row>
    <row r="6" spans="1:34" x14ac:dyDescent="0.2">
      <c r="A6" s="209"/>
      <c r="F6" s="208"/>
      <c r="H6" s="209"/>
      <c r="M6" s="208"/>
      <c r="O6" s="209"/>
      <c r="T6" s="208"/>
      <c r="V6" s="209"/>
      <c r="AA6" s="208"/>
      <c r="AC6" s="209"/>
      <c r="AH6" s="208"/>
    </row>
    <row r="7" spans="1:34" x14ac:dyDescent="0.2">
      <c r="A7" s="209"/>
      <c r="B7">
        <v>1</v>
      </c>
      <c r="C7">
        <v>2</v>
      </c>
      <c r="D7">
        <v>3</v>
      </c>
      <c r="E7">
        <v>4</v>
      </c>
      <c r="F7" s="208">
        <v>5</v>
      </c>
      <c r="H7" s="209"/>
      <c r="I7">
        <v>1</v>
      </c>
      <c r="J7">
        <v>2</v>
      </c>
      <c r="K7">
        <v>3</v>
      </c>
      <c r="L7">
        <v>4</v>
      </c>
      <c r="M7" s="208">
        <v>5</v>
      </c>
      <c r="O7" s="209"/>
      <c r="P7">
        <v>1</v>
      </c>
      <c r="Q7">
        <v>2</v>
      </c>
      <c r="R7">
        <v>3</v>
      </c>
      <c r="S7">
        <v>4</v>
      </c>
      <c r="T7" s="208">
        <v>5</v>
      </c>
      <c r="V7" s="209"/>
      <c r="W7">
        <v>1</v>
      </c>
      <c r="X7">
        <v>2</v>
      </c>
      <c r="Y7">
        <v>3</v>
      </c>
      <c r="Z7">
        <v>4</v>
      </c>
      <c r="AA7" s="208">
        <v>5</v>
      </c>
      <c r="AC7" s="209"/>
      <c r="AD7">
        <v>1</v>
      </c>
      <c r="AE7">
        <v>2</v>
      </c>
      <c r="AF7">
        <v>3</v>
      </c>
      <c r="AG7">
        <v>4</v>
      </c>
      <c r="AH7" s="208">
        <v>5</v>
      </c>
    </row>
    <row r="8" spans="1:34" x14ac:dyDescent="0.2">
      <c r="A8" s="209"/>
      <c r="B8" s="125">
        <v>2023</v>
      </c>
      <c r="C8" s="126">
        <v>2024</v>
      </c>
      <c r="D8" s="126">
        <v>2025</v>
      </c>
      <c r="E8" s="126">
        <v>2026</v>
      </c>
      <c r="F8" s="210">
        <v>2027</v>
      </c>
      <c r="H8" s="209"/>
      <c r="I8" s="125">
        <v>2023</v>
      </c>
      <c r="J8" s="126">
        <v>2024</v>
      </c>
      <c r="K8" s="126">
        <v>2025</v>
      </c>
      <c r="L8" s="126">
        <v>2026</v>
      </c>
      <c r="M8" s="210">
        <v>2027</v>
      </c>
      <c r="O8" s="209"/>
      <c r="P8" s="125">
        <v>2023</v>
      </c>
      <c r="Q8" s="126">
        <v>2024</v>
      </c>
      <c r="R8" s="126">
        <v>2025</v>
      </c>
      <c r="S8" s="126">
        <v>2026</v>
      </c>
      <c r="T8" s="210">
        <v>2027</v>
      </c>
      <c r="V8" s="209"/>
      <c r="W8" s="125">
        <v>2023</v>
      </c>
      <c r="X8" s="126">
        <v>2024</v>
      </c>
      <c r="Y8" s="126">
        <v>2025</v>
      </c>
      <c r="Z8" s="126">
        <v>2026</v>
      </c>
      <c r="AA8" s="210">
        <v>2027</v>
      </c>
      <c r="AC8" s="209"/>
      <c r="AD8" s="125">
        <v>2023</v>
      </c>
      <c r="AE8" s="126">
        <v>2024</v>
      </c>
      <c r="AF8" s="126">
        <v>2025</v>
      </c>
      <c r="AG8" s="126">
        <v>2026</v>
      </c>
      <c r="AH8" s="210">
        <v>2027</v>
      </c>
    </row>
    <row r="9" spans="1:34" x14ac:dyDescent="0.2">
      <c r="A9" s="207" t="s">
        <v>229</v>
      </c>
      <c r="B9" s="79">
        <f>DCF!B9</f>
        <v>-43584.788316534934</v>
      </c>
      <c r="C9" s="127">
        <f>DCF!C9</f>
        <v>-19803.361974531872</v>
      </c>
      <c r="D9" s="127">
        <f>DCF!D9</f>
        <v>-5836.2917976105891</v>
      </c>
      <c r="E9" s="127">
        <f>DCF!E9</f>
        <v>10058.296965203575</v>
      </c>
      <c r="F9" s="211">
        <f>DCF!F9</f>
        <v>27647.573268020031</v>
      </c>
      <c r="H9" s="207" t="s">
        <v>229</v>
      </c>
      <c r="I9" s="79">
        <f>$B$9</f>
        <v>-43584.788316534934</v>
      </c>
      <c r="J9" s="127">
        <f>$C$9</f>
        <v>-19803.361974531872</v>
      </c>
      <c r="K9" s="127">
        <f>$D$9</f>
        <v>-5836.2917976105891</v>
      </c>
      <c r="L9" s="127">
        <f>$E$9</f>
        <v>10058.296965203575</v>
      </c>
      <c r="M9" s="211">
        <f>$F$9</f>
        <v>27647.573268020031</v>
      </c>
      <c r="O9" s="207" t="s">
        <v>229</v>
      </c>
      <c r="P9" s="79">
        <f>$B$9</f>
        <v>-43584.788316534934</v>
      </c>
      <c r="Q9" s="127">
        <f>$C$9</f>
        <v>-19803.361974531872</v>
      </c>
      <c r="R9" s="127">
        <f>$D$9</f>
        <v>-5836.2917976105891</v>
      </c>
      <c r="S9" s="127">
        <f>$E$9</f>
        <v>10058.296965203575</v>
      </c>
      <c r="T9" s="211">
        <f>$F$9</f>
        <v>27647.573268020031</v>
      </c>
      <c r="V9" s="207" t="s">
        <v>229</v>
      </c>
      <c r="W9" s="79">
        <f>$B$9</f>
        <v>-43584.788316534934</v>
      </c>
      <c r="X9" s="127">
        <f>$C$9</f>
        <v>-19803.361974531872</v>
      </c>
      <c r="Y9" s="127">
        <f>$D$9</f>
        <v>-5836.2917976105891</v>
      </c>
      <c r="Z9" s="127">
        <f>$E$9</f>
        <v>10058.296965203575</v>
      </c>
      <c r="AA9" s="211">
        <f>$F$9</f>
        <v>27647.573268020031</v>
      </c>
      <c r="AC9" s="207" t="s">
        <v>229</v>
      </c>
      <c r="AD9" s="79">
        <f>$B$9</f>
        <v>-43584.788316534934</v>
      </c>
      <c r="AE9" s="127">
        <f>$C$9</f>
        <v>-19803.361974531872</v>
      </c>
      <c r="AF9" s="127">
        <f>$D$9</f>
        <v>-5836.2917976105891</v>
      </c>
      <c r="AG9" s="127">
        <f>$E$9</f>
        <v>10058.296965203575</v>
      </c>
      <c r="AH9" s="211">
        <f>$F$9</f>
        <v>27647.573268020031</v>
      </c>
    </row>
    <row r="10" spans="1:34" x14ac:dyDescent="0.2">
      <c r="A10" s="207"/>
      <c r="B10" s="79"/>
      <c r="C10" s="127"/>
      <c r="D10" s="127"/>
      <c r="E10" s="127"/>
      <c r="F10" s="211"/>
      <c r="H10" s="207"/>
      <c r="I10" s="79"/>
      <c r="J10" s="127"/>
      <c r="K10" s="127"/>
      <c r="L10" s="127"/>
      <c r="M10" s="211"/>
      <c r="O10" s="207"/>
      <c r="P10" s="79"/>
      <c r="Q10" s="127"/>
      <c r="R10" s="127"/>
      <c r="S10" s="127"/>
      <c r="T10" s="211"/>
      <c r="V10" s="207"/>
      <c r="W10" s="79"/>
      <c r="X10" s="127"/>
      <c r="Y10" s="127"/>
      <c r="Z10" s="127"/>
      <c r="AA10" s="211"/>
      <c r="AC10" s="207"/>
      <c r="AD10" s="79"/>
      <c r="AE10" s="127"/>
      <c r="AF10" s="127"/>
      <c r="AG10" s="127"/>
      <c r="AH10" s="211"/>
    </row>
    <row r="11" spans="1:34" x14ac:dyDescent="0.2">
      <c r="A11" s="207" t="s">
        <v>191</v>
      </c>
      <c r="B11" s="79">
        <f>DCF!B11</f>
        <v>16253.717215909828</v>
      </c>
      <c r="C11" s="127">
        <f>DCF!C11</f>
        <v>-4296.0023288147568</v>
      </c>
      <c r="D11" s="127">
        <f>DCF!D11</f>
        <v>-5520.2680835455867</v>
      </c>
      <c r="E11" s="127">
        <f>DCF!E11</f>
        <v>-5768.8360271645925</v>
      </c>
      <c r="F11" s="211">
        <f>DCF!F11</f>
        <v>-6027.3591589171629</v>
      </c>
      <c r="H11" s="207" t="s">
        <v>191</v>
      </c>
      <c r="I11" s="79">
        <f>$B$11</f>
        <v>16253.717215909828</v>
      </c>
      <c r="J11" s="127">
        <f>$C$11</f>
        <v>-4296.0023288147568</v>
      </c>
      <c r="K11" s="127">
        <f>$D$11</f>
        <v>-5520.2680835455867</v>
      </c>
      <c r="L11" s="127">
        <f>$E$11</f>
        <v>-5768.8360271645925</v>
      </c>
      <c r="M11" s="211">
        <f>$F$11</f>
        <v>-6027.3591589171629</v>
      </c>
      <c r="O11" s="207" t="s">
        <v>191</v>
      </c>
      <c r="P11" s="79">
        <f>$B$11</f>
        <v>16253.717215909828</v>
      </c>
      <c r="Q11" s="127">
        <f>$C$11</f>
        <v>-4296.0023288147568</v>
      </c>
      <c r="R11" s="127">
        <f>$D$11</f>
        <v>-5520.2680835455867</v>
      </c>
      <c r="S11" s="127">
        <f>$E$11</f>
        <v>-5768.8360271645925</v>
      </c>
      <c r="T11" s="211">
        <f>$F$11</f>
        <v>-6027.3591589171629</v>
      </c>
      <c r="V11" s="207" t="s">
        <v>191</v>
      </c>
      <c r="W11" s="79">
        <f>$B$11</f>
        <v>16253.717215909828</v>
      </c>
      <c r="X11" s="127">
        <f>$C$11</f>
        <v>-4296.0023288147568</v>
      </c>
      <c r="Y11" s="127">
        <f>$D$11</f>
        <v>-5520.2680835455867</v>
      </c>
      <c r="Z11" s="127">
        <f>$E$11</f>
        <v>-5768.8360271645925</v>
      </c>
      <c r="AA11" s="211">
        <f>$F$11</f>
        <v>-6027.3591589171629</v>
      </c>
      <c r="AC11" s="207" t="s">
        <v>191</v>
      </c>
      <c r="AD11" s="79">
        <f>$B$11</f>
        <v>16253.717215909828</v>
      </c>
      <c r="AE11" s="127">
        <f>$C$11</f>
        <v>-4296.0023288147568</v>
      </c>
      <c r="AF11" s="127">
        <f>$D$11</f>
        <v>-5520.2680835455867</v>
      </c>
      <c r="AG11" s="127">
        <f>$E$11</f>
        <v>-5768.8360271645925</v>
      </c>
      <c r="AH11" s="211">
        <f>$F$11</f>
        <v>-6027.3591589171629</v>
      </c>
    </row>
    <row r="12" spans="1:34" x14ac:dyDescent="0.2">
      <c r="A12" s="207" t="s">
        <v>231</v>
      </c>
      <c r="B12" s="206">
        <f>DCF!B12</f>
        <v>-17863.559999999998</v>
      </c>
      <c r="C12" s="206">
        <f>DCF!C12</f>
        <v>-19898.308759004853</v>
      </c>
      <c r="D12" s="206">
        <f>DCF!D12</f>
        <v>-21067.038902147084</v>
      </c>
      <c r="E12" s="206">
        <f>DCF!E12</f>
        <v>-18097.032485158365</v>
      </c>
      <c r="F12" s="212">
        <f>DCF!F12</f>
        <v>-16612.124643215819</v>
      </c>
      <c r="H12" s="207" t="s">
        <v>231</v>
      </c>
      <c r="I12" s="206">
        <f>$B$12</f>
        <v>-17863.559999999998</v>
      </c>
      <c r="J12" s="206">
        <f>$C$12</f>
        <v>-19898.308759004853</v>
      </c>
      <c r="K12" s="206">
        <f>$D$12</f>
        <v>-21067.038902147084</v>
      </c>
      <c r="L12" s="206">
        <f>$E$12</f>
        <v>-18097.032485158365</v>
      </c>
      <c r="M12" s="212">
        <f>$F$12</f>
        <v>-16612.124643215819</v>
      </c>
      <c r="O12" s="207" t="s">
        <v>231</v>
      </c>
      <c r="P12" s="206">
        <f>$B$12</f>
        <v>-17863.559999999998</v>
      </c>
      <c r="Q12" s="206">
        <f>$C$12</f>
        <v>-19898.308759004853</v>
      </c>
      <c r="R12" s="206">
        <f>$D$12</f>
        <v>-21067.038902147084</v>
      </c>
      <c r="S12" s="206">
        <f>$E$12</f>
        <v>-18097.032485158365</v>
      </c>
      <c r="T12" s="212">
        <f>$F$12</f>
        <v>-16612.124643215819</v>
      </c>
      <c r="V12" s="207" t="s">
        <v>231</v>
      </c>
      <c r="W12" s="206">
        <f>$B$12</f>
        <v>-17863.559999999998</v>
      </c>
      <c r="X12" s="206">
        <f>$C$12</f>
        <v>-19898.308759004853</v>
      </c>
      <c r="Y12" s="206">
        <f>$D$12</f>
        <v>-21067.038902147084</v>
      </c>
      <c r="Z12" s="206">
        <f>$E$12</f>
        <v>-18097.032485158365</v>
      </c>
      <c r="AA12" s="212">
        <f>$F$12</f>
        <v>-16612.124643215819</v>
      </c>
      <c r="AC12" s="207" t="s">
        <v>231</v>
      </c>
      <c r="AD12" s="206">
        <f>$B$12</f>
        <v>-17863.559999999998</v>
      </c>
      <c r="AE12" s="206">
        <f>$C$12</f>
        <v>-19898.308759004853</v>
      </c>
      <c r="AF12" s="206">
        <f>$D$12</f>
        <v>-21067.038902147084</v>
      </c>
      <c r="AG12" s="206">
        <f>$E$12</f>
        <v>-18097.032485158365</v>
      </c>
      <c r="AH12" s="212">
        <f>$F$12</f>
        <v>-16612.124643215819</v>
      </c>
    </row>
    <row r="13" spans="1:34" x14ac:dyDescent="0.2">
      <c r="A13" s="207" t="s">
        <v>232</v>
      </c>
      <c r="B13" s="79">
        <f>DCF!B13</f>
        <v>49377</v>
      </c>
      <c r="C13" s="127">
        <f>DCF!C13</f>
        <v>50339.935159004861</v>
      </c>
      <c r="D13" s="127">
        <f>DCF!D13</f>
        <v>51335.478045151955</v>
      </c>
      <c r="E13" s="127">
        <f>DCF!E13</f>
        <v>51702.689049510307</v>
      </c>
      <c r="F13" s="211">
        <f>DCF!F13</f>
        <v>51776.436215435897</v>
      </c>
      <c r="H13" s="207" t="s">
        <v>232</v>
      </c>
      <c r="I13" s="79">
        <f>$B$13</f>
        <v>49377</v>
      </c>
      <c r="J13" s="127">
        <f>$C$13</f>
        <v>50339.935159004861</v>
      </c>
      <c r="K13" s="127">
        <f>$D$13</f>
        <v>51335.478045151955</v>
      </c>
      <c r="L13" s="127">
        <f>$E$13</f>
        <v>51702.689049510307</v>
      </c>
      <c r="M13" s="211">
        <f>$F$13</f>
        <v>51776.436215435897</v>
      </c>
      <c r="O13" s="207" t="s">
        <v>232</v>
      </c>
      <c r="P13" s="79">
        <f>$B$13</f>
        <v>49377</v>
      </c>
      <c r="Q13" s="127">
        <f>$C$13</f>
        <v>50339.935159004861</v>
      </c>
      <c r="R13" s="127">
        <f>$D$13</f>
        <v>51335.478045151955</v>
      </c>
      <c r="S13" s="127">
        <f>$E$13</f>
        <v>51702.689049510307</v>
      </c>
      <c r="T13" s="211">
        <f>$F$13</f>
        <v>51776.436215435897</v>
      </c>
      <c r="V13" s="207" t="s">
        <v>232</v>
      </c>
      <c r="W13" s="79">
        <f>$B$13</f>
        <v>49377</v>
      </c>
      <c r="X13" s="127">
        <f>$C$13</f>
        <v>50339.935159004861</v>
      </c>
      <c r="Y13" s="127">
        <f>$D$13</f>
        <v>51335.478045151955</v>
      </c>
      <c r="Z13" s="127">
        <f>$E$13</f>
        <v>51702.689049510307</v>
      </c>
      <c r="AA13" s="211">
        <f>$F$13</f>
        <v>51776.436215435897</v>
      </c>
      <c r="AC13" s="207" t="s">
        <v>232</v>
      </c>
      <c r="AD13" s="79">
        <f>$B$13</f>
        <v>49377</v>
      </c>
      <c r="AE13" s="127">
        <f>$C$13</f>
        <v>50339.935159004861</v>
      </c>
      <c r="AF13" s="127">
        <f>$D$13</f>
        <v>51335.478045151955</v>
      </c>
      <c r="AG13" s="127">
        <f>$E$13</f>
        <v>51702.689049510307</v>
      </c>
      <c r="AH13" s="211">
        <f>$F$13</f>
        <v>51776.436215435897</v>
      </c>
    </row>
    <row r="14" spans="1:34" x14ac:dyDescent="0.2">
      <c r="A14" s="207"/>
      <c r="B14" s="79"/>
      <c r="C14" s="127"/>
      <c r="D14" s="127"/>
      <c r="E14" s="127"/>
      <c r="F14" s="211"/>
      <c r="H14" s="207"/>
      <c r="I14" s="79"/>
      <c r="J14" s="127"/>
      <c r="K14" s="127"/>
      <c r="L14" s="127"/>
      <c r="M14" s="211"/>
      <c r="O14" s="207"/>
      <c r="P14" s="79"/>
      <c r="Q14" s="127"/>
      <c r="R14" s="127"/>
      <c r="S14" s="127"/>
      <c r="T14" s="211"/>
      <c r="V14" s="207"/>
      <c r="W14" s="79"/>
      <c r="X14" s="127"/>
      <c r="Y14" s="127"/>
      <c r="Z14" s="127"/>
      <c r="AA14" s="211"/>
      <c r="AC14" s="207"/>
      <c r="AD14" s="79"/>
      <c r="AE14" s="127"/>
      <c r="AF14" s="127"/>
      <c r="AG14" s="127"/>
      <c r="AH14" s="211"/>
    </row>
    <row r="15" spans="1:34" x14ac:dyDescent="0.2">
      <c r="A15" s="207" t="s">
        <v>233</v>
      </c>
      <c r="B15" s="79">
        <f>DCF!B15</f>
        <v>4182.3688993748947</v>
      </c>
      <c r="C15" s="127">
        <f>DCF!C15</f>
        <v>6342.2620966533796</v>
      </c>
      <c r="D15" s="127">
        <f>DCF!D15</f>
        <v>18911.879261848695</v>
      </c>
      <c r="E15" s="127">
        <f>DCF!E15</f>
        <v>37895.117502390924</v>
      </c>
      <c r="F15" s="211">
        <f>DCF!F15</f>
        <v>56784.52568132295</v>
      </c>
      <c r="H15" s="207" t="s">
        <v>233</v>
      </c>
      <c r="I15" s="79">
        <f>$B$15</f>
        <v>4182.3688993748947</v>
      </c>
      <c r="J15" s="127">
        <f>$C$15</f>
        <v>6342.2620966533796</v>
      </c>
      <c r="K15" s="127">
        <f>$D$15</f>
        <v>18911.879261848695</v>
      </c>
      <c r="L15" s="127">
        <f>$E$15</f>
        <v>37895.117502390924</v>
      </c>
      <c r="M15" s="211">
        <f>$F$15</f>
        <v>56784.52568132295</v>
      </c>
      <c r="O15" s="207" t="s">
        <v>233</v>
      </c>
      <c r="P15" s="79">
        <f>$B$15</f>
        <v>4182.3688993748947</v>
      </c>
      <c r="Q15" s="127">
        <f>$C$15</f>
        <v>6342.2620966533796</v>
      </c>
      <c r="R15" s="127">
        <f>$D$15</f>
        <v>18911.879261848695</v>
      </c>
      <c r="S15" s="127">
        <f>$E$15</f>
        <v>37895.117502390924</v>
      </c>
      <c r="T15" s="211">
        <f>$F$15</f>
        <v>56784.52568132295</v>
      </c>
      <c r="V15" s="207" t="s">
        <v>233</v>
      </c>
      <c r="W15" s="79">
        <f>$B$15</f>
        <v>4182.3688993748947</v>
      </c>
      <c r="X15" s="127">
        <f>$C$15</f>
        <v>6342.2620966533796</v>
      </c>
      <c r="Y15" s="127">
        <f>$D$15</f>
        <v>18911.879261848695</v>
      </c>
      <c r="Z15" s="127">
        <f>$E$15</f>
        <v>37895.117502390924</v>
      </c>
      <c r="AA15" s="211">
        <f>$F$15</f>
        <v>56784.52568132295</v>
      </c>
      <c r="AC15" s="207" t="s">
        <v>233</v>
      </c>
      <c r="AD15" s="79">
        <f>$B$15</f>
        <v>4182.3688993748947</v>
      </c>
      <c r="AE15" s="127">
        <f>$C$15</f>
        <v>6342.2620966533796</v>
      </c>
      <c r="AF15" s="127">
        <f>$D$15</f>
        <v>18911.879261848695</v>
      </c>
      <c r="AG15" s="127">
        <f>$E$15</f>
        <v>37895.117502390924</v>
      </c>
      <c r="AH15" s="211">
        <f>$F$15</f>
        <v>56784.52568132295</v>
      </c>
    </row>
    <row r="16" spans="1:34" x14ac:dyDescent="0.2">
      <c r="A16" s="207" t="s">
        <v>234</v>
      </c>
      <c r="B16" s="128">
        <f ca="1">B15/(1+$B$4)^B7</f>
        <v>3867.2559012645143</v>
      </c>
      <c r="C16" s="129">
        <f ca="1">C15/(1+$B$4)^C7</f>
        <v>5422.5720880609451</v>
      </c>
      <c r="D16" s="129">
        <f ca="1">D15/(1+$B$4)^D7</f>
        <v>14951.212350471307</v>
      </c>
      <c r="E16" s="129">
        <f ca="1">(E15/(1+$B$5)^E7*10/12)+(E15/(1+$B$4)^E7*2/12)</f>
        <v>27254.61196719317</v>
      </c>
      <c r="F16" s="213">
        <f ca="1">F15/(1+$B$5)^F7</f>
        <v>37455.635632245321</v>
      </c>
      <c r="H16" s="207" t="s">
        <v>234</v>
      </c>
      <c r="I16" s="128">
        <f ca="1">I15/(1+I4)^I7</f>
        <v>3867.2559012645143</v>
      </c>
      <c r="J16" s="129">
        <f ca="1">J15/(1+I4)^J7</f>
        <v>5422.5720880609451</v>
      </c>
      <c r="K16" s="129">
        <f ca="1">K15/(1+I4)^K7</f>
        <v>14951.212350471307</v>
      </c>
      <c r="L16" s="129">
        <f ca="1">(L15/(1+I5)^L7*10/12)+(L15/(1+I4)^L7*2/12)</f>
        <v>27254.61196719317</v>
      </c>
      <c r="M16" s="213">
        <f ca="1">M15/(1+I5)^M7</f>
        <v>37455.635632245321</v>
      </c>
      <c r="O16" s="207" t="s">
        <v>234</v>
      </c>
      <c r="P16" s="128">
        <f ca="1">P15/(1+P4)^P7</f>
        <v>3867.2559012645143</v>
      </c>
      <c r="Q16" s="129">
        <f ca="1">Q15/(1+P4)^Q7</f>
        <v>5422.5720880609451</v>
      </c>
      <c r="R16" s="129">
        <f ca="1">R15/(1+P4)^R7</f>
        <v>14951.212350471307</v>
      </c>
      <c r="S16" s="129">
        <f ca="1">(S15/(1+P5)^S7*10/12)+(S15/(1+P4)^S7*2/12)</f>
        <v>27254.61196719317</v>
      </c>
      <c r="T16" s="213">
        <f ca="1">T15/(1+P5)^T7</f>
        <v>37455.635632245321</v>
      </c>
      <c r="V16" s="207" t="s">
        <v>234</v>
      </c>
      <c r="W16" s="128">
        <f ca="1">W15/(1+W4)^W7</f>
        <v>3867.2559012645143</v>
      </c>
      <c r="X16" s="129">
        <f ca="1">X15/(1+W4)^X7</f>
        <v>5422.5720880609451</v>
      </c>
      <c r="Y16" s="129">
        <f ca="1">Y15/(1+W4)^Y7</f>
        <v>14951.212350471307</v>
      </c>
      <c r="Z16" s="129">
        <f ca="1">(Z15/(1+W5)^Z7*10/12)+(Z15/(1+W4)^Z7*2/12)</f>
        <v>27254.61196719317</v>
      </c>
      <c r="AA16" s="213">
        <f ca="1">AA15/(1+W5)^AA7</f>
        <v>37455.635632245321</v>
      </c>
      <c r="AC16" s="207" t="s">
        <v>234</v>
      </c>
      <c r="AD16" s="128">
        <f ca="1">AD15/(1+AD4)^AD7</f>
        <v>3867.2559012645143</v>
      </c>
      <c r="AE16" s="129">
        <f ca="1">AE15/(1+AD4)^AE7</f>
        <v>5422.5720880609451</v>
      </c>
      <c r="AF16" s="129">
        <f ca="1">AF15/(1+AD4)^AF7</f>
        <v>14951.212350471307</v>
      </c>
      <c r="AG16" s="129">
        <f ca="1">(AG15/(1+AD5)^AG7*10/12)+(AG15/(1+AD4)^AG7*2/12)</f>
        <v>27254.61196719317</v>
      </c>
      <c r="AH16" s="213">
        <f ca="1">AH15/(1+AD5)^AH7</f>
        <v>37455.635632245321</v>
      </c>
    </row>
    <row r="17" spans="1:34" x14ac:dyDescent="0.2">
      <c r="A17" s="207"/>
      <c r="F17" s="208"/>
      <c r="H17" s="207"/>
      <c r="M17" s="208"/>
      <c r="O17" s="207"/>
      <c r="T17" s="208"/>
      <c r="V17" s="207"/>
      <c r="AA17" s="208"/>
      <c r="AC17" s="207"/>
      <c r="AH17" s="208"/>
    </row>
    <row r="18" spans="1:34" x14ac:dyDescent="0.2">
      <c r="A18" s="207" t="s">
        <v>235</v>
      </c>
      <c r="F18" s="212">
        <f ca="1">SUM(B16:E16)</f>
        <v>51495.652306989941</v>
      </c>
      <c r="H18" s="207" t="s">
        <v>235</v>
      </c>
      <c r="M18" s="212">
        <f ca="1">SUM(I16:L16)</f>
        <v>51495.652306989941</v>
      </c>
      <c r="O18" s="207" t="s">
        <v>235</v>
      </c>
      <c r="T18" s="212">
        <f ca="1">SUM(P16:S16)</f>
        <v>51495.652306989941</v>
      </c>
      <c r="V18" s="207" t="s">
        <v>235</v>
      </c>
      <c r="AA18" s="212">
        <f ca="1">SUM(W16:Z16)</f>
        <v>51495.652306989941</v>
      </c>
      <c r="AC18" s="207" t="s">
        <v>235</v>
      </c>
      <c r="AH18" s="212">
        <f ca="1">SUM(AD16:AG16)</f>
        <v>51495.652306989941</v>
      </c>
    </row>
    <row r="19" spans="1:34" x14ac:dyDescent="0.2">
      <c r="A19" s="207" t="s">
        <v>236</v>
      </c>
      <c r="B19" s="79"/>
      <c r="C19" s="79"/>
      <c r="D19" s="79"/>
      <c r="E19" s="79"/>
      <c r="F19" s="212">
        <f ca="1">F16/(B5-B3)</f>
        <v>577285.66668150714</v>
      </c>
      <c r="H19" s="207" t="s">
        <v>236</v>
      </c>
      <c r="I19" s="79"/>
      <c r="J19" s="79"/>
      <c r="K19" s="79"/>
      <c r="L19" s="79"/>
      <c r="M19" s="212">
        <f ca="1">M16/(I5-I3)</f>
        <v>625487.34195786156</v>
      </c>
      <c r="O19" s="207" t="s">
        <v>236</v>
      </c>
      <c r="P19" s="79"/>
      <c r="Q19" s="79"/>
      <c r="R19" s="79"/>
      <c r="S19" s="79"/>
      <c r="T19" s="212">
        <f ca="1">T16/(P5-P3)</f>
        <v>682471.74941734853</v>
      </c>
      <c r="V19" s="207" t="s">
        <v>236</v>
      </c>
      <c r="W19" s="79"/>
      <c r="X19" s="79"/>
      <c r="Y19" s="79"/>
      <c r="Z19" s="79"/>
      <c r="AA19" s="212">
        <f ca="1">AA16/(W5-W3)</f>
        <v>750879.92444761866</v>
      </c>
      <c r="AC19" s="207" t="s">
        <v>236</v>
      </c>
      <c r="AD19" s="79"/>
      <c r="AE19" s="79"/>
      <c r="AF19" s="79"/>
      <c r="AG19" s="79"/>
      <c r="AH19" s="212">
        <f ca="1">AH16/(AD5-AD3)</f>
        <v>834529.77348743449</v>
      </c>
    </row>
    <row r="20" spans="1:34" x14ac:dyDescent="0.2">
      <c r="A20" s="207" t="s">
        <v>237</v>
      </c>
      <c r="F20" s="212">
        <f ca="1">F19/(1+B4)^F7</f>
        <v>390205.7336761757</v>
      </c>
      <c r="H20" s="207" t="s">
        <v>237</v>
      </c>
      <c r="M20" s="212">
        <f ca="1">M19/(1+I4)^M7</f>
        <v>422786.7782978976</v>
      </c>
      <c r="O20" s="207" t="s">
        <v>237</v>
      </c>
      <c r="T20" s="212">
        <f ca="1">T19/(1+P4)^T7</f>
        <v>461304.3508000031</v>
      </c>
      <c r="V20" s="207" t="s">
        <v>237</v>
      </c>
      <c r="AA20" s="212">
        <f ca="1">AA19/(1+W4)^AA7</f>
        <v>507543.61095794092</v>
      </c>
      <c r="AC20" s="207" t="s">
        <v>237</v>
      </c>
      <c r="AH20" s="212">
        <f ca="1">AH19/(1+AD4)^AH7</f>
        <v>564085.20310263347</v>
      </c>
    </row>
    <row r="21" spans="1:34" x14ac:dyDescent="0.2">
      <c r="A21" s="207" t="s">
        <v>238</v>
      </c>
      <c r="F21" s="212">
        <f ca="1">F18+F20</f>
        <v>441701.38598316564</v>
      </c>
      <c r="H21" s="207" t="s">
        <v>238</v>
      </c>
      <c r="M21" s="212">
        <f ca="1">M18+M20</f>
        <v>474282.43060488754</v>
      </c>
      <c r="O21" s="207" t="s">
        <v>238</v>
      </c>
      <c r="T21" s="212">
        <f ca="1">T18+T20</f>
        <v>512800.00310699304</v>
      </c>
      <c r="V21" s="207" t="s">
        <v>238</v>
      </c>
      <c r="AA21" s="212">
        <f ca="1">AA18+AA20</f>
        <v>559039.26326493081</v>
      </c>
      <c r="AC21" s="207" t="s">
        <v>238</v>
      </c>
      <c r="AH21" s="212">
        <f ca="1">AH18+AH20</f>
        <v>615580.85540962336</v>
      </c>
    </row>
    <row r="22" spans="1:34" x14ac:dyDescent="0.2">
      <c r="A22" s="214" t="s">
        <v>241</v>
      </c>
      <c r="F22" s="215">
        <v>135123.13800000001</v>
      </c>
      <c r="H22" s="214" t="s">
        <v>241</v>
      </c>
      <c r="M22" s="215">
        <v>135123.13800000001</v>
      </c>
      <c r="O22" s="214" t="s">
        <v>241</v>
      </c>
      <c r="T22" s="215">
        <v>135123.13800000001</v>
      </c>
      <c r="V22" s="214" t="s">
        <v>241</v>
      </c>
      <c r="AA22" s="215">
        <v>135123.13800000001</v>
      </c>
      <c r="AC22" s="214" t="s">
        <v>241</v>
      </c>
      <c r="AH22" s="215">
        <v>135123.13800000001</v>
      </c>
    </row>
    <row r="23" spans="1:34" x14ac:dyDescent="0.2">
      <c r="A23" s="216" t="s">
        <v>242</v>
      </c>
      <c r="B23" s="217"/>
      <c r="C23" s="217"/>
      <c r="D23" s="217"/>
      <c r="E23" s="217"/>
      <c r="F23" s="218">
        <f ca="1">F21/F22</f>
        <v>3.2688804635603241</v>
      </c>
      <c r="H23" s="216" t="s">
        <v>242</v>
      </c>
      <c r="I23" s="217"/>
      <c r="J23" s="217"/>
      <c r="K23" s="217"/>
      <c r="L23" s="217"/>
      <c r="M23" s="218">
        <f ca="1">M21/M22</f>
        <v>3.5100016002062322</v>
      </c>
      <c r="O23" s="216" t="s">
        <v>242</v>
      </c>
      <c r="P23" s="217"/>
      <c r="Q23" s="217"/>
      <c r="R23" s="217"/>
      <c r="S23" s="217"/>
      <c r="T23" s="218">
        <f ca="1">T21/T22</f>
        <v>3.7950569435931323</v>
      </c>
      <c r="V23" s="216" t="s">
        <v>242</v>
      </c>
      <c r="W23" s="217"/>
      <c r="X23" s="217"/>
      <c r="Y23" s="217"/>
      <c r="Z23" s="217"/>
      <c r="AA23" s="218">
        <f ca="1">AA21/AA22</f>
        <v>4.1372578489476082</v>
      </c>
      <c r="AC23" s="216" t="s">
        <v>242</v>
      </c>
      <c r="AD23" s="217"/>
      <c r="AE23" s="217"/>
      <c r="AF23" s="217"/>
      <c r="AG23" s="217"/>
      <c r="AH23" s="218">
        <f ca="1">AH21/AH22</f>
        <v>4.5557027798571648</v>
      </c>
    </row>
    <row r="25" spans="1:34" ht="21" x14ac:dyDescent="0.25">
      <c r="A25" s="274" t="s">
        <v>224</v>
      </c>
      <c r="B25" s="275"/>
      <c r="C25" s="275"/>
      <c r="D25" s="275"/>
      <c r="E25" s="275"/>
      <c r="F25" s="276"/>
      <c r="H25" s="274" t="s">
        <v>224</v>
      </c>
      <c r="I25" s="275"/>
      <c r="J25" s="275"/>
      <c r="K25" s="275"/>
      <c r="L25" s="275"/>
      <c r="M25" s="276"/>
      <c r="O25" s="274" t="s">
        <v>224</v>
      </c>
      <c r="P25" s="275"/>
      <c r="Q25" s="275"/>
      <c r="R25" s="275"/>
      <c r="S25" s="275"/>
      <c r="T25" s="276"/>
      <c r="V25" s="274" t="s">
        <v>224</v>
      </c>
      <c r="W25" s="275"/>
      <c r="X25" s="275"/>
      <c r="Y25" s="275"/>
      <c r="Z25" s="275"/>
      <c r="AA25" s="276"/>
      <c r="AC25" s="274" t="s">
        <v>224</v>
      </c>
      <c r="AD25" s="275"/>
      <c r="AE25" s="275"/>
      <c r="AF25" s="275"/>
      <c r="AG25" s="275"/>
      <c r="AH25" s="276"/>
    </row>
    <row r="26" spans="1:34" x14ac:dyDescent="0.2">
      <c r="A26" s="207" t="s">
        <v>225</v>
      </c>
      <c r="B26" s="37">
        <f>21%+4.85%</f>
        <v>0.25850000000000001</v>
      </c>
      <c r="F26" s="208"/>
      <c r="H26" s="207" t="s">
        <v>225</v>
      </c>
      <c r="I26" s="37">
        <f>21%+4.85%</f>
        <v>0.25850000000000001</v>
      </c>
      <c r="M26" s="208"/>
      <c r="O26" s="207" t="s">
        <v>225</v>
      </c>
      <c r="P26" s="37">
        <f>21%+4.85%</f>
        <v>0.25850000000000001</v>
      </c>
      <c r="T26" s="208"/>
      <c r="V26" s="207" t="s">
        <v>225</v>
      </c>
      <c r="W26" s="37">
        <f>21%+4.85%</f>
        <v>0.25850000000000001</v>
      </c>
      <c r="AA26" s="208"/>
      <c r="AC26" s="207" t="s">
        <v>225</v>
      </c>
      <c r="AD26" s="37">
        <f>21%+4.85%</f>
        <v>0.25850000000000001</v>
      </c>
      <c r="AH26" s="208"/>
    </row>
    <row r="27" spans="1:34" x14ac:dyDescent="0.2">
      <c r="A27" s="207" t="s">
        <v>226</v>
      </c>
      <c r="B27" s="45">
        <f>B3</f>
        <v>2.1899999999999996E-2</v>
      </c>
      <c r="F27" s="208"/>
      <c r="G27" s="134"/>
      <c r="H27" s="207" t="s">
        <v>226</v>
      </c>
      <c r="I27" s="45">
        <f>I3</f>
        <v>2.6899999999999997E-2</v>
      </c>
      <c r="M27" s="208"/>
      <c r="O27" s="207" t="s">
        <v>226</v>
      </c>
      <c r="P27" s="45">
        <f>P3</f>
        <v>3.1899999999999998E-2</v>
      </c>
      <c r="T27" s="208"/>
      <c r="V27" s="207" t="s">
        <v>226</v>
      </c>
      <c r="W27" s="45">
        <f>'Sensitivity Model'!H6</f>
        <v>3.6899999999999995E-2</v>
      </c>
      <c r="AA27" s="208"/>
      <c r="AC27" s="207" t="s">
        <v>226</v>
      </c>
      <c r="AD27" s="45">
        <f>AD3</f>
        <v>4.1899999999999993E-2</v>
      </c>
      <c r="AH27" s="208"/>
    </row>
    <row r="28" spans="1:34" x14ac:dyDescent="0.2">
      <c r="A28" s="207" t="s">
        <v>227</v>
      </c>
      <c r="B28" s="37">
        <f ca="1">B29-0.53%</f>
        <v>8.6482323941207223E-2</v>
      </c>
      <c r="F28" s="208"/>
      <c r="H28" s="207" t="s">
        <v>227</v>
      </c>
      <c r="I28" s="37">
        <f ca="1">I29-0.53%</f>
        <v>8.6482323941207223E-2</v>
      </c>
      <c r="M28" s="208"/>
      <c r="O28" s="207" t="s">
        <v>227</v>
      </c>
      <c r="P28" s="37">
        <f ca="1">P29-0.53%</f>
        <v>8.6482323941207223E-2</v>
      </c>
      <c r="T28" s="208"/>
      <c r="V28" s="207" t="s">
        <v>227</v>
      </c>
      <c r="W28" s="37">
        <f ca="1">W29-0.53%</f>
        <v>8.6482323941207223E-2</v>
      </c>
      <c r="AA28" s="208"/>
      <c r="AC28" s="207" t="s">
        <v>227</v>
      </c>
      <c r="AD28" s="37">
        <f ca="1">AD29-0.53%</f>
        <v>8.6482323941207223E-2</v>
      </c>
      <c r="AH28" s="208"/>
    </row>
    <row r="29" spans="1:34" x14ac:dyDescent="0.2">
      <c r="A29" s="207" t="s">
        <v>228</v>
      </c>
      <c r="B29" s="37">
        <f ca="1">'Sensitivity Model'!D8</f>
        <v>9.1782323941207222E-2</v>
      </c>
      <c r="F29" s="208"/>
      <c r="H29" s="207" t="s">
        <v>228</v>
      </c>
      <c r="I29" s="37">
        <f ca="1">B29</f>
        <v>9.1782323941207222E-2</v>
      </c>
      <c r="M29" s="208"/>
      <c r="O29" s="207" t="s">
        <v>228</v>
      </c>
      <c r="P29" s="37">
        <f ca="1">I29</f>
        <v>9.1782323941207222E-2</v>
      </c>
      <c r="T29" s="208"/>
      <c r="V29" s="207" t="s">
        <v>228</v>
      </c>
      <c r="W29" s="37">
        <f ca="1">P29</f>
        <v>9.1782323941207222E-2</v>
      </c>
      <c r="AA29" s="208"/>
      <c r="AC29" s="207" t="s">
        <v>228</v>
      </c>
      <c r="AD29" s="37">
        <f ca="1">W29</f>
        <v>9.1782323941207222E-2</v>
      </c>
      <c r="AH29" s="208"/>
    </row>
    <row r="30" spans="1:34" x14ac:dyDescent="0.2">
      <c r="A30" s="209"/>
      <c r="F30" s="208"/>
      <c r="H30" s="209"/>
      <c r="M30" s="208"/>
      <c r="O30" s="209"/>
      <c r="T30" s="208"/>
      <c r="V30" s="209"/>
      <c r="AA30" s="208"/>
      <c r="AC30" s="209"/>
      <c r="AH30" s="208"/>
    </row>
    <row r="31" spans="1:34" x14ac:dyDescent="0.2">
      <c r="A31" s="209"/>
      <c r="B31">
        <v>1</v>
      </c>
      <c r="C31">
        <v>2</v>
      </c>
      <c r="D31">
        <v>3</v>
      </c>
      <c r="E31">
        <v>4</v>
      </c>
      <c r="F31" s="208">
        <v>5</v>
      </c>
      <c r="H31" s="209"/>
      <c r="I31">
        <v>1</v>
      </c>
      <c r="J31">
        <v>2</v>
      </c>
      <c r="K31">
        <v>3</v>
      </c>
      <c r="L31">
        <v>4</v>
      </c>
      <c r="M31" s="208">
        <v>5</v>
      </c>
      <c r="O31" s="209"/>
      <c r="P31">
        <v>1</v>
      </c>
      <c r="Q31">
        <v>2</v>
      </c>
      <c r="R31">
        <v>3</v>
      </c>
      <c r="S31">
        <v>4</v>
      </c>
      <c r="T31" s="208">
        <v>5</v>
      </c>
      <c r="V31" s="209"/>
      <c r="W31">
        <v>1</v>
      </c>
      <c r="X31">
        <v>2</v>
      </c>
      <c r="Y31">
        <v>3</v>
      </c>
      <c r="Z31">
        <v>4</v>
      </c>
      <c r="AA31" s="208">
        <v>5</v>
      </c>
      <c r="AC31" s="209"/>
      <c r="AD31">
        <v>1</v>
      </c>
      <c r="AE31">
        <v>2</v>
      </c>
      <c r="AF31">
        <v>3</v>
      </c>
      <c r="AG31">
        <v>4</v>
      </c>
      <c r="AH31" s="208">
        <v>5</v>
      </c>
    </row>
    <row r="32" spans="1:34" x14ac:dyDescent="0.2">
      <c r="A32" s="209"/>
      <c r="B32" s="125">
        <v>2023</v>
      </c>
      <c r="C32" s="126">
        <v>2024</v>
      </c>
      <c r="D32" s="126">
        <v>2025</v>
      </c>
      <c r="E32" s="126">
        <v>2026</v>
      </c>
      <c r="F32" s="210">
        <v>2027</v>
      </c>
      <c r="H32" s="209"/>
      <c r="I32" s="125">
        <v>2023</v>
      </c>
      <c r="J32" s="126">
        <v>2024</v>
      </c>
      <c r="K32" s="126">
        <v>2025</v>
      </c>
      <c r="L32" s="126">
        <v>2026</v>
      </c>
      <c r="M32" s="210">
        <v>2027</v>
      </c>
      <c r="O32" s="209"/>
      <c r="P32" s="125">
        <v>2023</v>
      </c>
      <c r="Q32" s="126">
        <v>2024</v>
      </c>
      <c r="R32" s="126">
        <v>2025</v>
      </c>
      <c r="S32" s="126">
        <v>2026</v>
      </c>
      <c r="T32" s="210">
        <v>2027</v>
      </c>
      <c r="V32" s="209"/>
      <c r="W32" s="125">
        <v>2023</v>
      </c>
      <c r="X32" s="126">
        <v>2024</v>
      </c>
      <c r="Y32" s="126">
        <v>2025</v>
      </c>
      <c r="Z32" s="126">
        <v>2026</v>
      </c>
      <c r="AA32" s="210">
        <v>2027</v>
      </c>
      <c r="AC32" s="209"/>
      <c r="AD32" s="125">
        <v>2023</v>
      </c>
      <c r="AE32" s="126">
        <v>2024</v>
      </c>
      <c r="AF32" s="126">
        <v>2025</v>
      </c>
      <c r="AG32" s="126">
        <v>2026</v>
      </c>
      <c r="AH32" s="210">
        <v>2027</v>
      </c>
    </row>
    <row r="33" spans="1:34" x14ac:dyDescent="0.2">
      <c r="A33" s="207" t="s">
        <v>229</v>
      </c>
      <c r="B33" s="79">
        <f>$B$9</f>
        <v>-43584.788316534934</v>
      </c>
      <c r="C33" s="127">
        <f>$C$9</f>
        <v>-19803.361974531872</v>
      </c>
      <c r="D33" s="127">
        <f>$D$9</f>
        <v>-5836.2917976105891</v>
      </c>
      <c r="E33" s="127">
        <f>$E$9</f>
        <v>10058.296965203575</v>
      </c>
      <c r="F33" s="211">
        <f>$F$9</f>
        <v>27647.573268020031</v>
      </c>
      <c r="H33" s="207" t="s">
        <v>229</v>
      </c>
      <c r="I33" s="79">
        <f>$B$9</f>
        <v>-43584.788316534934</v>
      </c>
      <c r="J33" s="127">
        <f>$C$9</f>
        <v>-19803.361974531872</v>
      </c>
      <c r="K33" s="127">
        <f>$D$9</f>
        <v>-5836.2917976105891</v>
      </c>
      <c r="L33" s="127">
        <f>$E$9</f>
        <v>10058.296965203575</v>
      </c>
      <c r="M33" s="211">
        <f>$F$9</f>
        <v>27647.573268020031</v>
      </c>
      <c r="O33" s="207" t="s">
        <v>229</v>
      </c>
      <c r="P33" s="79">
        <f>$B$9</f>
        <v>-43584.788316534934</v>
      </c>
      <c r="Q33" s="127">
        <f>$C$9</f>
        <v>-19803.361974531872</v>
      </c>
      <c r="R33" s="127">
        <f>$D$9</f>
        <v>-5836.2917976105891</v>
      </c>
      <c r="S33" s="127">
        <f>$E$9</f>
        <v>10058.296965203575</v>
      </c>
      <c r="T33" s="211">
        <f>$F$9</f>
        <v>27647.573268020031</v>
      </c>
      <c r="V33" s="207" t="s">
        <v>229</v>
      </c>
      <c r="W33" s="79">
        <f>$B$9</f>
        <v>-43584.788316534934</v>
      </c>
      <c r="X33" s="127">
        <f>$C$9</f>
        <v>-19803.361974531872</v>
      </c>
      <c r="Y33" s="127">
        <f>$D$9</f>
        <v>-5836.2917976105891</v>
      </c>
      <c r="Z33" s="127">
        <f>$E$9</f>
        <v>10058.296965203575</v>
      </c>
      <c r="AA33" s="211">
        <f>$F$9</f>
        <v>27647.573268020031</v>
      </c>
      <c r="AC33" s="207" t="s">
        <v>229</v>
      </c>
      <c r="AD33" s="79">
        <f>$B$9</f>
        <v>-43584.788316534934</v>
      </c>
      <c r="AE33" s="127">
        <f>$C$9</f>
        <v>-19803.361974531872</v>
      </c>
      <c r="AF33" s="127">
        <f>$D$9</f>
        <v>-5836.2917976105891</v>
      </c>
      <c r="AG33" s="127">
        <f>$E$9</f>
        <v>10058.296965203575</v>
      </c>
      <c r="AH33" s="211">
        <f>$F$9</f>
        <v>27647.573268020031</v>
      </c>
    </row>
    <row r="34" spans="1:34" x14ac:dyDescent="0.2">
      <c r="A34" s="207"/>
      <c r="B34" s="79"/>
      <c r="C34" s="127"/>
      <c r="D34" s="127"/>
      <c r="E34" s="127"/>
      <c r="F34" s="211"/>
      <c r="H34" s="207"/>
      <c r="I34" s="79"/>
      <c r="J34" s="127"/>
      <c r="K34" s="127"/>
      <c r="L34" s="127"/>
      <c r="M34" s="211"/>
      <c r="O34" s="207"/>
      <c r="P34" s="79"/>
      <c r="Q34" s="127"/>
      <c r="R34" s="127"/>
      <c r="S34" s="127"/>
      <c r="T34" s="211"/>
      <c r="V34" s="207"/>
      <c r="W34" s="79"/>
      <c r="X34" s="127"/>
      <c r="Y34" s="127"/>
      <c r="Z34" s="127"/>
      <c r="AA34" s="211"/>
      <c r="AC34" s="207"/>
      <c r="AD34" s="79"/>
      <c r="AE34" s="127"/>
      <c r="AF34" s="127"/>
      <c r="AG34" s="127"/>
      <c r="AH34" s="211"/>
    </row>
    <row r="35" spans="1:34" x14ac:dyDescent="0.2">
      <c r="A35" s="207" t="s">
        <v>191</v>
      </c>
      <c r="B35" s="79">
        <f>$B$11</f>
        <v>16253.717215909828</v>
      </c>
      <c r="C35" s="127">
        <f>$C$11</f>
        <v>-4296.0023288147568</v>
      </c>
      <c r="D35" s="127">
        <f>$D$11</f>
        <v>-5520.2680835455867</v>
      </c>
      <c r="E35" s="127">
        <f>$E$11</f>
        <v>-5768.8360271645925</v>
      </c>
      <c r="F35" s="211">
        <f>$F$11</f>
        <v>-6027.3591589171629</v>
      </c>
      <c r="H35" s="207" t="s">
        <v>191</v>
      </c>
      <c r="I35" s="79">
        <f>$B$11</f>
        <v>16253.717215909828</v>
      </c>
      <c r="J35" s="127">
        <f>$C$11</f>
        <v>-4296.0023288147568</v>
      </c>
      <c r="K35" s="127">
        <f>$D$11</f>
        <v>-5520.2680835455867</v>
      </c>
      <c r="L35" s="127">
        <f>$E$11</f>
        <v>-5768.8360271645925</v>
      </c>
      <c r="M35" s="211">
        <f>$F$11</f>
        <v>-6027.3591589171629</v>
      </c>
      <c r="O35" s="207" t="s">
        <v>191</v>
      </c>
      <c r="P35" s="79">
        <f>$B$11</f>
        <v>16253.717215909828</v>
      </c>
      <c r="Q35" s="127">
        <f>$C$11</f>
        <v>-4296.0023288147568</v>
      </c>
      <c r="R35" s="127">
        <f>$D$11</f>
        <v>-5520.2680835455867</v>
      </c>
      <c r="S35" s="127">
        <f>$E$11</f>
        <v>-5768.8360271645925</v>
      </c>
      <c r="T35" s="211">
        <f>$F$11</f>
        <v>-6027.3591589171629</v>
      </c>
      <c r="V35" s="207" t="s">
        <v>191</v>
      </c>
      <c r="W35" s="79">
        <f>$B$11</f>
        <v>16253.717215909828</v>
      </c>
      <c r="X35" s="127">
        <f>$C$11</f>
        <v>-4296.0023288147568</v>
      </c>
      <c r="Y35" s="127">
        <f>$D$11</f>
        <v>-5520.2680835455867</v>
      </c>
      <c r="Z35" s="127">
        <f>$E$11</f>
        <v>-5768.8360271645925</v>
      </c>
      <c r="AA35" s="211">
        <f>$F$11</f>
        <v>-6027.3591589171629</v>
      </c>
      <c r="AC35" s="207" t="s">
        <v>191</v>
      </c>
      <c r="AD35" s="79">
        <f>$B$11</f>
        <v>16253.717215909828</v>
      </c>
      <c r="AE35" s="127">
        <f>$C$11</f>
        <v>-4296.0023288147568</v>
      </c>
      <c r="AF35" s="127">
        <f>$D$11</f>
        <v>-5520.2680835455867</v>
      </c>
      <c r="AG35" s="127">
        <f>$E$11</f>
        <v>-5768.8360271645925</v>
      </c>
      <c r="AH35" s="211">
        <f>$F$11</f>
        <v>-6027.3591589171629</v>
      </c>
    </row>
    <row r="36" spans="1:34" x14ac:dyDescent="0.2">
      <c r="A36" s="207" t="s">
        <v>231</v>
      </c>
      <c r="B36" s="206">
        <f>$B$12</f>
        <v>-17863.559999999998</v>
      </c>
      <c r="C36" s="206">
        <f>$C$12</f>
        <v>-19898.308759004853</v>
      </c>
      <c r="D36" s="206">
        <f>$D$12</f>
        <v>-21067.038902147084</v>
      </c>
      <c r="E36" s="206">
        <f>$E$12</f>
        <v>-18097.032485158365</v>
      </c>
      <c r="F36" s="212">
        <f>$F$12</f>
        <v>-16612.124643215819</v>
      </c>
      <c r="H36" s="207" t="s">
        <v>231</v>
      </c>
      <c r="I36" s="206">
        <f>$B$12</f>
        <v>-17863.559999999998</v>
      </c>
      <c r="J36" s="206">
        <f>$C$12</f>
        <v>-19898.308759004853</v>
      </c>
      <c r="K36" s="206">
        <f>$D$12</f>
        <v>-21067.038902147084</v>
      </c>
      <c r="L36" s="206">
        <f>$E$12</f>
        <v>-18097.032485158365</v>
      </c>
      <c r="M36" s="212">
        <f>$F$12</f>
        <v>-16612.124643215819</v>
      </c>
      <c r="O36" s="207" t="s">
        <v>231</v>
      </c>
      <c r="P36" s="206">
        <f>$B$12</f>
        <v>-17863.559999999998</v>
      </c>
      <c r="Q36" s="206">
        <f>$C$12</f>
        <v>-19898.308759004853</v>
      </c>
      <c r="R36" s="206">
        <f>$D$12</f>
        <v>-21067.038902147084</v>
      </c>
      <c r="S36" s="206">
        <f>$E$12</f>
        <v>-18097.032485158365</v>
      </c>
      <c r="T36" s="212">
        <f>$F$12</f>
        <v>-16612.124643215819</v>
      </c>
      <c r="V36" s="207" t="s">
        <v>231</v>
      </c>
      <c r="W36" s="206">
        <f>$B$12</f>
        <v>-17863.559999999998</v>
      </c>
      <c r="X36" s="206">
        <f>$C$12</f>
        <v>-19898.308759004853</v>
      </c>
      <c r="Y36" s="206">
        <f>$D$12</f>
        <v>-21067.038902147084</v>
      </c>
      <c r="Z36" s="206">
        <f>$E$12</f>
        <v>-18097.032485158365</v>
      </c>
      <c r="AA36" s="212">
        <f>$F$12</f>
        <v>-16612.124643215819</v>
      </c>
      <c r="AC36" s="207" t="s">
        <v>231</v>
      </c>
      <c r="AD36" s="206">
        <f>$B$12</f>
        <v>-17863.559999999998</v>
      </c>
      <c r="AE36" s="206">
        <f>$C$12</f>
        <v>-19898.308759004853</v>
      </c>
      <c r="AF36" s="206">
        <f>$D$12</f>
        <v>-21067.038902147084</v>
      </c>
      <c r="AG36" s="206">
        <f>$E$12</f>
        <v>-18097.032485158365</v>
      </c>
      <c r="AH36" s="212">
        <f>$F$12</f>
        <v>-16612.124643215819</v>
      </c>
    </row>
    <row r="37" spans="1:34" x14ac:dyDescent="0.2">
      <c r="A37" s="207" t="s">
        <v>232</v>
      </c>
      <c r="B37" s="79">
        <f>$B$13</f>
        <v>49377</v>
      </c>
      <c r="C37" s="127">
        <f>$C$13</f>
        <v>50339.935159004861</v>
      </c>
      <c r="D37" s="127">
        <f>$D$13</f>
        <v>51335.478045151955</v>
      </c>
      <c r="E37" s="127">
        <f>$E$13</f>
        <v>51702.689049510307</v>
      </c>
      <c r="F37" s="211">
        <f>$F$13</f>
        <v>51776.436215435897</v>
      </c>
      <c r="H37" s="207" t="s">
        <v>232</v>
      </c>
      <c r="I37" s="79">
        <f>$B$13</f>
        <v>49377</v>
      </c>
      <c r="J37" s="127">
        <f>$C$13</f>
        <v>50339.935159004861</v>
      </c>
      <c r="K37" s="127">
        <f>$D$13</f>
        <v>51335.478045151955</v>
      </c>
      <c r="L37" s="127">
        <f>$E$13</f>
        <v>51702.689049510307</v>
      </c>
      <c r="M37" s="211">
        <f>$F$13</f>
        <v>51776.436215435897</v>
      </c>
      <c r="O37" s="207" t="s">
        <v>232</v>
      </c>
      <c r="P37" s="79">
        <f>$B$13</f>
        <v>49377</v>
      </c>
      <c r="Q37" s="127">
        <f>$C$13</f>
        <v>50339.935159004861</v>
      </c>
      <c r="R37" s="127">
        <f>$D$13</f>
        <v>51335.478045151955</v>
      </c>
      <c r="S37" s="127">
        <f>$E$13</f>
        <v>51702.689049510307</v>
      </c>
      <c r="T37" s="211">
        <f>$F$13</f>
        <v>51776.436215435897</v>
      </c>
      <c r="V37" s="207" t="s">
        <v>232</v>
      </c>
      <c r="W37" s="79">
        <f>$B$13</f>
        <v>49377</v>
      </c>
      <c r="X37" s="127">
        <f>$C$13</f>
        <v>50339.935159004861</v>
      </c>
      <c r="Y37" s="127">
        <f>$D$13</f>
        <v>51335.478045151955</v>
      </c>
      <c r="Z37" s="127">
        <f>$E$13</f>
        <v>51702.689049510307</v>
      </c>
      <c r="AA37" s="211">
        <f>$F$13</f>
        <v>51776.436215435897</v>
      </c>
      <c r="AC37" s="207" t="s">
        <v>232</v>
      </c>
      <c r="AD37" s="79">
        <f>$B$13</f>
        <v>49377</v>
      </c>
      <c r="AE37" s="127">
        <f>$C$13</f>
        <v>50339.935159004861</v>
      </c>
      <c r="AF37" s="127">
        <f>$D$13</f>
        <v>51335.478045151955</v>
      </c>
      <c r="AG37" s="127">
        <f>$E$13</f>
        <v>51702.689049510307</v>
      </c>
      <c r="AH37" s="211">
        <f>$F$13</f>
        <v>51776.436215435897</v>
      </c>
    </row>
    <row r="38" spans="1:34" x14ac:dyDescent="0.2">
      <c r="A38" s="207"/>
      <c r="B38" s="79"/>
      <c r="C38" s="127"/>
      <c r="D38" s="127"/>
      <c r="E38" s="127"/>
      <c r="F38" s="211"/>
      <c r="H38" s="207"/>
      <c r="I38" s="79"/>
      <c r="J38" s="127"/>
      <c r="K38" s="127"/>
      <c r="L38" s="127"/>
      <c r="M38" s="211"/>
      <c r="O38" s="207"/>
      <c r="P38" s="79"/>
      <c r="Q38" s="127"/>
      <c r="R38" s="127"/>
      <c r="S38" s="127"/>
      <c r="T38" s="211"/>
      <c r="V38" s="207"/>
      <c r="W38" s="79"/>
      <c r="X38" s="127"/>
      <c r="Y38" s="127"/>
      <c r="Z38" s="127"/>
      <c r="AA38" s="211"/>
      <c r="AC38" s="207"/>
      <c r="AD38" s="79"/>
      <c r="AE38" s="127"/>
      <c r="AF38" s="127"/>
      <c r="AG38" s="127"/>
      <c r="AH38" s="211"/>
    </row>
    <row r="39" spans="1:34" x14ac:dyDescent="0.2">
      <c r="A39" s="207" t="s">
        <v>233</v>
      </c>
      <c r="B39" s="79">
        <f>$B$15</f>
        <v>4182.3688993748947</v>
      </c>
      <c r="C39" s="127">
        <f>$C$15</f>
        <v>6342.2620966533796</v>
      </c>
      <c r="D39" s="127">
        <f>$D$15</f>
        <v>18911.879261848695</v>
      </c>
      <c r="E39" s="127">
        <f>$E$15</f>
        <v>37895.117502390924</v>
      </c>
      <c r="F39" s="211">
        <f>$F$15</f>
        <v>56784.52568132295</v>
      </c>
      <c r="H39" s="207" t="s">
        <v>233</v>
      </c>
      <c r="I39" s="79">
        <f>$B$15</f>
        <v>4182.3688993748947</v>
      </c>
      <c r="J39" s="127">
        <f>$C$15</f>
        <v>6342.2620966533796</v>
      </c>
      <c r="K39" s="127">
        <f>$D$15</f>
        <v>18911.879261848695</v>
      </c>
      <c r="L39" s="127">
        <f>$E$15</f>
        <v>37895.117502390924</v>
      </c>
      <c r="M39" s="211">
        <f>$F$15</f>
        <v>56784.52568132295</v>
      </c>
      <c r="O39" s="207" t="s">
        <v>233</v>
      </c>
      <c r="P39" s="79">
        <f>$B$15</f>
        <v>4182.3688993748947</v>
      </c>
      <c r="Q39" s="127">
        <f>$C$15</f>
        <v>6342.2620966533796</v>
      </c>
      <c r="R39" s="127">
        <f>$D$15</f>
        <v>18911.879261848695</v>
      </c>
      <c r="S39" s="127">
        <f>$E$15</f>
        <v>37895.117502390924</v>
      </c>
      <c r="T39" s="211">
        <f>$F$15</f>
        <v>56784.52568132295</v>
      </c>
      <c r="V39" s="207" t="s">
        <v>233</v>
      </c>
      <c r="W39" s="79">
        <f>$B$15</f>
        <v>4182.3688993748947</v>
      </c>
      <c r="X39" s="127">
        <f>$C$15</f>
        <v>6342.2620966533796</v>
      </c>
      <c r="Y39" s="127">
        <f>$D$15</f>
        <v>18911.879261848695</v>
      </c>
      <c r="Z39" s="127">
        <f>$E$15</f>
        <v>37895.117502390924</v>
      </c>
      <c r="AA39" s="211">
        <f>$F$15</f>
        <v>56784.52568132295</v>
      </c>
      <c r="AC39" s="207" t="s">
        <v>233</v>
      </c>
      <c r="AD39" s="79">
        <f>$B$15</f>
        <v>4182.3688993748947</v>
      </c>
      <c r="AE39" s="127">
        <f>$C$15</f>
        <v>6342.2620966533796</v>
      </c>
      <c r="AF39" s="127">
        <f>$D$15</f>
        <v>18911.879261848695</v>
      </c>
      <c r="AG39" s="127">
        <f>$E$15</f>
        <v>37895.117502390924</v>
      </c>
      <c r="AH39" s="211">
        <f>$F$15</f>
        <v>56784.52568132295</v>
      </c>
    </row>
    <row r="40" spans="1:34" x14ac:dyDescent="0.2">
      <c r="A40" s="207" t="s">
        <v>234</v>
      </c>
      <c r="B40" s="128">
        <f ca="1">B39/(1+B28)^B31</f>
        <v>3849.458759902674</v>
      </c>
      <c r="C40" s="129">
        <f ca="1">C39/(1+B28)^C31</f>
        <v>5372.7774930671139</v>
      </c>
      <c r="D40" s="129">
        <f ca="1">D39/(1+B28)^D31</f>
        <v>14745.744042661672</v>
      </c>
      <c r="E40" s="129">
        <f ca="1">(E39/(1+B29)^E31*10/12)+(E39/(1+B28)^E31*2/12)</f>
        <v>26758.356074145078</v>
      </c>
      <c r="F40" s="213">
        <f ca="1">F39/(1+B29)^F31</f>
        <v>36605.783659648572</v>
      </c>
      <c r="H40" s="207" t="s">
        <v>234</v>
      </c>
      <c r="I40" s="128">
        <f ca="1">I39/(1+I28)^I31</f>
        <v>3849.458759902674</v>
      </c>
      <c r="J40" s="129">
        <f ca="1">J39/(1+I28)^J31</f>
        <v>5372.7774930671139</v>
      </c>
      <c r="K40" s="129">
        <f ca="1">K39/(1+I28)^K31</f>
        <v>14745.744042661672</v>
      </c>
      <c r="L40" s="129">
        <f ca="1">(L39/(1+I29)^L31*10/12)+(L39/(1+I28)^L31*2/12)</f>
        <v>26758.356074145078</v>
      </c>
      <c r="M40" s="213">
        <f ca="1">M39/(1+I29)^M31</f>
        <v>36605.783659648572</v>
      </c>
      <c r="O40" s="207" t="s">
        <v>234</v>
      </c>
      <c r="P40" s="128">
        <f ca="1">P39/(1+P28)^P31</f>
        <v>3849.458759902674</v>
      </c>
      <c r="Q40" s="129">
        <f ca="1">Q39/(1+P28)^Q31</f>
        <v>5372.7774930671139</v>
      </c>
      <c r="R40" s="129">
        <f ca="1">R39/(1+P28)^R31</f>
        <v>14745.744042661672</v>
      </c>
      <c r="S40" s="129">
        <f ca="1">(S39/(1+P29)^S31*10/12)+(S39/(1+P28)^S31*2/12)</f>
        <v>26758.356074145078</v>
      </c>
      <c r="T40" s="213">
        <f ca="1">T39/(1+P29)^T31</f>
        <v>36605.783659648572</v>
      </c>
      <c r="V40" s="207" t="s">
        <v>234</v>
      </c>
      <c r="W40" s="128">
        <f ca="1">W39/(1+W28)^W31</f>
        <v>3849.458759902674</v>
      </c>
      <c r="X40" s="129">
        <f ca="1">X39/(1+W28)^X31</f>
        <v>5372.7774930671139</v>
      </c>
      <c r="Y40" s="129">
        <f ca="1">Y39/(1+W28)^Y31</f>
        <v>14745.744042661672</v>
      </c>
      <c r="Z40" s="129">
        <f ca="1">(Z39/(1+W29)^Z31*10/12)+(Z39/(1+W28)^Z31*2/12)</f>
        <v>26758.356074145078</v>
      </c>
      <c r="AA40" s="213">
        <f ca="1">AA39/(1+W29)^AA31</f>
        <v>36605.783659648572</v>
      </c>
      <c r="AC40" s="207" t="s">
        <v>234</v>
      </c>
      <c r="AD40" s="128">
        <f ca="1">AD39/(1+AD28)^AD31</f>
        <v>3849.458759902674</v>
      </c>
      <c r="AE40" s="129">
        <f ca="1">AE39/(1+AD28)^AE31</f>
        <v>5372.7774930671139</v>
      </c>
      <c r="AF40" s="129">
        <f ca="1">AF39/(1+AD28)^AF31</f>
        <v>14745.744042661672</v>
      </c>
      <c r="AG40" s="129">
        <f ca="1">(AG39/(1+AD29)^AG31*10/12)+(AG39/(1+AD28)^AG31*2/12)</f>
        <v>26758.356074145078</v>
      </c>
      <c r="AH40" s="213">
        <f ca="1">AH39/(1+AD29)^AH31</f>
        <v>36605.783659648572</v>
      </c>
    </row>
    <row r="41" spans="1:34" x14ac:dyDescent="0.2">
      <c r="A41" s="207"/>
      <c r="F41" s="208"/>
      <c r="H41" s="207"/>
      <c r="M41" s="208"/>
      <c r="O41" s="207"/>
      <c r="T41" s="208"/>
      <c r="V41" s="207"/>
      <c r="AA41" s="208"/>
      <c r="AC41" s="207"/>
      <c r="AH41" s="208"/>
    </row>
    <row r="42" spans="1:34" x14ac:dyDescent="0.2">
      <c r="A42" s="207" t="s">
        <v>235</v>
      </c>
      <c r="F42" s="212">
        <f ca="1">SUM(B40:E40)</f>
        <v>50726.336369776538</v>
      </c>
      <c r="H42" s="207" t="s">
        <v>235</v>
      </c>
      <c r="M42" s="212">
        <f ca="1">SUM(I40:L40)</f>
        <v>50726.336369776538</v>
      </c>
      <c r="O42" s="207" t="s">
        <v>235</v>
      </c>
      <c r="T42" s="212">
        <f ca="1">SUM(P40:S40)</f>
        <v>50726.336369776538</v>
      </c>
      <c r="V42" s="207" t="s">
        <v>235</v>
      </c>
      <c r="AA42" s="212">
        <f ca="1">SUM(W40:Z40)</f>
        <v>50726.336369776538</v>
      </c>
      <c r="AC42" s="207" t="s">
        <v>235</v>
      </c>
      <c r="AH42" s="212">
        <f ca="1">SUM(AD40:AG40)</f>
        <v>50726.336369776538</v>
      </c>
    </row>
    <row r="43" spans="1:34" x14ac:dyDescent="0.2">
      <c r="A43" s="207" t="s">
        <v>236</v>
      </c>
      <c r="B43" s="79"/>
      <c r="C43" s="79"/>
      <c r="D43" s="79"/>
      <c r="E43" s="79"/>
      <c r="F43" s="212">
        <f ca="1">F40/(B29-B27)</f>
        <v>523820.3539201906</v>
      </c>
      <c r="H43" s="207" t="s">
        <v>236</v>
      </c>
      <c r="I43" s="79"/>
      <c r="J43" s="79"/>
      <c r="K43" s="79"/>
      <c r="L43" s="79"/>
      <c r="M43" s="212">
        <f ca="1">M40/(I29-I27)</f>
        <v>564187.30766824423</v>
      </c>
      <c r="O43" s="207" t="s">
        <v>236</v>
      </c>
      <c r="P43" s="79"/>
      <c r="Q43" s="79"/>
      <c r="R43" s="79"/>
      <c r="S43" s="79"/>
      <c r="T43" s="212">
        <f ca="1">T40/(P29-P27)</f>
        <v>611295.30803761596</v>
      </c>
      <c r="V43" s="207" t="s">
        <v>236</v>
      </c>
      <c r="W43" s="79"/>
      <c r="X43" s="79"/>
      <c r="Y43" s="79"/>
      <c r="Z43" s="79"/>
      <c r="AA43" s="212">
        <f ca="1">AA40/(W29-W27)</f>
        <v>666986.76424239203</v>
      </c>
      <c r="AC43" s="207" t="s">
        <v>236</v>
      </c>
      <c r="AD43" s="79"/>
      <c r="AE43" s="79"/>
      <c r="AF43" s="79"/>
      <c r="AG43" s="79"/>
      <c r="AH43" s="212">
        <f ca="1">AH40/(AD29-AD27)</f>
        <v>733842.78773365135</v>
      </c>
    </row>
    <row r="44" spans="1:34" x14ac:dyDescent="0.2">
      <c r="A44" s="207" t="s">
        <v>237</v>
      </c>
      <c r="F44" s="212">
        <f ca="1">F43/(1+B28)^F31</f>
        <v>345994.37947506417</v>
      </c>
      <c r="H44" s="207" t="s">
        <v>237</v>
      </c>
      <c r="M44" s="212">
        <f ca="1">M43/(1+I28)^M31</f>
        <v>372657.60286612087</v>
      </c>
      <c r="O44" s="207" t="s">
        <v>237</v>
      </c>
      <c r="T44" s="212">
        <f ca="1">T43/(1+P28)^T31</f>
        <v>403773.42956917261</v>
      </c>
      <c r="V44" s="207" t="s">
        <v>237</v>
      </c>
      <c r="AA44" s="212">
        <f ca="1">AA43/(1+W28)^AA31</f>
        <v>440558.80968552071</v>
      </c>
      <c r="AC44" s="207" t="s">
        <v>237</v>
      </c>
      <c r="AH44" s="212">
        <f ca="1">AH43/(1+AD28)^AH31</f>
        <v>484718.62170678657</v>
      </c>
    </row>
    <row r="45" spans="1:34" x14ac:dyDescent="0.2">
      <c r="A45" s="207" t="s">
        <v>238</v>
      </c>
      <c r="F45" s="212">
        <f ca="1">F42+F44</f>
        <v>396720.71584484068</v>
      </c>
      <c r="H45" s="207" t="s">
        <v>238</v>
      </c>
      <c r="M45" s="212">
        <f ca="1">M42+M44</f>
        <v>423383.93923589739</v>
      </c>
      <c r="O45" s="207" t="s">
        <v>238</v>
      </c>
      <c r="T45" s="212">
        <f ca="1">T42+T44</f>
        <v>454499.76593894913</v>
      </c>
      <c r="V45" s="207" t="s">
        <v>238</v>
      </c>
      <c r="AA45" s="212">
        <f ca="1">AA42+AA44</f>
        <v>491285.14605529723</v>
      </c>
      <c r="AC45" s="207" t="s">
        <v>238</v>
      </c>
      <c r="AH45" s="212">
        <f ca="1">AH42+AH44</f>
        <v>535444.95807656308</v>
      </c>
    </row>
    <row r="46" spans="1:34" x14ac:dyDescent="0.2">
      <c r="A46" s="214" t="s">
        <v>241</v>
      </c>
      <c r="F46" s="215">
        <v>135123.13800000001</v>
      </c>
      <c r="H46" s="214" t="s">
        <v>241</v>
      </c>
      <c r="M46" s="215">
        <v>135123.13800000001</v>
      </c>
      <c r="O46" s="214" t="s">
        <v>241</v>
      </c>
      <c r="T46" s="215">
        <v>135123.13800000001</v>
      </c>
      <c r="V46" s="214" t="s">
        <v>241</v>
      </c>
      <c r="AA46" s="215">
        <v>135123.13800000001</v>
      </c>
      <c r="AC46" s="214" t="s">
        <v>241</v>
      </c>
      <c r="AH46" s="215">
        <v>135123.13800000001</v>
      </c>
    </row>
    <row r="47" spans="1:34" x14ac:dyDescent="0.2">
      <c r="A47" s="216" t="s">
        <v>242</v>
      </c>
      <c r="B47" s="217"/>
      <c r="C47" s="217"/>
      <c r="D47" s="217"/>
      <c r="E47" s="217"/>
      <c r="F47" s="218">
        <f ca="1">F45/F46</f>
        <v>2.9359939512716222</v>
      </c>
      <c r="H47" s="216" t="s">
        <v>242</v>
      </c>
      <c r="I47" s="217"/>
      <c r="J47" s="217"/>
      <c r="K47" s="217"/>
      <c r="L47" s="217"/>
      <c r="M47" s="218">
        <f ca="1">M45/M46</f>
        <v>3.1333193226751246</v>
      </c>
      <c r="O47" s="216" t="s">
        <v>242</v>
      </c>
      <c r="P47" s="217"/>
      <c r="Q47" s="217"/>
      <c r="R47" s="217"/>
      <c r="S47" s="217"/>
      <c r="T47" s="218">
        <f ca="1">T45/T46</f>
        <v>3.3635968840432726</v>
      </c>
      <c r="V47" s="216" t="s">
        <v>242</v>
      </c>
      <c r="W47" s="217"/>
      <c r="X47" s="217"/>
      <c r="Y47" s="217"/>
      <c r="Z47" s="217"/>
      <c r="AA47" s="218">
        <f ca="1">AA45/AA46</f>
        <v>3.6358328656880157</v>
      </c>
      <c r="AC47" s="216" t="s">
        <v>242</v>
      </c>
      <c r="AD47" s="217"/>
      <c r="AE47" s="217"/>
      <c r="AF47" s="217"/>
      <c r="AG47" s="217"/>
      <c r="AH47" s="218">
        <f ca="1">AH45/AH46</f>
        <v>3.9626444885890901</v>
      </c>
    </row>
    <row r="49" spans="1:34" ht="21" x14ac:dyDescent="0.25">
      <c r="A49" s="274" t="s">
        <v>224</v>
      </c>
      <c r="B49" s="275"/>
      <c r="C49" s="275"/>
      <c r="D49" s="275"/>
      <c r="E49" s="275"/>
      <c r="F49" s="276"/>
      <c r="H49" s="274" t="s">
        <v>224</v>
      </c>
      <c r="I49" s="275"/>
      <c r="J49" s="275"/>
      <c r="K49" s="275"/>
      <c r="L49" s="275"/>
      <c r="M49" s="276"/>
      <c r="O49" s="288" t="s">
        <v>224</v>
      </c>
      <c r="P49" s="289"/>
      <c r="Q49" s="289"/>
      <c r="R49" s="289"/>
      <c r="S49" s="289"/>
      <c r="T49" s="290"/>
      <c r="V49" s="274" t="s">
        <v>224</v>
      </c>
      <c r="W49" s="275"/>
      <c r="X49" s="275"/>
      <c r="Y49" s="275"/>
      <c r="Z49" s="275"/>
      <c r="AA49" s="276"/>
      <c r="AC49" s="274" t="s">
        <v>224</v>
      </c>
      <c r="AD49" s="275"/>
      <c r="AE49" s="275"/>
      <c r="AF49" s="275"/>
      <c r="AG49" s="275"/>
      <c r="AH49" s="276"/>
    </row>
    <row r="50" spans="1:34" x14ac:dyDescent="0.2">
      <c r="A50" s="207" t="s">
        <v>225</v>
      </c>
      <c r="B50" s="37">
        <f>21%+4.85%</f>
        <v>0.25850000000000001</v>
      </c>
      <c r="F50" s="208"/>
      <c r="H50" s="207" t="s">
        <v>225</v>
      </c>
      <c r="I50" s="37">
        <f>21%+4.85%</f>
        <v>0.25850000000000001</v>
      </c>
      <c r="M50" s="208"/>
      <c r="O50" s="207" t="s">
        <v>225</v>
      </c>
      <c r="P50" s="37">
        <f>21%+4.85%</f>
        <v>0.25850000000000001</v>
      </c>
      <c r="T50" s="208"/>
      <c r="V50" s="207" t="s">
        <v>225</v>
      </c>
      <c r="W50" s="37">
        <f>21%+4.85%</f>
        <v>0.25850000000000001</v>
      </c>
      <c r="AA50" s="208"/>
      <c r="AC50" s="207" t="s">
        <v>225</v>
      </c>
      <c r="AD50" s="37">
        <f>21%+4.85%</f>
        <v>0.25850000000000001</v>
      </c>
      <c r="AH50" s="208"/>
    </row>
    <row r="51" spans="1:34" x14ac:dyDescent="0.2">
      <c r="A51" s="207" t="s">
        <v>226</v>
      </c>
      <c r="B51" s="45">
        <f>B27</f>
        <v>2.1899999999999996E-2</v>
      </c>
      <c r="F51" s="208"/>
      <c r="H51" s="207" t="s">
        <v>226</v>
      </c>
      <c r="I51" s="45">
        <f>I27</f>
        <v>2.6899999999999997E-2</v>
      </c>
      <c r="M51" s="208"/>
      <c r="O51" s="207" t="s">
        <v>226</v>
      </c>
      <c r="P51" s="45">
        <f>P27</f>
        <v>3.1899999999999998E-2</v>
      </c>
      <c r="T51" s="208"/>
      <c r="V51" s="207" t="s">
        <v>226</v>
      </c>
      <c r="W51" s="45">
        <f>W27</f>
        <v>3.6899999999999995E-2</v>
      </c>
      <c r="AA51" s="208"/>
      <c r="AC51" s="207" t="s">
        <v>226</v>
      </c>
      <c r="AD51" s="45">
        <f>AD27</f>
        <v>4.1899999999999993E-2</v>
      </c>
      <c r="AH51" s="208"/>
    </row>
    <row r="52" spans="1:34" x14ac:dyDescent="0.2">
      <c r="A52" s="207" t="s">
        <v>227</v>
      </c>
      <c r="B52" s="37">
        <f ca="1">$B$4</f>
        <v>8.1482323941207219E-2</v>
      </c>
      <c r="F52" s="208"/>
      <c r="H52" s="207" t="s">
        <v>227</v>
      </c>
      <c r="I52" s="37">
        <f ca="1">I53-0.53%</f>
        <v>9.1482323941207228E-2</v>
      </c>
      <c r="M52" s="208"/>
      <c r="O52" s="207" t="s">
        <v>227</v>
      </c>
      <c r="P52" s="37">
        <f ca="1">P53-0.53%</f>
        <v>9.1482323941207228E-2</v>
      </c>
      <c r="T52" s="208"/>
      <c r="V52" s="207" t="s">
        <v>227</v>
      </c>
      <c r="W52" s="37">
        <f ca="1">W53-0.53%</f>
        <v>9.1482323941207228E-2</v>
      </c>
      <c r="AA52" s="208"/>
      <c r="AC52" s="207" t="s">
        <v>227</v>
      </c>
      <c r="AD52" s="37">
        <f ca="1">AD53-0.53%</f>
        <v>9.1482323941207228E-2</v>
      </c>
      <c r="AH52" s="208"/>
    </row>
    <row r="53" spans="1:34" x14ac:dyDescent="0.2">
      <c r="A53" s="207" t="s">
        <v>228</v>
      </c>
      <c r="B53" s="37">
        <f ca="1">'Sensitivity Model'!D9</f>
        <v>9.6782323941207227E-2</v>
      </c>
      <c r="F53" s="208"/>
      <c r="H53" s="207" t="s">
        <v>228</v>
      </c>
      <c r="I53" s="37">
        <f ca="1">B53</f>
        <v>9.6782323941207227E-2</v>
      </c>
      <c r="M53" s="208"/>
      <c r="O53" s="207" t="s">
        <v>228</v>
      </c>
      <c r="P53" s="37">
        <f ca="1">I53</f>
        <v>9.6782323941207227E-2</v>
      </c>
      <c r="T53" s="208"/>
      <c r="V53" s="207" t="s">
        <v>228</v>
      </c>
      <c r="W53" s="37">
        <f ca="1">P53</f>
        <v>9.6782323941207227E-2</v>
      </c>
      <c r="AA53" s="208"/>
      <c r="AC53" s="207" t="s">
        <v>228</v>
      </c>
      <c r="AD53" s="37">
        <f ca="1">W53</f>
        <v>9.6782323941207227E-2</v>
      </c>
      <c r="AH53" s="208"/>
    </row>
    <row r="54" spans="1:34" x14ac:dyDescent="0.2">
      <c r="A54" s="209"/>
      <c r="F54" s="208"/>
      <c r="H54" s="209"/>
      <c r="M54" s="208"/>
      <c r="O54" s="209"/>
      <c r="T54" s="208"/>
      <c r="V54" s="209"/>
      <c r="AA54" s="208"/>
      <c r="AC54" s="209"/>
      <c r="AH54" s="208"/>
    </row>
    <row r="55" spans="1:34" x14ac:dyDescent="0.2">
      <c r="A55" s="209"/>
      <c r="B55">
        <v>1</v>
      </c>
      <c r="C55">
        <v>2</v>
      </c>
      <c r="D55">
        <v>3</v>
      </c>
      <c r="E55">
        <v>4</v>
      </c>
      <c r="F55" s="208">
        <v>5</v>
      </c>
      <c r="H55" s="209"/>
      <c r="I55">
        <v>1</v>
      </c>
      <c r="J55">
        <v>2</v>
      </c>
      <c r="K55">
        <v>3</v>
      </c>
      <c r="L55">
        <v>4</v>
      </c>
      <c r="M55" s="208">
        <v>5</v>
      </c>
      <c r="O55" s="209"/>
      <c r="P55">
        <v>1</v>
      </c>
      <c r="Q55">
        <v>2</v>
      </c>
      <c r="R55">
        <v>3</v>
      </c>
      <c r="S55">
        <v>4</v>
      </c>
      <c r="T55" s="208">
        <v>5</v>
      </c>
      <c r="V55" s="209"/>
      <c r="W55">
        <v>1</v>
      </c>
      <c r="X55">
        <v>2</v>
      </c>
      <c r="Y55">
        <v>3</v>
      </c>
      <c r="Z55">
        <v>4</v>
      </c>
      <c r="AA55" s="208">
        <v>5</v>
      </c>
      <c r="AC55" s="209"/>
      <c r="AD55">
        <v>1</v>
      </c>
      <c r="AE55">
        <v>2</v>
      </c>
      <c r="AF55">
        <v>3</v>
      </c>
      <c r="AG55">
        <v>4</v>
      </c>
      <c r="AH55" s="208">
        <v>5</v>
      </c>
    </row>
    <row r="56" spans="1:34" x14ac:dyDescent="0.2">
      <c r="A56" s="209"/>
      <c r="B56" s="125">
        <v>2023</v>
      </c>
      <c r="C56" s="126">
        <v>2024</v>
      </c>
      <c r="D56" s="126">
        <v>2025</v>
      </c>
      <c r="E56" s="126">
        <v>2026</v>
      </c>
      <c r="F56" s="210">
        <v>2027</v>
      </c>
      <c r="H56" s="209"/>
      <c r="I56" s="125">
        <v>2023</v>
      </c>
      <c r="J56" s="126">
        <v>2024</v>
      </c>
      <c r="K56" s="126">
        <v>2025</v>
      </c>
      <c r="L56" s="126">
        <v>2026</v>
      </c>
      <c r="M56" s="210">
        <v>2027</v>
      </c>
      <c r="O56" s="209"/>
      <c r="P56" s="125">
        <v>2023</v>
      </c>
      <c r="Q56" s="126">
        <v>2024</v>
      </c>
      <c r="R56" s="126">
        <v>2025</v>
      </c>
      <c r="S56" s="126">
        <v>2026</v>
      </c>
      <c r="T56" s="210">
        <v>2027</v>
      </c>
      <c r="V56" s="209"/>
      <c r="W56" s="125">
        <v>2023</v>
      </c>
      <c r="X56" s="126">
        <v>2024</v>
      </c>
      <c r="Y56" s="126">
        <v>2025</v>
      </c>
      <c r="Z56" s="126">
        <v>2026</v>
      </c>
      <c r="AA56" s="210">
        <v>2027</v>
      </c>
      <c r="AC56" s="209"/>
      <c r="AD56" s="125">
        <v>2023</v>
      </c>
      <c r="AE56" s="126">
        <v>2024</v>
      </c>
      <c r="AF56" s="126">
        <v>2025</v>
      </c>
      <c r="AG56" s="126">
        <v>2026</v>
      </c>
      <c r="AH56" s="210">
        <v>2027</v>
      </c>
    </row>
    <row r="57" spans="1:34" x14ac:dyDescent="0.2">
      <c r="A57" s="207" t="s">
        <v>229</v>
      </c>
      <c r="B57" s="79">
        <f>$B$9</f>
        <v>-43584.788316534934</v>
      </c>
      <c r="C57" s="127">
        <f>$C$9</f>
        <v>-19803.361974531872</v>
      </c>
      <c r="D57" s="127">
        <f>$D$9</f>
        <v>-5836.2917976105891</v>
      </c>
      <c r="E57" s="127">
        <f>$E$9</f>
        <v>10058.296965203575</v>
      </c>
      <c r="F57" s="211">
        <f>$F$9</f>
        <v>27647.573268020031</v>
      </c>
      <c r="H57" s="207" t="s">
        <v>229</v>
      </c>
      <c r="I57" s="79">
        <f>$B$9</f>
        <v>-43584.788316534934</v>
      </c>
      <c r="J57" s="127">
        <f>$C$9</f>
        <v>-19803.361974531872</v>
      </c>
      <c r="K57" s="127">
        <f>$D$9</f>
        <v>-5836.2917976105891</v>
      </c>
      <c r="L57" s="127">
        <f>$E$9</f>
        <v>10058.296965203575</v>
      </c>
      <c r="M57" s="211">
        <f>$F$9</f>
        <v>27647.573268020031</v>
      </c>
      <c r="O57" s="207" t="s">
        <v>229</v>
      </c>
      <c r="P57" s="79">
        <f>$B$9</f>
        <v>-43584.788316534934</v>
      </c>
      <c r="Q57" s="127">
        <f>$C$9</f>
        <v>-19803.361974531872</v>
      </c>
      <c r="R57" s="127">
        <f>$D$9</f>
        <v>-5836.2917976105891</v>
      </c>
      <c r="S57" s="127">
        <f>$E$9</f>
        <v>10058.296965203575</v>
      </c>
      <c r="T57" s="211">
        <f>$F$9</f>
        <v>27647.573268020031</v>
      </c>
      <c r="V57" s="207" t="s">
        <v>229</v>
      </c>
      <c r="W57" s="79">
        <f>$B$9</f>
        <v>-43584.788316534934</v>
      </c>
      <c r="X57" s="127">
        <f>$C$9</f>
        <v>-19803.361974531872</v>
      </c>
      <c r="Y57" s="127">
        <f>$D$9</f>
        <v>-5836.2917976105891</v>
      </c>
      <c r="Z57" s="127">
        <f>$E$9</f>
        <v>10058.296965203575</v>
      </c>
      <c r="AA57" s="211">
        <f>$F$9</f>
        <v>27647.573268020031</v>
      </c>
      <c r="AC57" s="207" t="s">
        <v>229</v>
      </c>
      <c r="AD57" s="79">
        <f>$B$9</f>
        <v>-43584.788316534934</v>
      </c>
      <c r="AE57" s="127">
        <f>$C$9</f>
        <v>-19803.361974531872</v>
      </c>
      <c r="AF57" s="127">
        <f>$D$9</f>
        <v>-5836.2917976105891</v>
      </c>
      <c r="AG57" s="127">
        <f>$E$9</f>
        <v>10058.296965203575</v>
      </c>
      <c r="AH57" s="211">
        <f>$F$9</f>
        <v>27647.573268020031</v>
      </c>
    </row>
    <row r="58" spans="1:34" x14ac:dyDescent="0.2">
      <c r="A58" s="207"/>
      <c r="B58" s="79"/>
      <c r="C58" s="127"/>
      <c r="D58" s="127"/>
      <c r="E58" s="127"/>
      <c r="F58" s="211"/>
      <c r="H58" s="207"/>
      <c r="I58" s="79"/>
      <c r="J58" s="127"/>
      <c r="K58" s="127"/>
      <c r="L58" s="127"/>
      <c r="M58" s="211"/>
      <c r="O58" s="207"/>
      <c r="P58" s="79"/>
      <c r="Q58" s="127"/>
      <c r="R58" s="127"/>
      <c r="S58" s="127"/>
      <c r="T58" s="211"/>
      <c r="V58" s="207"/>
      <c r="W58" s="79"/>
      <c r="X58" s="127"/>
      <c r="Y58" s="127"/>
      <c r="Z58" s="127"/>
      <c r="AA58" s="211"/>
      <c r="AC58" s="207"/>
      <c r="AD58" s="79"/>
      <c r="AE58" s="127"/>
      <c r="AF58" s="127"/>
      <c r="AG58" s="127"/>
      <c r="AH58" s="211"/>
    </row>
    <row r="59" spans="1:34" x14ac:dyDescent="0.2">
      <c r="A59" s="207" t="s">
        <v>191</v>
      </c>
      <c r="B59" s="79">
        <f>$B$11</f>
        <v>16253.717215909828</v>
      </c>
      <c r="C59" s="127">
        <f>$C$11</f>
        <v>-4296.0023288147568</v>
      </c>
      <c r="D59" s="127">
        <f>$D$11</f>
        <v>-5520.2680835455867</v>
      </c>
      <c r="E59" s="127">
        <f>$E$11</f>
        <v>-5768.8360271645925</v>
      </c>
      <c r="F59" s="211">
        <f>$F$11</f>
        <v>-6027.3591589171629</v>
      </c>
      <c r="H59" s="207" t="s">
        <v>191</v>
      </c>
      <c r="I59" s="79">
        <f>$B$11</f>
        <v>16253.717215909828</v>
      </c>
      <c r="J59" s="127">
        <f>$C$11</f>
        <v>-4296.0023288147568</v>
      </c>
      <c r="K59" s="127">
        <f>$D$11</f>
        <v>-5520.2680835455867</v>
      </c>
      <c r="L59" s="127">
        <f>$E$11</f>
        <v>-5768.8360271645925</v>
      </c>
      <c r="M59" s="211">
        <f>$F$11</f>
        <v>-6027.3591589171629</v>
      </c>
      <c r="O59" s="207" t="s">
        <v>191</v>
      </c>
      <c r="P59" s="79">
        <f>$B$11</f>
        <v>16253.717215909828</v>
      </c>
      <c r="Q59" s="127">
        <f>$C$11</f>
        <v>-4296.0023288147568</v>
      </c>
      <c r="R59" s="127">
        <f>$D$11</f>
        <v>-5520.2680835455867</v>
      </c>
      <c r="S59" s="127">
        <f>$E$11</f>
        <v>-5768.8360271645925</v>
      </c>
      <c r="T59" s="211">
        <f>$F$11</f>
        <v>-6027.3591589171629</v>
      </c>
      <c r="V59" s="207" t="s">
        <v>191</v>
      </c>
      <c r="W59" s="79">
        <f>$B$11</f>
        <v>16253.717215909828</v>
      </c>
      <c r="X59" s="127">
        <f>$C$11</f>
        <v>-4296.0023288147568</v>
      </c>
      <c r="Y59" s="127">
        <f>$D$11</f>
        <v>-5520.2680835455867</v>
      </c>
      <c r="Z59" s="127">
        <f>$E$11</f>
        <v>-5768.8360271645925</v>
      </c>
      <c r="AA59" s="211">
        <f>$F$11</f>
        <v>-6027.3591589171629</v>
      </c>
      <c r="AC59" s="207" t="s">
        <v>191</v>
      </c>
      <c r="AD59" s="79">
        <f>$B$11</f>
        <v>16253.717215909828</v>
      </c>
      <c r="AE59" s="127">
        <f>$C$11</f>
        <v>-4296.0023288147568</v>
      </c>
      <c r="AF59" s="127">
        <f>$D$11</f>
        <v>-5520.2680835455867</v>
      </c>
      <c r="AG59" s="127">
        <f>$E$11</f>
        <v>-5768.8360271645925</v>
      </c>
      <c r="AH59" s="211">
        <f>$F$11</f>
        <v>-6027.3591589171629</v>
      </c>
    </row>
    <row r="60" spans="1:34" x14ac:dyDescent="0.2">
      <c r="A60" s="207" t="s">
        <v>231</v>
      </c>
      <c r="B60" s="206">
        <f>$B$12</f>
        <v>-17863.559999999998</v>
      </c>
      <c r="C60" s="206">
        <f>$C$12</f>
        <v>-19898.308759004853</v>
      </c>
      <c r="D60" s="206">
        <f>$D$12</f>
        <v>-21067.038902147084</v>
      </c>
      <c r="E60" s="206">
        <f>$E$12</f>
        <v>-18097.032485158365</v>
      </c>
      <c r="F60" s="212">
        <f>$F$12</f>
        <v>-16612.124643215819</v>
      </c>
      <c r="H60" s="207" t="s">
        <v>231</v>
      </c>
      <c r="I60" s="206">
        <f>$B$12</f>
        <v>-17863.559999999998</v>
      </c>
      <c r="J60" s="206">
        <f>$C$12</f>
        <v>-19898.308759004853</v>
      </c>
      <c r="K60" s="206">
        <f>$D$12</f>
        <v>-21067.038902147084</v>
      </c>
      <c r="L60" s="206">
        <f>$E$12</f>
        <v>-18097.032485158365</v>
      </c>
      <c r="M60" s="212">
        <f>$F$12</f>
        <v>-16612.124643215819</v>
      </c>
      <c r="O60" s="207" t="s">
        <v>231</v>
      </c>
      <c r="P60" s="206">
        <f>$B$12</f>
        <v>-17863.559999999998</v>
      </c>
      <c r="Q60" s="206">
        <f>$C$12</f>
        <v>-19898.308759004853</v>
      </c>
      <c r="R60" s="206">
        <f>$D$12</f>
        <v>-21067.038902147084</v>
      </c>
      <c r="S60" s="206">
        <f>$E$12</f>
        <v>-18097.032485158365</v>
      </c>
      <c r="T60" s="212">
        <f>$F$12</f>
        <v>-16612.124643215819</v>
      </c>
      <c r="V60" s="207" t="s">
        <v>231</v>
      </c>
      <c r="W60" s="206">
        <f>$B$12</f>
        <v>-17863.559999999998</v>
      </c>
      <c r="X60" s="206">
        <f>$C$12</f>
        <v>-19898.308759004853</v>
      </c>
      <c r="Y60" s="206">
        <f>$D$12</f>
        <v>-21067.038902147084</v>
      </c>
      <c r="Z60" s="206">
        <f>$E$12</f>
        <v>-18097.032485158365</v>
      </c>
      <c r="AA60" s="212">
        <f>$F$12</f>
        <v>-16612.124643215819</v>
      </c>
      <c r="AC60" s="207" t="s">
        <v>231</v>
      </c>
      <c r="AD60" s="206">
        <f>$B$12</f>
        <v>-17863.559999999998</v>
      </c>
      <c r="AE60" s="206">
        <f>$C$12</f>
        <v>-19898.308759004853</v>
      </c>
      <c r="AF60" s="206">
        <f>$D$12</f>
        <v>-21067.038902147084</v>
      </c>
      <c r="AG60" s="206">
        <f>$E$12</f>
        <v>-18097.032485158365</v>
      </c>
      <c r="AH60" s="212">
        <f>$F$12</f>
        <v>-16612.124643215819</v>
      </c>
    </row>
    <row r="61" spans="1:34" x14ac:dyDescent="0.2">
      <c r="A61" s="207" t="s">
        <v>232</v>
      </c>
      <c r="B61" s="79">
        <f>$B$13</f>
        <v>49377</v>
      </c>
      <c r="C61" s="127">
        <f>$C$13</f>
        <v>50339.935159004861</v>
      </c>
      <c r="D61" s="127">
        <f>$D$13</f>
        <v>51335.478045151955</v>
      </c>
      <c r="E61" s="127">
        <f>$E$13</f>
        <v>51702.689049510307</v>
      </c>
      <c r="F61" s="211">
        <f>$F$13</f>
        <v>51776.436215435897</v>
      </c>
      <c r="H61" s="207" t="s">
        <v>232</v>
      </c>
      <c r="I61" s="79">
        <f>$B$13</f>
        <v>49377</v>
      </c>
      <c r="J61" s="127">
        <f>$C$13</f>
        <v>50339.935159004861</v>
      </c>
      <c r="K61" s="127">
        <f>$D$13</f>
        <v>51335.478045151955</v>
      </c>
      <c r="L61" s="127">
        <f>$E$13</f>
        <v>51702.689049510307</v>
      </c>
      <c r="M61" s="211">
        <f>$F$13</f>
        <v>51776.436215435897</v>
      </c>
      <c r="O61" s="207" t="s">
        <v>232</v>
      </c>
      <c r="P61" s="79">
        <f>$B$13</f>
        <v>49377</v>
      </c>
      <c r="Q61" s="127">
        <f>$C$13</f>
        <v>50339.935159004861</v>
      </c>
      <c r="R61" s="127">
        <f>$D$13</f>
        <v>51335.478045151955</v>
      </c>
      <c r="S61" s="127">
        <f>$E$13</f>
        <v>51702.689049510307</v>
      </c>
      <c r="T61" s="211">
        <f>$F$13</f>
        <v>51776.436215435897</v>
      </c>
      <c r="V61" s="207" t="s">
        <v>232</v>
      </c>
      <c r="W61" s="79">
        <f>$B$13</f>
        <v>49377</v>
      </c>
      <c r="X61" s="127">
        <f>$C$13</f>
        <v>50339.935159004861</v>
      </c>
      <c r="Y61" s="127">
        <f>$D$13</f>
        <v>51335.478045151955</v>
      </c>
      <c r="Z61" s="127">
        <f>$E$13</f>
        <v>51702.689049510307</v>
      </c>
      <c r="AA61" s="211">
        <f>$F$13</f>
        <v>51776.436215435897</v>
      </c>
      <c r="AC61" s="207" t="s">
        <v>232</v>
      </c>
      <c r="AD61" s="79">
        <f>$B$13</f>
        <v>49377</v>
      </c>
      <c r="AE61" s="127">
        <f>$C$13</f>
        <v>50339.935159004861</v>
      </c>
      <c r="AF61" s="127">
        <f>$D$13</f>
        <v>51335.478045151955</v>
      </c>
      <c r="AG61" s="127">
        <f>$E$13</f>
        <v>51702.689049510307</v>
      </c>
      <c r="AH61" s="211">
        <f>$F$13</f>
        <v>51776.436215435897</v>
      </c>
    </row>
    <row r="62" spans="1:34" x14ac:dyDescent="0.2">
      <c r="A62" s="207"/>
      <c r="B62" s="79"/>
      <c r="C62" s="127"/>
      <c r="D62" s="127"/>
      <c r="E62" s="127"/>
      <c r="F62" s="211"/>
      <c r="H62" s="207"/>
      <c r="I62" s="79"/>
      <c r="J62" s="127"/>
      <c r="K62" s="127"/>
      <c r="L62" s="127"/>
      <c r="M62" s="211"/>
      <c r="O62" s="207"/>
      <c r="P62" s="79"/>
      <c r="Q62" s="127"/>
      <c r="R62" s="127"/>
      <c r="S62" s="127"/>
      <c r="T62" s="211"/>
      <c r="V62" s="207"/>
      <c r="W62" s="79"/>
      <c r="X62" s="127"/>
      <c r="Y62" s="127"/>
      <c r="Z62" s="127"/>
      <c r="AA62" s="211"/>
      <c r="AC62" s="207"/>
      <c r="AD62" s="79"/>
      <c r="AE62" s="127"/>
      <c r="AF62" s="127"/>
      <c r="AG62" s="127"/>
      <c r="AH62" s="211"/>
    </row>
    <row r="63" spans="1:34" x14ac:dyDescent="0.2">
      <c r="A63" s="207" t="s">
        <v>233</v>
      </c>
      <c r="B63" s="79">
        <f>$B$15</f>
        <v>4182.3688993748947</v>
      </c>
      <c r="C63" s="127">
        <f>$C$15</f>
        <v>6342.2620966533796</v>
      </c>
      <c r="D63" s="127">
        <f>$D$15</f>
        <v>18911.879261848695</v>
      </c>
      <c r="E63" s="127">
        <f>$E$15</f>
        <v>37895.117502390924</v>
      </c>
      <c r="F63" s="211">
        <f>$F$15</f>
        <v>56784.52568132295</v>
      </c>
      <c r="H63" s="207" t="s">
        <v>233</v>
      </c>
      <c r="I63" s="79">
        <f>$B$15</f>
        <v>4182.3688993748947</v>
      </c>
      <c r="J63" s="127">
        <f>$C$15</f>
        <v>6342.2620966533796</v>
      </c>
      <c r="K63" s="127">
        <f>$D$15</f>
        <v>18911.879261848695</v>
      </c>
      <c r="L63" s="127">
        <f>$E$15</f>
        <v>37895.117502390924</v>
      </c>
      <c r="M63" s="211">
        <f>$F$15</f>
        <v>56784.52568132295</v>
      </c>
      <c r="O63" s="207" t="s">
        <v>233</v>
      </c>
      <c r="P63" s="79">
        <f>$B$15</f>
        <v>4182.3688993748947</v>
      </c>
      <c r="Q63" s="127">
        <f>$C$15</f>
        <v>6342.2620966533796</v>
      </c>
      <c r="R63" s="127">
        <f>$D$15</f>
        <v>18911.879261848695</v>
      </c>
      <c r="S63" s="127">
        <f>$E$15</f>
        <v>37895.117502390924</v>
      </c>
      <c r="T63" s="211">
        <f>$F$15</f>
        <v>56784.52568132295</v>
      </c>
      <c r="V63" s="207" t="s">
        <v>233</v>
      </c>
      <c r="W63" s="79">
        <f>$B$15</f>
        <v>4182.3688993748947</v>
      </c>
      <c r="X63" s="127">
        <f>$C$15</f>
        <v>6342.2620966533796</v>
      </c>
      <c r="Y63" s="127">
        <f>$D$15</f>
        <v>18911.879261848695</v>
      </c>
      <c r="Z63" s="127">
        <f>$E$15</f>
        <v>37895.117502390924</v>
      </c>
      <c r="AA63" s="211">
        <f>$F$15</f>
        <v>56784.52568132295</v>
      </c>
      <c r="AC63" s="207" t="s">
        <v>233</v>
      </c>
      <c r="AD63" s="79">
        <f>$B$15</f>
        <v>4182.3688993748947</v>
      </c>
      <c r="AE63" s="127">
        <f>$C$15</f>
        <v>6342.2620966533796</v>
      </c>
      <c r="AF63" s="127">
        <f>$D$15</f>
        <v>18911.879261848695</v>
      </c>
      <c r="AG63" s="127">
        <f>$E$15</f>
        <v>37895.117502390924</v>
      </c>
      <c r="AH63" s="211">
        <f>$F$15</f>
        <v>56784.52568132295</v>
      </c>
    </row>
    <row r="64" spans="1:34" x14ac:dyDescent="0.2">
      <c r="A64" s="207" t="s">
        <v>234</v>
      </c>
      <c r="B64" s="128">
        <f ca="1">B63/(1+B52)^B55</f>
        <v>3867.2559012645143</v>
      </c>
      <c r="C64" s="129">
        <f ca="1">C63/(1+B52)^C55</f>
        <v>5422.5720880609451</v>
      </c>
      <c r="D64" s="129">
        <f ca="1">D63/(1+B52)^D55</f>
        <v>14951.212350471307</v>
      </c>
      <c r="E64" s="129">
        <f ca="1">(E63/(1+B53)^E55*10/12)+(E63/(1+B52)^E55*2/12)</f>
        <v>26440.231679556764</v>
      </c>
      <c r="F64" s="213">
        <f ca="1">F63/(1+B53)^F55</f>
        <v>35778.966323488399</v>
      </c>
      <c r="H64" s="207" t="s">
        <v>234</v>
      </c>
      <c r="I64" s="128">
        <f ca="1">I63/(1+I52)^I55</f>
        <v>3831.8246733239612</v>
      </c>
      <c r="J64" s="129">
        <f ca="1">J63/(1+I52)^J55</f>
        <v>5323.6656455654866</v>
      </c>
      <c r="K64" s="129">
        <f ca="1">K63/(1+I52)^K55</f>
        <v>14544.023441681051</v>
      </c>
      <c r="L64" s="129">
        <f ca="1">(L63/(1+I53)^L55*10/12)+(L63/(1+I52)^L55*2/12)</f>
        <v>26273.343851733312</v>
      </c>
      <c r="M64" s="213">
        <f ca="1">M63/(1+I53)^M55</f>
        <v>35778.966323488399</v>
      </c>
      <c r="O64" s="207" t="s">
        <v>234</v>
      </c>
      <c r="P64" s="128">
        <f ca="1">P63/(1+P52)^P55</f>
        <v>3831.8246733239612</v>
      </c>
      <c r="Q64" s="129">
        <f ca="1">Q63/(1+P52)^Q55</f>
        <v>5323.6656455654866</v>
      </c>
      <c r="R64" s="129">
        <f ca="1">R63/(1+P52)^R55</f>
        <v>14544.023441681051</v>
      </c>
      <c r="S64" s="129">
        <f ca="1">(S63/(1+P53)^S55*10/12)+(S63/(1+P52)^S55*2/12)</f>
        <v>26273.343851733312</v>
      </c>
      <c r="T64" s="213">
        <f ca="1">T63/(1+P53)^T55</f>
        <v>35778.966323488399</v>
      </c>
      <c r="V64" s="207" t="s">
        <v>234</v>
      </c>
      <c r="W64" s="128">
        <f ca="1">W63/(1+W52)^W55</f>
        <v>3831.8246733239612</v>
      </c>
      <c r="X64" s="129">
        <f ca="1">X63/(1+W52)^X55</f>
        <v>5323.6656455654866</v>
      </c>
      <c r="Y64" s="129">
        <f ca="1">Y63/(1+W52)^Y55</f>
        <v>14544.023441681051</v>
      </c>
      <c r="Z64" s="129">
        <f ca="1">(Z63/(1+W53)^Z55*10/12)+(Z63/(1+W52)^Z55*2/12)</f>
        <v>26273.343851733312</v>
      </c>
      <c r="AA64" s="213">
        <f ca="1">AA63/(1+W53)^AA55</f>
        <v>35778.966323488399</v>
      </c>
      <c r="AC64" s="207" t="s">
        <v>234</v>
      </c>
      <c r="AD64" s="128">
        <f ca="1">AD63/(1+AD52)^AD55</f>
        <v>3831.8246733239612</v>
      </c>
      <c r="AE64" s="129">
        <f ca="1">AE63/(1+AD52)^AE55</f>
        <v>5323.6656455654866</v>
      </c>
      <c r="AF64" s="129">
        <f ca="1">AF63/(1+AD52)^AF55</f>
        <v>14544.023441681051</v>
      </c>
      <c r="AG64" s="129">
        <f ca="1">(AG63/(1+AD53)^AG55*10/12)+(AG63/(1+AD52)^AG55*2/12)</f>
        <v>26273.343851733312</v>
      </c>
      <c r="AH64" s="213">
        <f ca="1">AH63/(1+AD53)^AH55</f>
        <v>35778.966323488399</v>
      </c>
    </row>
    <row r="65" spans="1:34" x14ac:dyDescent="0.2">
      <c r="A65" s="207"/>
      <c r="F65" s="208"/>
      <c r="H65" s="207"/>
      <c r="M65" s="208"/>
      <c r="O65" s="207"/>
      <c r="T65" s="208"/>
      <c r="V65" s="207"/>
      <c r="AA65" s="208"/>
      <c r="AC65" s="207"/>
      <c r="AH65" s="208"/>
    </row>
    <row r="66" spans="1:34" x14ac:dyDescent="0.2">
      <c r="A66" s="207" t="s">
        <v>235</v>
      </c>
      <c r="F66" s="212">
        <f ca="1">SUM(B64:E64)</f>
        <v>50681.272019353535</v>
      </c>
      <c r="H66" s="207" t="s">
        <v>235</v>
      </c>
      <c r="M66" s="212">
        <f ca="1">SUM(I64:L64)</f>
        <v>49972.857612303807</v>
      </c>
      <c r="O66" s="207" t="s">
        <v>235</v>
      </c>
      <c r="T66" s="212">
        <f ca="1">SUM(P64:S64)</f>
        <v>49972.857612303807</v>
      </c>
      <c r="V66" s="207" t="s">
        <v>235</v>
      </c>
      <c r="AA66" s="212">
        <f ca="1">SUM(W64:Z64)</f>
        <v>49972.857612303807</v>
      </c>
      <c r="AC66" s="207" t="s">
        <v>235</v>
      </c>
      <c r="AH66" s="212">
        <f ca="1">SUM(AD64:AG64)</f>
        <v>49972.857612303807</v>
      </c>
    </row>
    <row r="67" spans="1:34" x14ac:dyDescent="0.2">
      <c r="A67" s="207" t="s">
        <v>236</v>
      </c>
      <c r="B67" s="79"/>
      <c r="C67" s="79"/>
      <c r="D67" s="79"/>
      <c r="E67" s="79"/>
      <c r="F67" s="212">
        <f ca="1">F64/(B53-B51)</f>
        <v>477802.56328021735</v>
      </c>
      <c r="H67" s="207" t="s">
        <v>236</v>
      </c>
      <c r="I67" s="79"/>
      <c r="J67" s="79"/>
      <c r="K67" s="79"/>
      <c r="L67" s="79"/>
      <c r="M67" s="212">
        <f ca="1">M64/(I53-I51)</f>
        <v>511988.78780261567</v>
      </c>
      <c r="O67" s="207" t="s">
        <v>236</v>
      </c>
      <c r="P67" s="79"/>
      <c r="Q67" s="79"/>
      <c r="R67" s="79"/>
      <c r="S67" s="79"/>
      <c r="T67" s="212">
        <f ca="1">T64/(P53-P51)</f>
        <v>551443.97040878679</v>
      </c>
      <c r="V67" s="207" t="s">
        <v>236</v>
      </c>
      <c r="W67" s="79"/>
      <c r="X67" s="79"/>
      <c r="Y67" s="79"/>
      <c r="Z67" s="79"/>
      <c r="AA67" s="212">
        <f ca="1">AA64/(W53-W51)</f>
        <v>597487.93915574101</v>
      </c>
      <c r="AC67" s="207" t="s">
        <v>236</v>
      </c>
      <c r="AD67" s="79"/>
      <c r="AE67" s="79"/>
      <c r="AF67" s="79"/>
      <c r="AG67" s="79"/>
      <c r="AH67" s="212">
        <f ca="1">AH64/(AD53-AD51)</f>
        <v>651921.48863478645</v>
      </c>
    </row>
    <row r="68" spans="1:34" x14ac:dyDescent="0.2">
      <c r="A68" s="207" t="s">
        <v>237</v>
      </c>
      <c r="F68" s="212">
        <f ca="1">F67/(1+B52)^F55</f>
        <v>322961.9415788746</v>
      </c>
      <c r="H68" s="207" t="s">
        <v>237</v>
      </c>
      <c r="M68" s="212">
        <f ca="1">M67/(1+I52)^M55</f>
        <v>330504.14902761328</v>
      </c>
      <c r="O68" s="207" t="s">
        <v>237</v>
      </c>
      <c r="T68" s="212">
        <f ca="1">T67/(1+P52)^T55</f>
        <v>355973.6551235338</v>
      </c>
      <c r="V68" s="207" t="s">
        <v>237</v>
      </c>
      <c r="AA68" s="212">
        <f ca="1">AA67/(1+W52)^AA55</f>
        <v>385696.42068228452</v>
      </c>
      <c r="AC68" s="207" t="s">
        <v>237</v>
      </c>
      <c r="AH68" s="212">
        <f ca="1">AH67/(1+AD52)^AH55</f>
        <v>420834.91273078654</v>
      </c>
    </row>
    <row r="69" spans="1:34" x14ac:dyDescent="0.2">
      <c r="A69" s="207" t="s">
        <v>238</v>
      </c>
      <c r="F69" s="212">
        <f ca="1">F66+F68</f>
        <v>373643.21359822812</v>
      </c>
      <c r="H69" s="207" t="s">
        <v>238</v>
      </c>
      <c r="M69" s="212">
        <f ca="1">M66+M68</f>
        <v>380477.00663991709</v>
      </c>
      <c r="O69" s="207" t="s">
        <v>238</v>
      </c>
      <c r="T69" s="212">
        <f ca="1">T66+T68</f>
        <v>405946.5127358376</v>
      </c>
      <c r="V69" s="207" t="s">
        <v>238</v>
      </c>
      <c r="AA69" s="212">
        <f ca="1">AA66+AA68</f>
        <v>435669.27829458832</v>
      </c>
      <c r="AC69" s="207" t="s">
        <v>238</v>
      </c>
      <c r="AH69" s="212">
        <f ca="1">AH66+AH68</f>
        <v>470807.77034309035</v>
      </c>
    </row>
    <row r="70" spans="1:34" x14ac:dyDescent="0.2">
      <c r="A70" s="214" t="s">
        <v>241</v>
      </c>
      <c r="F70" s="215">
        <v>135123.13800000001</v>
      </c>
      <c r="H70" s="214" t="s">
        <v>241</v>
      </c>
      <c r="M70" s="215">
        <v>135123.13800000001</v>
      </c>
      <c r="O70" s="214" t="s">
        <v>241</v>
      </c>
      <c r="T70" s="215">
        <v>135123.13800000001</v>
      </c>
      <c r="V70" s="214" t="s">
        <v>241</v>
      </c>
      <c r="AA70" s="215">
        <v>135123.13800000001</v>
      </c>
      <c r="AC70" s="214" t="s">
        <v>241</v>
      </c>
      <c r="AH70" s="215">
        <v>135123.13800000001</v>
      </c>
    </row>
    <row r="71" spans="1:34" x14ac:dyDescent="0.2">
      <c r="A71" s="216" t="s">
        <v>242</v>
      </c>
      <c r="B71" s="217"/>
      <c r="C71" s="217"/>
      <c r="D71" s="217"/>
      <c r="E71" s="217"/>
      <c r="F71" s="218">
        <f ca="1">F69/F70</f>
        <v>2.7652052722327105</v>
      </c>
      <c r="H71" s="216" t="s">
        <v>242</v>
      </c>
      <c r="I71" s="217"/>
      <c r="J71" s="217"/>
      <c r="K71" s="217"/>
      <c r="L71" s="217"/>
      <c r="M71" s="218">
        <f ca="1">M69/M70</f>
        <v>2.8157798306898192</v>
      </c>
      <c r="O71" s="216" t="s">
        <v>242</v>
      </c>
      <c r="P71" s="217"/>
      <c r="Q71" s="217"/>
      <c r="R71" s="217"/>
      <c r="S71" s="217"/>
      <c r="T71" s="257">
        <f ca="1">T69/T70</f>
        <v>3.0042709098114462</v>
      </c>
      <c r="V71" s="216" t="s">
        <v>242</v>
      </c>
      <c r="W71" s="217"/>
      <c r="X71" s="217"/>
      <c r="Y71" s="217"/>
      <c r="Z71" s="217"/>
      <c r="AA71" s="218">
        <f ca="1">AA69/AA70</f>
        <v>3.2242389034407144</v>
      </c>
      <c r="AC71" s="216" t="s">
        <v>242</v>
      </c>
      <c r="AD71" s="217"/>
      <c r="AE71" s="217"/>
      <c r="AF71" s="217"/>
      <c r="AG71" s="217"/>
      <c r="AH71" s="218">
        <f ca="1">AH69/AH70</f>
        <v>3.4842868313426107</v>
      </c>
    </row>
    <row r="73" spans="1:34" ht="21" x14ac:dyDescent="0.25">
      <c r="A73" s="274" t="s">
        <v>224</v>
      </c>
      <c r="B73" s="275"/>
      <c r="C73" s="275"/>
      <c r="D73" s="275"/>
      <c r="E73" s="275"/>
      <c r="F73" s="276"/>
      <c r="H73" s="274" t="s">
        <v>224</v>
      </c>
      <c r="I73" s="275"/>
      <c r="J73" s="275"/>
      <c r="K73" s="275"/>
      <c r="L73" s="275"/>
      <c r="M73" s="276"/>
      <c r="O73" s="274" t="s">
        <v>224</v>
      </c>
      <c r="P73" s="275"/>
      <c r="Q73" s="275"/>
      <c r="R73" s="275"/>
      <c r="S73" s="275"/>
      <c r="T73" s="276"/>
      <c r="V73" s="274" t="s">
        <v>224</v>
      </c>
      <c r="W73" s="275"/>
      <c r="X73" s="275"/>
      <c r="Y73" s="275"/>
      <c r="Z73" s="275"/>
      <c r="AA73" s="276"/>
      <c r="AC73" s="274" t="s">
        <v>224</v>
      </c>
      <c r="AD73" s="275"/>
      <c r="AE73" s="275"/>
      <c r="AF73" s="275"/>
      <c r="AG73" s="275"/>
      <c r="AH73" s="276"/>
    </row>
    <row r="74" spans="1:34" x14ac:dyDescent="0.2">
      <c r="A74" s="207" t="s">
        <v>225</v>
      </c>
      <c r="B74" s="37">
        <f>21%+4.85%</f>
        <v>0.25850000000000001</v>
      </c>
      <c r="F74" s="208"/>
      <c r="H74" s="207" t="s">
        <v>225</v>
      </c>
      <c r="I74" s="37">
        <f>21%+4.85%</f>
        <v>0.25850000000000001</v>
      </c>
      <c r="M74" s="208"/>
      <c r="O74" s="207" t="s">
        <v>225</v>
      </c>
      <c r="P74" s="37">
        <f>21%+4.85%</f>
        <v>0.25850000000000001</v>
      </c>
      <c r="T74" s="208"/>
      <c r="V74" s="207" t="s">
        <v>225</v>
      </c>
      <c r="W74" s="37">
        <f>21%+4.85%</f>
        <v>0.25850000000000001</v>
      </c>
      <c r="AA74" s="208"/>
      <c r="AC74" s="207" t="s">
        <v>225</v>
      </c>
      <c r="AD74" s="37">
        <f>21%+4.85%</f>
        <v>0.25850000000000001</v>
      </c>
      <c r="AH74" s="208"/>
    </row>
    <row r="75" spans="1:34" x14ac:dyDescent="0.2">
      <c r="A75" s="207" t="s">
        <v>226</v>
      </c>
      <c r="B75" s="45">
        <f>B51</f>
        <v>2.1899999999999996E-2</v>
      </c>
      <c r="F75" s="208"/>
      <c r="H75" s="207" t="s">
        <v>226</v>
      </c>
      <c r="I75" s="45">
        <f>I51</f>
        <v>2.6899999999999997E-2</v>
      </c>
      <c r="M75" s="208"/>
      <c r="O75" s="207" t="s">
        <v>226</v>
      </c>
      <c r="P75" s="45">
        <f>P51</f>
        <v>3.1899999999999998E-2</v>
      </c>
      <c r="T75" s="208"/>
      <c r="V75" s="207" t="s">
        <v>226</v>
      </c>
      <c r="W75" s="45">
        <f>W51</f>
        <v>3.6899999999999995E-2</v>
      </c>
      <c r="AA75" s="208"/>
      <c r="AC75" s="207" t="s">
        <v>226</v>
      </c>
      <c r="AD75" s="45">
        <f>AD51</f>
        <v>4.1899999999999993E-2</v>
      </c>
      <c r="AH75" s="208"/>
    </row>
    <row r="76" spans="1:34" x14ac:dyDescent="0.2">
      <c r="A76" s="207" t="s">
        <v>227</v>
      </c>
      <c r="B76" s="37">
        <f ca="1">B77-0.53%</f>
        <v>9.6482323941207232E-2</v>
      </c>
      <c r="F76" s="208"/>
      <c r="H76" s="207" t="s">
        <v>227</v>
      </c>
      <c r="I76" s="37">
        <f ca="1">I77-0.53%</f>
        <v>9.6482323941207232E-2</v>
      </c>
      <c r="M76" s="208"/>
      <c r="O76" s="207" t="s">
        <v>227</v>
      </c>
      <c r="P76" s="37">
        <f ca="1">P77-0.53%</f>
        <v>9.6482323941207232E-2</v>
      </c>
      <c r="T76" s="208"/>
      <c r="V76" s="207" t="s">
        <v>227</v>
      </c>
      <c r="W76" s="37">
        <f ca="1">W77-0.53%</f>
        <v>9.6482323941207232E-2</v>
      </c>
      <c r="AA76" s="208"/>
      <c r="AC76" s="207" t="s">
        <v>227</v>
      </c>
      <c r="AD76" s="37">
        <f ca="1">AD77-0.53%</f>
        <v>9.6482323941207232E-2</v>
      </c>
      <c r="AH76" s="208"/>
    </row>
    <row r="77" spans="1:34" x14ac:dyDescent="0.2">
      <c r="A77" s="207" t="s">
        <v>228</v>
      </c>
      <c r="B77" s="37">
        <f ca="1">'Sensitivity Model'!D10</f>
        <v>0.10178232394120723</v>
      </c>
      <c r="F77" s="208"/>
      <c r="H77" s="207" t="s">
        <v>228</v>
      </c>
      <c r="I77" s="37">
        <f ca="1">B77</f>
        <v>0.10178232394120723</v>
      </c>
      <c r="M77" s="208"/>
      <c r="O77" s="207" t="s">
        <v>228</v>
      </c>
      <c r="P77" s="37">
        <f ca="1">I77</f>
        <v>0.10178232394120723</v>
      </c>
      <c r="T77" s="208"/>
      <c r="V77" s="207" t="s">
        <v>228</v>
      </c>
      <c r="W77" s="37">
        <f ca="1">P77</f>
        <v>0.10178232394120723</v>
      </c>
      <c r="AA77" s="208"/>
      <c r="AC77" s="207" t="s">
        <v>228</v>
      </c>
      <c r="AD77" s="37">
        <f ca="1">W77</f>
        <v>0.10178232394120723</v>
      </c>
      <c r="AH77" s="208"/>
    </row>
    <row r="78" spans="1:34" x14ac:dyDescent="0.2">
      <c r="A78" s="209"/>
      <c r="F78" s="208"/>
      <c r="H78" s="209"/>
      <c r="M78" s="208"/>
      <c r="O78" s="209"/>
      <c r="T78" s="208"/>
      <c r="V78" s="209"/>
      <c r="AA78" s="208"/>
      <c r="AC78" s="209"/>
      <c r="AH78" s="208"/>
    </row>
    <row r="79" spans="1:34" x14ac:dyDescent="0.2">
      <c r="A79" s="209"/>
      <c r="B79">
        <v>1</v>
      </c>
      <c r="C79">
        <v>2</v>
      </c>
      <c r="D79">
        <v>3</v>
      </c>
      <c r="E79">
        <v>4</v>
      </c>
      <c r="F79" s="208">
        <v>5</v>
      </c>
      <c r="H79" s="209"/>
      <c r="I79">
        <v>1</v>
      </c>
      <c r="J79">
        <v>2</v>
      </c>
      <c r="K79">
        <v>3</v>
      </c>
      <c r="L79">
        <v>4</v>
      </c>
      <c r="M79" s="208">
        <v>5</v>
      </c>
      <c r="O79" s="209"/>
      <c r="P79">
        <v>1</v>
      </c>
      <c r="Q79">
        <v>2</v>
      </c>
      <c r="R79">
        <v>3</v>
      </c>
      <c r="S79">
        <v>4</v>
      </c>
      <c r="T79" s="208">
        <v>5</v>
      </c>
      <c r="V79" s="209"/>
      <c r="W79">
        <v>1</v>
      </c>
      <c r="X79">
        <v>2</v>
      </c>
      <c r="Y79">
        <v>3</v>
      </c>
      <c r="Z79">
        <v>4</v>
      </c>
      <c r="AA79" s="208">
        <v>5</v>
      </c>
      <c r="AC79" s="209"/>
      <c r="AD79">
        <v>1</v>
      </c>
      <c r="AE79">
        <v>2</v>
      </c>
      <c r="AF79">
        <v>3</v>
      </c>
      <c r="AG79">
        <v>4</v>
      </c>
      <c r="AH79" s="208">
        <v>5</v>
      </c>
    </row>
    <row r="80" spans="1:34" x14ac:dyDescent="0.2">
      <c r="A80" s="209"/>
      <c r="B80" s="125">
        <v>2023</v>
      </c>
      <c r="C80" s="126">
        <v>2024</v>
      </c>
      <c r="D80" s="126">
        <v>2025</v>
      </c>
      <c r="E80" s="126">
        <v>2026</v>
      </c>
      <c r="F80" s="210">
        <v>2027</v>
      </c>
      <c r="H80" s="209"/>
      <c r="I80" s="125">
        <v>2023</v>
      </c>
      <c r="J80" s="126">
        <v>2024</v>
      </c>
      <c r="K80" s="126">
        <v>2025</v>
      </c>
      <c r="L80" s="126">
        <v>2026</v>
      </c>
      <c r="M80" s="210">
        <v>2027</v>
      </c>
      <c r="O80" s="209"/>
      <c r="P80" s="125">
        <v>2023</v>
      </c>
      <c r="Q80" s="126">
        <v>2024</v>
      </c>
      <c r="R80" s="126">
        <v>2025</v>
      </c>
      <c r="S80" s="126">
        <v>2026</v>
      </c>
      <c r="T80" s="210">
        <v>2027</v>
      </c>
      <c r="V80" s="209"/>
      <c r="W80" s="125">
        <v>2023</v>
      </c>
      <c r="X80" s="126">
        <v>2024</v>
      </c>
      <c r="Y80" s="126">
        <v>2025</v>
      </c>
      <c r="Z80" s="126">
        <v>2026</v>
      </c>
      <c r="AA80" s="210">
        <v>2027</v>
      </c>
      <c r="AC80" s="209"/>
      <c r="AD80" s="125">
        <v>2023</v>
      </c>
      <c r="AE80" s="126">
        <v>2024</v>
      </c>
      <c r="AF80" s="126">
        <v>2025</v>
      </c>
      <c r="AG80" s="126">
        <v>2026</v>
      </c>
      <c r="AH80" s="210">
        <v>2027</v>
      </c>
    </row>
    <row r="81" spans="1:34" x14ac:dyDescent="0.2">
      <c r="A81" s="207" t="s">
        <v>229</v>
      </c>
      <c r="B81" s="79">
        <f>$B$9</f>
        <v>-43584.788316534934</v>
      </c>
      <c r="C81" s="127">
        <f>$C$9</f>
        <v>-19803.361974531872</v>
      </c>
      <c r="D81" s="127">
        <f>$D$9</f>
        <v>-5836.2917976105891</v>
      </c>
      <c r="E81" s="127">
        <f>$E$9</f>
        <v>10058.296965203575</v>
      </c>
      <c r="F81" s="211">
        <f>$F$9</f>
        <v>27647.573268020031</v>
      </c>
      <c r="H81" s="207" t="s">
        <v>229</v>
      </c>
      <c r="I81" s="79">
        <f>$B$9</f>
        <v>-43584.788316534934</v>
      </c>
      <c r="J81" s="127">
        <f>$C$9</f>
        <v>-19803.361974531872</v>
      </c>
      <c r="K81" s="127">
        <f>$D$9</f>
        <v>-5836.2917976105891</v>
      </c>
      <c r="L81" s="127">
        <f>$E$9</f>
        <v>10058.296965203575</v>
      </c>
      <c r="M81" s="211">
        <f>$F$9</f>
        <v>27647.573268020031</v>
      </c>
      <c r="O81" s="207" t="s">
        <v>229</v>
      </c>
      <c r="P81" s="79">
        <f>$B$9</f>
        <v>-43584.788316534934</v>
      </c>
      <c r="Q81" s="127">
        <f>$C$9</f>
        <v>-19803.361974531872</v>
      </c>
      <c r="R81" s="127">
        <f>$D$9</f>
        <v>-5836.2917976105891</v>
      </c>
      <c r="S81" s="127">
        <f>$E$9</f>
        <v>10058.296965203575</v>
      </c>
      <c r="T81" s="211">
        <f>$F$9</f>
        <v>27647.573268020031</v>
      </c>
      <c r="V81" s="207" t="s">
        <v>229</v>
      </c>
      <c r="W81" s="79">
        <f>$B$9</f>
        <v>-43584.788316534934</v>
      </c>
      <c r="X81" s="127">
        <f>$C$9</f>
        <v>-19803.361974531872</v>
      </c>
      <c r="Y81" s="127">
        <f>$D$9</f>
        <v>-5836.2917976105891</v>
      </c>
      <c r="Z81" s="127">
        <f>$E$9</f>
        <v>10058.296965203575</v>
      </c>
      <c r="AA81" s="211">
        <f>$F$9</f>
        <v>27647.573268020031</v>
      </c>
      <c r="AC81" s="207" t="s">
        <v>229</v>
      </c>
      <c r="AD81" s="79">
        <f>$B$9</f>
        <v>-43584.788316534934</v>
      </c>
      <c r="AE81" s="127">
        <f>$C$9</f>
        <v>-19803.361974531872</v>
      </c>
      <c r="AF81" s="127">
        <f>$D$9</f>
        <v>-5836.2917976105891</v>
      </c>
      <c r="AG81" s="127">
        <f>$E$9</f>
        <v>10058.296965203575</v>
      </c>
      <c r="AH81" s="211">
        <f>$F$9</f>
        <v>27647.573268020031</v>
      </c>
    </row>
    <row r="82" spans="1:34" x14ac:dyDescent="0.2">
      <c r="A82" s="207"/>
      <c r="B82" s="79"/>
      <c r="C82" s="127"/>
      <c r="D82" s="127"/>
      <c r="E82" s="127"/>
      <c r="F82" s="211"/>
      <c r="H82" s="207"/>
      <c r="I82" s="79"/>
      <c r="J82" s="127"/>
      <c r="K82" s="127"/>
      <c r="L82" s="127"/>
      <c r="M82" s="211"/>
      <c r="O82" s="207"/>
      <c r="P82" s="79"/>
      <c r="Q82" s="127"/>
      <c r="R82" s="127"/>
      <c r="S82" s="127"/>
      <c r="T82" s="211"/>
      <c r="V82" s="207"/>
      <c r="W82" s="79"/>
      <c r="X82" s="127"/>
      <c r="Y82" s="127"/>
      <c r="Z82" s="127"/>
      <c r="AA82" s="211"/>
      <c r="AC82" s="207"/>
      <c r="AD82" s="79"/>
      <c r="AE82" s="127"/>
      <c r="AF82" s="127"/>
      <c r="AG82" s="127"/>
      <c r="AH82" s="211"/>
    </row>
    <row r="83" spans="1:34" x14ac:dyDescent="0.2">
      <c r="A83" s="207" t="s">
        <v>191</v>
      </c>
      <c r="B83" s="79">
        <f>$B$11</f>
        <v>16253.717215909828</v>
      </c>
      <c r="C83" s="127">
        <f>$C$11</f>
        <v>-4296.0023288147568</v>
      </c>
      <c r="D83" s="127">
        <f>$D$11</f>
        <v>-5520.2680835455867</v>
      </c>
      <c r="E83" s="127">
        <f>$E$11</f>
        <v>-5768.8360271645925</v>
      </c>
      <c r="F83" s="211">
        <f>$F$11</f>
        <v>-6027.3591589171629</v>
      </c>
      <c r="H83" s="207" t="s">
        <v>191</v>
      </c>
      <c r="I83" s="79">
        <f>$B$11</f>
        <v>16253.717215909828</v>
      </c>
      <c r="J83" s="127">
        <f>$C$11</f>
        <v>-4296.0023288147568</v>
      </c>
      <c r="K83" s="127">
        <f>$D$11</f>
        <v>-5520.2680835455867</v>
      </c>
      <c r="L83" s="127">
        <f>$E$11</f>
        <v>-5768.8360271645925</v>
      </c>
      <c r="M83" s="211">
        <f>$F$11</f>
        <v>-6027.3591589171629</v>
      </c>
      <c r="O83" s="207" t="s">
        <v>191</v>
      </c>
      <c r="P83" s="79">
        <f>$B$11</f>
        <v>16253.717215909828</v>
      </c>
      <c r="Q83" s="127">
        <f>$C$11</f>
        <v>-4296.0023288147568</v>
      </c>
      <c r="R83" s="127">
        <f>$D$11</f>
        <v>-5520.2680835455867</v>
      </c>
      <c r="S83" s="127">
        <f>$E$11</f>
        <v>-5768.8360271645925</v>
      </c>
      <c r="T83" s="211">
        <f>$F$11</f>
        <v>-6027.3591589171629</v>
      </c>
      <c r="V83" s="207" t="s">
        <v>191</v>
      </c>
      <c r="W83" s="79">
        <f>$B$11</f>
        <v>16253.717215909828</v>
      </c>
      <c r="X83" s="127">
        <f>$C$11</f>
        <v>-4296.0023288147568</v>
      </c>
      <c r="Y83" s="127">
        <f>$D$11</f>
        <v>-5520.2680835455867</v>
      </c>
      <c r="Z83" s="127">
        <f>$E$11</f>
        <v>-5768.8360271645925</v>
      </c>
      <c r="AA83" s="211">
        <f>$F$11</f>
        <v>-6027.3591589171629</v>
      </c>
      <c r="AC83" s="207" t="s">
        <v>191</v>
      </c>
      <c r="AD83" s="79">
        <f>$B$11</f>
        <v>16253.717215909828</v>
      </c>
      <c r="AE83" s="127">
        <f>$C$11</f>
        <v>-4296.0023288147568</v>
      </c>
      <c r="AF83" s="127">
        <f>$D$11</f>
        <v>-5520.2680835455867</v>
      </c>
      <c r="AG83" s="127">
        <f>$E$11</f>
        <v>-5768.8360271645925</v>
      </c>
      <c r="AH83" s="211">
        <f>$F$11</f>
        <v>-6027.3591589171629</v>
      </c>
    </row>
    <row r="84" spans="1:34" x14ac:dyDescent="0.2">
      <c r="A84" s="207" t="s">
        <v>231</v>
      </c>
      <c r="B84" s="206">
        <f>$B$12</f>
        <v>-17863.559999999998</v>
      </c>
      <c r="C84" s="206">
        <f>$C$12</f>
        <v>-19898.308759004853</v>
      </c>
      <c r="D84" s="206">
        <f>$D$12</f>
        <v>-21067.038902147084</v>
      </c>
      <c r="E84" s="206">
        <f>$E$12</f>
        <v>-18097.032485158365</v>
      </c>
      <c r="F84" s="212">
        <f>$F$12</f>
        <v>-16612.124643215819</v>
      </c>
      <c r="H84" s="207" t="s">
        <v>231</v>
      </c>
      <c r="I84" s="206">
        <f>$B$12</f>
        <v>-17863.559999999998</v>
      </c>
      <c r="J84" s="206">
        <f>$C$12</f>
        <v>-19898.308759004853</v>
      </c>
      <c r="K84" s="206">
        <f>$D$12</f>
        <v>-21067.038902147084</v>
      </c>
      <c r="L84" s="206">
        <f>$E$12</f>
        <v>-18097.032485158365</v>
      </c>
      <c r="M84" s="212">
        <f>$F$12</f>
        <v>-16612.124643215819</v>
      </c>
      <c r="O84" s="207" t="s">
        <v>231</v>
      </c>
      <c r="P84" s="206">
        <f>$B$12</f>
        <v>-17863.559999999998</v>
      </c>
      <c r="Q84" s="206">
        <f>$C$12</f>
        <v>-19898.308759004853</v>
      </c>
      <c r="R84" s="206">
        <f>$D$12</f>
        <v>-21067.038902147084</v>
      </c>
      <c r="S84" s="206">
        <f>$E$12</f>
        <v>-18097.032485158365</v>
      </c>
      <c r="T84" s="212">
        <f>$F$12</f>
        <v>-16612.124643215819</v>
      </c>
      <c r="V84" s="207" t="s">
        <v>231</v>
      </c>
      <c r="W84" s="206">
        <f>$B$12</f>
        <v>-17863.559999999998</v>
      </c>
      <c r="X84" s="206">
        <f>$C$12</f>
        <v>-19898.308759004853</v>
      </c>
      <c r="Y84" s="206">
        <f>$D$12</f>
        <v>-21067.038902147084</v>
      </c>
      <c r="Z84" s="206">
        <f>$E$12</f>
        <v>-18097.032485158365</v>
      </c>
      <c r="AA84" s="212">
        <f>$F$12</f>
        <v>-16612.124643215819</v>
      </c>
      <c r="AC84" s="207" t="s">
        <v>231</v>
      </c>
      <c r="AD84" s="206">
        <f>$B$12</f>
        <v>-17863.559999999998</v>
      </c>
      <c r="AE84" s="206">
        <f>$C$12</f>
        <v>-19898.308759004853</v>
      </c>
      <c r="AF84" s="206">
        <f>$D$12</f>
        <v>-21067.038902147084</v>
      </c>
      <c r="AG84" s="206">
        <f>$E$12</f>
        <v>-18097.032485158365</v>
      </c>
      <c r="AH84" s="212">
        <f>$F$12</f>
        <v>-16612.124643215819</v>
      </c>
    </row>
    <row r="85" spans="1:34" x14ac:dyDescent="0.2">
      <c r="A85" s="207" t="s">
        <v>232</v>
      </c>
      <c r="B85" s="79">
        <f>$B$13</f>
        <v>49377</v>
      </c>
      <c r="C85" s="127">
        <f>$C$13</f>
        <v>50339.935159004861</v>
      </c>
      <c r="D85" s="127">
        <f>$D$13</f>
        <v>51335.478045151955</v>
      </c>
      <c r="E85" s="127">
        <f>$E$13</f>
        <v>51702.689049510307</v>
      </c>
      <c r="F85" s="211">
        <f>$F$13</f>
        <v>51776.436215435897</v>
      </c>
      <c r="H85" s="207" t="s">
        <v>232</v>
      </c>
      <c r="I85" s="79">
        <f>$B$13</f>
        <v>49377</v>
      </c>
      <c r="J85" s="127">
        <f>$C$13</f>
        <v>50339.935159004861</v>
      </c>
      <c r="K85" s="127">
        <f>$D$13</f>
        <v>51335.478045151955</v>
      </c>
      <c r="L85" s="127">
        <f>$E$13</f>
        <v>51702.689049510307</v>
      </c>
      <c r="M85" s="211">
        <f>$F$13</f>
        <v>51776.436215435897</v>
      </c>
      <c r="O85" s="207" t="s">
        <v>232</v>
      </c>
      <c r="P85" s="79">
        <f>$B$13</f>
        <v>49377</v>
      </c>
      <c r="Q85" s="127">
        <f>$C$13</f>
        <v>50339.935159004861</v>
      </c>
      <c r="R85" s="127">
        <f>$D$13</f>
        <v>51335.478045151955</v>
      </c>
      <c r="S85" s="127">
        <f>$E$13</f>
        <v>51702.689049510307</v>
      </c>
      <c r="T85" s="211">
        <f>$F$13</f>
        <v>51776.436215435897</v>
      </c>
      <c r="V85" s="207" t="s">
        <v>232</v>
      </c>
      <c r="W85" s="79">
        <f>$B$13</f>
        <v>49377</v>
      </c>
      <c r="X85" s="127">
        <f>$C$13</f>
        <v>50339.935159004861</v>
      </c>
      <c r="Y85" s="127">
        <f>$D$13</f>
        <v>51335.478045151955</v>
      </c>
      <c r="Z85" s="127">
        <f>$E$13</f>
        <v>51702.689049510307</v>
      </c>
      <c r="AA85" s="211">
        <f>$F$13</f>
        <v>51776.436215435897</v>
      </c>
      <c r="AC85" s="207" t="s">
        <v>232</v>
      </c>
      <c r="AD85" s="79">
        <f>$B$13</f>
        <v>49377</v>
      </c>
      <c r="AE85" s="127">
        <f>$C$13</f>
        <v>50339.935159004861</v>
      </c>
      <c r="AF85" s="127">
        <f>$D$13</f>
        <v>51335.478045151955</v>
      </c>
      <c r="AG85" s="127">
        <f>$E$13</f>
        <v>51702.689049510307</v>
      </c>
      <c r="AH85" s="211">
        <f>$F$13</f>
        <v>51776.436215435897</v>
      </c>
    </row>
    <row r="86" spans="1:34" x14ac:dyDescent="0.2">
      <c r="A86" s="207"/>
      <c r="B86" s="79"/>
      <c r="C86" s="127"/>
      <c r="D86" s="127"/>
      <c r="E86" s="127"/>
      <c r="F86" s="211"/>
      <c r="H86" s="207"/>
      <c r="I86" s="79"/>
      <c r="J86" s="127"/>
      <c r="K86" s="127"/>
      <c r="L86" s="127"/>
      <c r="M86" s="211"/>
      <c r="O86" s="207"/>
      <c r="P86" s="79"/>
      <c r="Q86" s="127"/>
      <c r="R86" s="127"/>
      <c r="S86" s="127"/>
      <c r="T86" s="211"/>
      <c r="V86" s="207"/>
      <c r="W86" s="79"/>
      <c r="X86" s="127"/>
      <c r="Y86" s="127"/>
      <c r="Z86" s="127"/>
      <c r="AA86" s="211"/>
      <c r="AC86" s="207"/>
      <c r="AD86" s="79"/>
      <c r="AE86" s="127"/>
      <c r="AF86" s="127"/>
      <c r="AG86" s="127"/>
      <c r="AH86" s="211"/>
    </row>
    <row r="87" spans="1:34" x14ac:dyDescent="0.2">
      <c r="A87" s="207" t="s">
        <v>233</v>
      </c>
      <c r="B87" s="79">
        <f>$B$15</f>
        <v>4182.3688993748947</v>
      </c>
      <c r="C87" s="127">
        <f>$C$15</f>
        <v>6342.2620966533796</v>
      </c>
      <c r="D87" s="127">
        <f>$D$15</f>
        <v>18911.879261848695</v>
      </c>
      <c r="E87" s="127">
        <f>$E$15</f>
        <v>37895.117502390924</v>
      </c>
      <c r="F87" s="211">
        <f>$F$15</f>
        <v>56784.52568132295</v>
      </c>
      <c r="H87" s="207" t="s">
        <v>233</v>
      </c>
      <c r="I87" s="79">
        <f>$B$15</f>
        <v>4182.3688993748947</v>
      </c>
      <c r="J87" s="127">
        <f>$C$15</f>
        <v>6342.2620966533796</v>
      </c>
      <c r="K87" s="127">
        <f>$D$15</f>
        <v>18911.879261848695</v>
      </c>
      <c r="L87" s="127">
        <f>$E$15</f>
        <v>37895.117502390924</v>
      </c>
      <c r="M87" s="211">
        <f>$F$15</f>
        <v>56784.52568132295</v>
      </c>
      <c r="O87" s="207" t="s">
        <v>233</v>
      </c>
      <c r="P87" s="79">
        <f>$B$15</f>
        <v>4182.3688993748947</v>
      </c>
      <c r="Q87" s="127">
        <f>$C$15</f>
        <v>6342.2620966533796</v>
      </c>
      <c r="R87" s="127">
        <f>$D$15</f>
        <v>18911.879261848695</v>
      </c>
      <c r="S87" s="127">
        <f>$E$15</f>
        <v>37895.117502390924</v>
      </c>
      <c r="T87" s="211">
        <f>$F$15</f>
        <v>56784.52568132295</v>
      </c>
      <c r="V87" s="207" t="s">
        <v>233</v>
      </c>
      <c r="W87" s="79">
        <f>$B$15</f>
        <v>4182.3688993748947</v>
      </c>
      <c r="X87" s="127">
        <f>$C$15</f>
        <v>6342.2620966533796</v>
      </c>
      <c r="Y87" s="127">
        <f>$D$15</f>
        <v>18911.879261848695</v>
      </c>
      <c r="Z87" s="127">
        <f>$E$15</f>
        <v>37895.117502390924</v>
      </c>
      <c r="AA87" s="211">
        <f>$F$15</f>
        <v>56784.52568132295</v>
      </c>
      <c r="AC87" s="207" t="s">
        <v>233</v>
      </c>
      <c r="AD87" s="79">
        <f>$B$15</f>
        <v>4182.3688993748947</v>
      </c>
      <c r="AE87" s="127">
        <f>$C$15</f>
        <v>6342.2620966533796</v>
      </c>
      <c r="AF87" s="127">
        <f>$D$15</f>
        <v>18911.879261848695</v>
      </c>
      <c r="AG87" s="127">
        <f>$E$15</f>
        <v>37895.117502390924</v>
      </c>
      <c r="AH87" s="211">
        <f>$F$15</f>
        <v>56784.52568132295</v>
      </c>
    </row>
    <row r="88" spans="1:34" x14ac:dyDescent="0.2">
      <c r="A88" s="207" t="s">
        <v>234</v>
      </c>
      <c r="B88" s="128">
        <f ca="1">B87/(1+B76)^B79</f>
        <v>3814.3514109208304</v>
      </c>
      <c r="C88" s="129">
        <f ca="1">C87/(1+B76)^C79</f>
        <v>5275.2241205782548</v>
      </c>
      <c r="D88" s="129">
        <f ca="1">D87/(1+B76)^D79</f>
        <v>14345.965488771875</v>
      </c>
      <c r="E88" s="129">
        <f ca="1">(E87/(1+B77)^E79*10/12)+(E87/(1+B76)^E79*2/12)</f>
        <v>25799.270982068003</v>
      </c>
      <c r="F88" s="213">
        <f ca="1">F87/(1+B77)^F79</f>
        <v>34974.458510510798</v>
      </c>
      <c r="H88" s="207" t="s">
        <v>234</v>
      </c>
      <c r="I88" s="128">
        <f ca="1">I87/(1+I76)^I79</f>
        <v>3814.3514109208304</v>
      </c>
      <c r="J88" s="129">
        <f ca="1">J87/(1+I76)^J79</f>
        <v>5275.2241205782548</v>
      </c>
      <c r="K88" s="129">
        <f ca="1">K87/(1+I76)^K79</f>
        <v>14345.965488771875</v>
      </c>
      <c r="L88" s="129">
        <f ca="1">(L87/(1+I77)^L79*10/12)+(L87/(1+I76)^L79*2/12)</f>
        <v>25799.270982068003</v>
      </c>
      <c r="M88" s="213">
        <f ca="1">M87/(1+I77)^M79</f>
        <v>34974.458510510798</v>
      </c>
      <c r="O88" s="207" t="s">
        <v>234</v>
      </c>
      <c r="P88" s="128">
        <f ca="1">P87/(1+P76)^P79</f>
        <v>3814.3514109208304</v>
      </c>
      <c r="Q88" s="129">
        <f ca="1">Q87/(1+P76)^Q79</f>
        <v>5275.2241205782548</v>
      </c>
      <c r="R88" s="129">
        <f ca="1">R87/(1+P76)^R79</f>
        <v>14345.965488771875</v>
      </c>
      <c r="S88" s="129">
        <f ca="1">(S87/(1+P77)^S79*10/12)+(S87/(1+P76)^S79*2/12)</f>
        <v>25799.270982068003</v>
      </c>
      <c r="T88" s="213">
        <f ca="1">T87/(1+P77)^T79</f>
        <v>34974.458510510798</v>
      </c>
      <c r="V88" s="207" t="s">
        <v>234</v>
      </c>
      <c r="W88" s="128">
        <f ca="1">W87/(1+W76)^W79</f>
        <v>3814.3514109208304</v>
      </c>
      <c r="X88" s="129">
        <f ca="1">X87/(1+W76)^X79</f>
        <v>5275.2241205782548</v>
      </c>
      <c r="Y88" s="129">
        <f ca="1">Y87/(1+W76)^Y79</f>
        <v>14345.965488771875</v>
      </c>
      <c r="Z88" s="129">
        <f ca="1">(Z87/(1+W77)^Z79*10/12)+(Z87/(1+W76)^Z79*2/12)</f>
        <v>25799.270982068003</v>
      </c>
      <c r="AA88" s="213">
        <f ca="1">AA87/(1+W77)^AA79</f>
        <v>34974.458510510798</v>
      </c>
      <c r="AC88" s="207" t="s">
        <v>234</v>
      </c>
      <c r="AD88" s="128">
        <f ca="1">AD87/(1+AD76)^AD79</f>
        <v>3814.3514109208304</v>
      </c>
      <c r="AE88" s="129">
        <f ca="1">AE87/(1+AD76)^AE79</f>
        <v>5275.2241205782548</v>
      </c>
      <c r="AF88" s="129">
        <f ca="1">AF87/(1+AD76)^AF79</f>
        <v>14345.965488771875</v>
      </c>
      <c r="AG88" s="129">
        <f ca="1">(AG87/(1+AD77)^AG79*10/12)+(AG87/(1+AD76)^AG79*2/12)</f>
        <v>25799.270982068003</v>
      </c>
      <c r="AH88" s="213">
        <f ca="1">AH87/(1+AD77)^AH79</f>
        <v>34974.458510510798</v>
      </c>
    </row>
    <row r="89" spans="1:34" x14ac:dyDescent="0.2">
      <c r="A89" s="207"/>
      <c r="F89" s="208"/>
      <c r="H89" s="207"/>
      <c r="M89" s="208"/>
      <c r="O89" s="207"/>
      <c r="T89" s="208"/>
      <c r="V89" s="207"/>
      <c r="AA89" s="208"/>
      <c r="AC89" s="207"/>
      <c r="AH89" s="208"/>
    </row>
    <row r="90" spans="1:34" x14ac:dyDescent="0.2">
      <c r="A90" s="207" t="s">
        <v>235</v>
      </c>
      <c r="F90" s="212">
        <f ca="1">SUM(B88:E88)</f>
        <v>49234.812002338964</v>
      </c>
      <c r="H90" s="207" t="s">
        <v>235</v>
      </c>
      <c r="M90" s="212">
        <f ca="1">SUM(I88:L88)</f>
        <v>49234.812002338964</v>
      </c>
      <c r="O90" s="207" t="s">
        <v>235</v>
      </c>
      <c r="T90" s="212">
        <f ca="1">SUM(P88:S88)</f>
        <v>49234.812002338964</v>
      </c>
      <c r="V90" s="207" t="s">
        <v>235</v>
      </c>
      <c r="AA90" s="212">
        <f ca="1">SUM(W88:Z88)</f>
        <v>49234.812002338964</v>
      </c>
      <c r="AC90" s="207" t="s">
        <v>235</v>
      </c>
      <c r="AH90" s="212">
        <f ca="1">SUM(AD88:AG88)</f>
        <v>49234.812002338964</v>
      </c>
    </row>
    <row r="91" spans="1:34" x14ac:dyDescent="0.2">
      <c r="A91" s="207" t="s">
        <v>236</v>
      </c>
      <c r="B91" s="79"/>
      <c r="C91" s="79"/>
      <c r="D91" s="79"/>
      <c r="E91" s="79"/>
      <c r="F91" s="212">
        <f ca="1">F88/(B77-B75)</f>
        <v>437824.75001918734</v>
      </c>
      <c r="H91" s="207" t="s">
        <v>236</v>
      </c>
      <c r="I91" s="79"/>
      <c r="J91" s="79"/>
      <c r="K91" s="79"/>
      <c r="L91" s="79"/>
      <c r="M91" s="212">
        <f ca="1">M88/(I77-I75)</f>
        <v>467058.93553691631</v>
      </c>
      <c r="O91" s="207" t="s">
        <v>236</v>
      </c>
      <c r="P91" s="79"/>
      <c r="Q91" s="79"/>
      <c r="R91" s="79"/>
      <c r="S91" s="79"/>
      <c r="T91" s="212">
        <f ca="1">T88/(P77-P75)</f>
        <v>500476.46583612752</v>
      </c>
      <c r="V91" s="207" t="s">
        <v>236</v>
      </c>
      <c r="W91" s="79"/>
      <c r="X91" s="79"/>
      <c r="Y91" s="79"/>
      <c r="Z91" s="79"/>
      <c r="AA91" s="212">
        <f ca="1">AA88/(W77-W75)</f>
        <v>539044.47908189462</v>
      </c>
      <c r="AC91" s="207" t="s">
        <v>236</v>
      </c>
      <c r="AD91" s="79"/>
      <c r="AE91" s="79"/>
      <c r="AF91" s="79"/>
      <c r="AG91" s="79"/>
      <c r="AH91" s="212">
        <f ca="1">AH88/(AD77-AD75)</f>
        <v>584053.12634240603</v>
      </c>
    </row>
    <row r="92" spans="1:34" x14ac:dyDescent="0.2">
      <c r="A92" s="207" t="s">
        <v>237</v>
      </c>
      <c r="F92" s="212">
        <f ca="1">F91/(1+B76)^F79</f>
        <v>276243.54185325332</v>
      </c>
      <c r="H92" s="207" t="s">
        <v>237</v>
      </c>
      <c r="M92" s="212">
        <f ca="1">M91/(1+I76)^M79</f>
        <v>294688.71871970186</v>
      </c>
      <c r="O92" s="207" t="s">
        <v>237</v>
      </c>
      <c r="T92" s="212">
        <f ca="1">T91/(1+P76)^T79</f>
        <v>315773.35801758978</v>
      </c>
      <c r="V92" s="207" t="s">
        <v>237</v>
      </c>
      <c r="AA92" s="212">
        <f ca="1">AA91/(1+W76)^AA79</f>
        <v>340107.67118921148</v>
      </c>
      <c r="AC92" s="207" t="s">
        <v>237</v>
      </c>
      <c r="AH92" s="212">
        <f ca="1">AH91/(1+AD76)^AH79</f>
        <v>368505.67320422438</v>
      </c>
    </row>
    <row r="93" spans="1:34" x14ac:dyDescent="0.2">
      <c r="A93" s="207" t="s">
        <v>238</v>
      </c>
      <c r="F93" s="212">
        <f ca="1">F90+F92</f>
        <v>325478.35385559232</v>
      </c>
      <c r="H93" s="207" t="s">
        <v>238</v>
      </c>
      <c r="M93" s="212">
        <f ca="1">M90+M92</f>
        <v>343923.5307220408</v>
      </c>
      <c r="O93" s="207" t="s">
        <v>238</v>
      </c>
      <c r="T93" s="212">
        <f ca="1">T90+T92</f>
        <v>365008.17001992872</v>
      </c>
      <c r="V93" s="207" t="s">
        <v>238</v>
      </c>
      <c r="AA93" s="212">
        <f ca="1">AA90+AA92</f>
        <v>389342.48319155048</v>
      </c>
      <c r="AC93" s="207" t="s">
        <v>238</v>
      </c>
      <c r="AH93" s="212">
        <f ca="1">AH90+AH92</f>
        <v>417740.48520656337</v>
      </c>
    </row>
    <row r="94" spans="1:34" x14ac:dyDescent="0.2">
      <c r="A94" s="214" t="s">
        <v>241</v>
      </c>
      <c r="F94" s="215">
        <v>135123.13800000001</v>
      </c>
      <c r="H94" s="214" t="s">
        <v>241</v>
      </c>
      <c r="M94" s="215">
        <v>135123.13800000001</v>
      </c>
      <c r="O94" s="214" t="s">
        <v>241</v>
      </c>
      <c r="T94" s="215">
        <v>135123.13800000001</v>
      </c>
      <c r="V94" s="214" t="s">
        <v>241</v>
      </c>
      <c r="AA94" s="215">
        <v>135123.13800000001</v>
      </c>
      <c r="AC94" s="214" t="s">
        <v>241</v>
      </c>
      <c r="AH94" s="215">
        <v>135123.13800000001</v>
      </c>
    </row>
    <row r="95" spans="1:34" x14ac:dyDescent="0.2">
      <c r="A95" s="216" t="s">
        <v>242</v>
      </c>
      <c r="B95" s="217"/>
      <c r="C95" s="217"/>
      <c r="D95" s="217"/>
      <c r="E95" s="217"/>
      <c r="F95" s="218">
        <f ca="1">F93/F94</f>
        <v>2.4087536647912389</v>
      </c>
      <c r="H95" s="216" t="s">
        <v>242</v>
      </c>
      <c r="I95" s="217"/>
      <c r="J95" s="217"/>
      <c r="K95" s="217"/>
      <c r="L95" s="217"/>
      <c r="M95" s="218">
        <f ca="1">M93/M94</f>
        <v>2.5452600924798001</v>
      </c>
      <c r="O95" s="216" t="s">
        <v>242</v>
      </c>
      <c r="P95" s="217"/>
      <c r="Q95" s="217"/>
      <c r="R95" s="217"/>
      <c r="S95" s="217"/>
      <c r="T95" s="218">
        <f ca="1">T93/T94</f>
        <v>2.7013002763444458</v>
      </c>
      <c r="V95" s="216" t="s">
        <v>242</v>
      </c>
      <c r="W95" s="217"/>
      <c r="X95" s="217"/>
      <c r="Y95" s="217"/>
      <c r="Z95" s="217"/>
      <c r="AA95" s="218">
        <f ca="1">AA93/AA94</f>
        <v>2.8813901819801613</v>
      </c>
      <c r="AC95" s="216" t="s">
        <v>242</v>
      </c>
      <c r="AD95" s="217"/>
      <c r="AE95" s="217"/>
      <c r="AF95" s="217"/>
      <c r="AG95" s="217"/>
      <c r="AH95" s="218">
        <f ca="1">AH93/AH94</f>
        <v>3.0915540549877059</v>
      </c>
    </row>
    <row r="97" spans="1:34" ht="21" x14ac:dyDescent="0.25">
      <c r="A97" s="274" t="s">
        <v>224</v>
      </c>
      <c r="B97" s="275"/>
      <c r="C97" s="275"/>
      <c r="D97" s="275"/>
      <c r="E97" s="275"/>
      <c r="F97" s="276"/>
      <c r="H97" s="274" t="s">
        <v>224</v>
      </c>
      <c r="I97" s="275"/>
      <c r="J97" s="275"/>
      <c r="K97" s="275"/>
      <c r="L97" s="275"/>
      <c r="M97" s="276"/>
      <c r="O97" s="274" t="s">
        <v>224</v>
      </c>
      <c r="P97" s="275"/>
      <c r="Q97" s="275"/>
      <c r="R97" s="275"/>
      <c r="S97" s="275"/>
      <c r="T97" s="276"/>
      <c r="V97" s="274" t="s">
        <v>224</v>
      </c>
      <c r="W97" s="275"/>
      <c r="X97" s="275"/>
      <c r="Y97" s="275"/>
      <c r="Z97" s="275"/>
      <c r="AA97" s="276"/>
      <c r="AC97" s="274" t="s">
        <v>224</v>
      </c>
      <c r="AD97" s="275"/>
      <c r="AE97" s="275"/>
      <c r="AF97" s="275"/>
      <c r="AG97" s="275"/>
      <c r="AH97" s="276"/>
    </row>
    <row r="98" spans="1:34" x14ac:dyDescent="0.2">
      <c r="A98" s="207" t="s">
        <v>225</v>
      </c>
      <c r="B98" s="37">
        <f>21%+4.85%</f>
        <v>0.25850000000000001</v>
      </c>
      <c r="F98" s="208"/>
      <c r="H98" s="207" t="s">
        <v>225</v>
      </c>
      <c r="I98" s="37">
        <f>21%+4.85%</f>
        <v>0.25850000000000001</v>
      </c>
      <c r="M98" s="208"/>
      <c r="O98" s="207" t="s">
        <v>225</v>
      </c>
      <c r="P98" s="37">
        <f>21%+4.85%</f>
        <v>0.25850000000000001</v>
      </c>
      <c r="T98" s="208"/>
      <c r="V98" s="207" t="s">
        <v>225</v>
      </c>
      <c r="W98" s="37">
        <f>21%+4.85%</f>
        <v>0.25850000000000001</v>
      </c>
      <c r="AA98" s="208"/>
      <c r="AC98" s="207" t="s">
        <v>225</v>
      </c>
      <c r="AD98" s="37">
        <f>21%+4.85%</f>
        <v>0.25850000000000001</v>
      </c>
      <c r="AH98" s="208"/>
    </row>
    <row r="99" spans="1:34" x14ac:dyDescent="0.2">
      <c r="A99" s="207" t="s">
        <v>226</v>
      </c>
      <c r="B99" s="45">
        <f>B75</f>
        <v>2.1899999999999996E-2</v>
      </c>
      <c r="F99" s="208"/>
      <c r="H99" s="207" t="s">
        <v>226</v>
      </c>
      <c r="I99" s="45">
        <f>I75</f>
        <v>2.6899999999999997E-2</v>
      </c>
      <c r="M99" s="208"/>
      <c r="O99" s="207" t="s">
        <v>226</v>
      </c>
      <c r="P99" s="45">
        <f>P75</f>
        <v>3.1899999999999998E-2</v>
      </c>
      <c r="T99" s="208"/>
      <c r="V99" s="207" t="s">
        <v>226</v>
      </c>
      <c r="W99" s="45">
        <f>W75</f>
        <v>3.6899999999999995E-2</v>
      </c>
      <c r="AA99" s="208"/>
      <c r="AC99" s="207" t="s">
        <v>226</v>
      </c>
      <c r="AD99" s="45">
        <f>AD75</f>
        <v>4.1899999999999993E-2</v>
      </c>
      <c r="AH99" s="208"/>
    </row>
    <row r="100" spans="1:34" x14ac:dyDescent="0.2">
      <c r="A100" s="207" t="s">
        <v>227</v>
      </c>
      <c r="B100" s="37">
        <f ca="1">B101-0.53%</f>
        <v>0.10148232394120724</v>
      </c>
      <c r="F100" s="208"/>
      <c r="H100" s="207" t="s">
        <v>227</v>
      </c>
      <c r="I100" s="37">
        <f ca="1">I101-0.53%</f>
        <v>0.10148232394120724</v>
      </c>
      <c r="M100" s="208"/>
      <c r="O100" s="207" t="s">
        <v>227</v>
      </c>
      <c r="P100" s="37">
        <f ca="1">P101-0.53%</f>
        <v>0.10148232394120724</v>
      </c>
      <c r="T100" s="208"/>
      <c r="V100" s="207" t="s">
        <v>227</v>
      </c>
      <c r="W100" s="37">
        <f ca="1">W101-0.53%</f>
        <v>0.10148232394120724</v>
      </c>
      <c r="AA100" s="208"/>
      <c r="AC100" s="207" t="s">
        <v>227</v>
      </c>
      <c r="AD100" s="37">
        <f ca="1">AD101-0.53%</f>
        <v>0.10148232394120724</v>
      </c>
      <c r="AH100" s="208"/>
    </row>
    <row r="101" spans="1:34" x14ac:dyDescent="0.2">
      <c r="A101" s="207" t="s">
        <v>228</v>
      </c>
      <c r="B101" s="37">
        <f ca="1">'Sensitivity Model'!D11</f>
        <v>0.10678232394120724</v>
      </c>
      <c r="F101" s="208"/>
      <c r="H101" s="207" t="s">
        <v>228</v>
      </c>
      <c r="I101" s="37">
        <f ca="1">B101</f>
        <v>0.10678232394120724</v>
      </c>
      <c r="M101" s="208"/>
      <c r="O101" s="207" t="s">
        <v>228</v>
      </c>
      <c r="P101" s="37">
        <f ca="1">I101</f>
        <v>0.10678232394120724</v>
      </c>
      <c r="T101" s="208"/>
      <c r="V101" s="207" t="s">
        <v>228</v>
      </c>
      <c r="W101" s="37">
        <f ca="1">P101</f>
        <v>0.10678232394120724</v>
      </c>
      <c r="AA101" s="208"/>
      <c r="AC101" s="207" t="s">
        <v>228</v>
      </c>
      <c r="AD101" s="37">
        <f ca="1">W101</f>
        <v>0.10678232394120724</v>
      </c>
      <c r="AH101" s="208"/>
    </row>
    <row r="102" spans="1:34" x14ac:dyDescent="0.2">
      <c r="A102" s="209"/>
      <c r="F102" s="208"/>
      <c r="H102" s="209"/>
      <c r="M102" s="208"/>
      <c r="O102" s="209"/>
      <c r="T102" s="208"/>
      <c r="V102" s="209"/>
      <c r="AA102" s="208"/>
      <c r="AC102" s="209"/>
      <c r="AH102" s="208"/>
    </row>
    <row r="103" spans="1:34" x14ac:dyDescent="0.2">
      <c r="A103" s="209"/>
      <c r="B103">
        <v>1</v>
      </c>
      <c r="C103">
        <v>2</v>
      </c>
      <c r="D103">
        <v>3</v>
      </c>
      <c r="E103">
        <v>4</v>
      </c>
      <c r="F103" s="208">
        <v>5</v>
      </c>
      <c r="H103" s="209"/>
      <c r="I103">
        <v>1</v>
      </c>
      <c r="J103">
        <v>2</v>
      </c>
      <c r="K103">
        <v>3</v>
      </c>
      <c r="L103">
        <v>4</v>
      </c>
      <c r="M103" s="208">
        <v>5</v>
      </c>
      <c r="O103" s="209"/>
      <c r="P103">
        <v>1</v>
      </c>
      <c r="Q103">
        <v>2</v>
      </c>
      <c r="R103">
        <v>3</v>
      </c>
      <c r="S103">
        <v>4</v>
      </c>
      <c r="T103" s="208">
        <v>5</v>
      </c>
      <c r="V103" s="209"/>
      <c r="W103">
        <v>1</v>
      </c>
      <c r="X103">
        <v>2</v>
      </c>
      <c r="Y103">
        <v>3</v>
      </c>
      <c r="Z103">
        <v>4</v>
      </c>
      <c r="AA103" s="208">
        <v>5</v>
      </c>
      <c r="AC103" s="209"/>
      <c r="AD103">
        <v>1</v>
      </c>
      <c r="AE103">
        <v>2</v>
      </c>
      <c r="AF103">
        <v>3</v>
      </c>
      <c r="AG103">
        <v>4</v>
      </c>
      <c r="AH103" s="208">
        <v>5</v>
      </c>
    </row>
    <row r="104" spans="1:34" x14ac:dyDescent="0.2">
      <c r="A104" s="209"/>
      <c r="B104" s="125">
        <v>2023</v>
      </c>
      <c r="C104" s="126">
        <v>2024</v>
      </c>
      <c r="D104" s="126">
        <v>2025</v>
      </c>
      <c r="E104" s="126">
        <v>2026</v>
      </c>
      <c r="F104" s="210">
        <v>2027</v>
      </c>
      <c r="H104" s="209"/>
      <c r="I104" s="125">
        <v>2023</v>
      </c>
      <c r="J104" s="126">
        <v>2024</v>
      </c>
      <c r="K104" s="126">
        <v>2025</v>
      </c>
      <c r="L104" s="126">
        <v>2026</v>
      </c>
      <c r="M104" s="210">
        <v>2027</v>
      </c>
      <c r="O104" s="209"/>
      <c r="P104" s="125">
        <v>2023</v>
      </c>
      <c r="Q104" s="126">
        <v>2024</v>
      </c>
      <c r="R104" s="126">
        <v>2025</v>
      </c>
      <c r="S104" s="126">
        <v>2026</v>
      </c>
      <c r="T104" s="210">
        <v>2027</v>
      </c>
      <c r="V104" s="209"/>
      <c r="W104" s="125">
        <v>2023</v>
      </c>
      <c r="X104" s="126">
        <v>2024</v>
      </c>
      <c r="Y104" s="126">
        <v>2025</v>
      </c>
      <c r="Z104" s="126">
        <v>2026</v>
      </c>
      <c r="AA104" s="210">
        <v>2027</v>
      </c>
      <c r="AC104" s="209"/>
      <c r="AD104" s="125">
        <v>2023</v>
      </c>
      <c r="AE104" s="126">
        <v>2024</v>
      </c>
      <c r="AF104" s="126">
        <v>2025</v>
      </c>
      <c r="AG104" s="126">
        <v>2026</v>
      </c>
      <c r="AH104" s="210">
        <v>2027</v>
      </c>
    </row>
    <row r="105" spans="1:34" x14ac:dyDescent="0.2">
      <c r="A105" s="207" t="s">
        <v>229</v>
      </c>
      <c r="B105" s="79">
        <f>$B$9</f>
        <v>-43584.788316534934</v>
      </c>
      <c r="C105" s="127">
        <f>$C$9</f>
        <v>-19803.361974531872</v>
      </c>
      <c r="D105" s="127">
        <f>$D$9</f>
        <v>-5836.2917976105891</v>
      </c>
      <c r="E105" s="127">
        <f>$E$9</f>
        <v>10058.296965203575</v>
      </c>
      <c r="F105" s="211">
        <f>$F$9</f>
        <v>27647.573268020031</v>
      </c>
      <c r="H105" s="207" t="s">
        <v>229</v>
      </c>
      <c r="I105" s="79">
        <f>$B$9</f>
        <v>-43584.788316534934</v>
      </c>
      <c r="J105" s="127">
        <f>$C$9</f>
        <v>-19803.361974531872</v>
      </c>
      <c r="K105" s="127">
        <f>$D$9</f>
        <v>-5836.2917976105891</v>
      </c>
      <c r="L105" s="127">
        <f>$E$9</f>
        <v>10058.296965203575</v>
      </c>
      <c r="M105" s="211">
        <f>$F$9</f>
        <v>27647.573268020031</v>
      </c>
      <c r="O105" s="207" t="s">
        <v>229</v>
      </c>
      <c r="P105" s="79">
        <f>$B$9</f>
        <v>-43584.788316534934</v>
      </c>
      <c r="Q105" s="127">
        <f>$C$9</f>
        <v>-19803.361974531872</v>
      </c>
      <c r="R105" s="127">
        <f>$D$9</f>
        <v>-5836.2917976105891</v>
      </c>
      <c r="S105" s="127">
        <f>$E$9</f>
        <v>10058.296965203575</v>
      </c>
      <c r="T105" s="211">
        <f>$F$9</f>
        <v>27647.573268020031</v>
      </c>
      <c r="V105" s="207" t="s">
        <v>229</v>
      </c>
      <c r="W105" s="79">
        <f>$B$9</f>
        <v>-43584.788316534934</v>
      </c>
      <c r="X105" s="127">
        <f>$C$9</f>
        <v>-19803.361974531872</v>
      </c>
      <c r="Y105" s="127">
        <f>$D$9</f>
        <v>-5836.2917976105891</v>
      </c>
      <c r="Z105" s="127">
        <f>$E$9</f>
        <v>10058.296965203575</v>
      </c>
      <c r="AA105" s="211">
        <f>$F$9</f>
        <v>27647.573268020031</v>
      </c>
      <c r="AC105" s="207" t="s">
        <v>229</v>
      </c>
      <c r="AD105" s="79">
        <f>$B$9</f>
        <v>-43584.788316534934</v>
      </c>
      <c r="AE105" s="127">
        <f>$C$9</f>
        <v>-19803.361974531872</v>
      </c>
      <c r="AF105" s="127">
        <f>$D$9</f>
        <v>-5836.2917976105891</v>
      </c>
      <c r="AG105" s="127">
        <f>$E$9</f>
        <v>10058.296965203575</v>
      </c>
      <c r="AH105" s="211">
        <f>$F$9</f>
        <v>27647.573268020031</v>
      </c>
    </row>
    <row r="106" spans="1:34" x14ac:dyDescent="0.2">
      <c r="A106" s="207"/>
      <c r="B106" s="79"/>
      <c r="C106" s="127"/>
      <c r="D106" s="127"/>
      <c r="E106" s="127"/>
      <c r="F106" s="211"/>
      <c r="H106" s="207"/>
      <c r="I106" s="79"/>
      <c r="J106" s="127"/>
      <c r="K106" s="127"/>
      <c r="L106" s="127"/>
      <c r="M106" s="211"/>
      <c r="O106" s="207"/>
      <c r="P106" s="79"/>
      <c r="Q106" s="127"/>
      <c r="R106" s="127"/>
      <c r="S106" s="127"/>
      <c r="T106" s="211"/>
      <c r="V106" s="207"/>
      <c r="W106" s="79"/>
      <c r="X106" s="127"/>
      <c r="Y106" s="127"/>
      <c r="Z106" s="127"/>
      <c r="AA106" s="211"/>
      <c r="AC106" s="207"/>
      <c r="AD106" s="79"/>
      <c r="AE106" s="127"/>
      <c r="AF106" s="127"/>
      <c r="AG106" s="127"/>
      <c r="AH106" s="211"/>
    </row>
    <row r="107" spans="1:34" x14ac:dyDescent="0.2">
      <c r="A107" s="207" t="s">
        <v>191</v>
      </c>
      <c r="B107" s="79">
        <f>$B$11</f>
        <v>16253.717215909828</v>
      </c>
      <c r="C107" s="127">
        <f>$C$11</f>
        <v>-4296.0023288147568</v>
      </c>
      <c r="D107" s="127">
        <f>$D$11</f>
        <v>-5520.2680835455867</v>
      </c>
      <c r="E107" s="127">
        <f>$E$11</f>
        <v>-5768.8360271645925</v>
      </c>
      <c r="F107" s="211">
        <f>$F$11</f>
        <v>-6027.3591589171629</v>
      </c>
      <c r="H107" s="207" t="s">
        <v>191</v>
      </c>
      <c r="I107" s="79">
        <f>$B$11</f>
        <v>16253.717215909828</v>
      </c>
      <c r="J107" s="127">
        <f>$C$11</f>
        <v>-4296.0023288147568</v>
      </c>
      <c r="K107" s="127">
        <f>$D$11</f>
        <v>-5520.2680835455867</v>
      </c>
      <c r="L107" s="127">
        <f>$E$11</f>
        <v>-5768.8360271645925</v>
      </c>
      <c r="M107" s="211">
        <f>$F$11</f>
        <v>-6027.3591589171629</v>
      </c>
      <c r="O107" s="207" t="s">
        <v>191</v>
      </c>
      <c r="P107" s="79">
        <f>$B$11</f>
        <v>16253.717215909828</v>
      </c>
      <c r="Q107" s="127">
        <f>$C$11</f>
        <v>-4296.0023288147568</v>
      </c>
      <c r="R107" s="127">
        <f>$D$11</f>
        <v>-5520.2680835455867</v>
      </c>
      <c r="S107" s="127">
        <f>$E$11</f>
        <v>-5768.8360271645925</v>
      </c>
      <c r="T107" s="211">
        <f>$F$11</f>
        <v>-6027.3591589171629</v>
      </c>
      <c r="V107" s="207" t="s">
        <v>191</v>
      </c>
      <c r="W107" s="79">
        <f>$B$11</f>
        <v>16253.717215909828</v>
      </c>
      <c r="X107" s="127">
        <f>$C$11</f>
        <v>-4296.0023288147568</v>
      </c>
      <c r="Y107" s="127">
        <f>$D$11</f>
        <v>-5520.2680835455867</v>
      </c>
      <c r="Z107" s="127">
        <f>$E$11</f>
        <v>-5768.8360271645925</v>
      </c>
      <c r="AA107" s="211">
        <f>$F$11</f>
        <v>-6027.3591589171629</v>
      </c>
      <c r="AC107" s="207" t="s">
        <v>191</v>
      </c>
      <c r="AD107" s="79">
        <f>$B$11</f>
        <v>16253.717215909828</v>
      </c>
      <c r="AE107" s="127">
        <f>$C$11</f>
        <v>-4296.0023288147568</v>
      </c>
      <c r="AF107" s="127">
        <f>$D$11</f>
        <v>-5520.2680835455867</v>
      </c>
      <c r="AG107" s="127">
        <f>$E$11</f>
        <v>-5768.8360271645925</v>
      </c>
      <c r="AH107" s="211">
        <f>$F$11</f>
        <v>-6027.3591589171629</v>
      </c>
    </row>
    <row r="108" spans="1:34" x14ac:dyDescent="0.2">
      <c r="A108" s="207" t="s">
        <v>231</v>
      </c>
      <c r="B108" s="206">
        <f>$B$12</f>
        <v>-17863.559999999998</v>
      </c>
      <c r="C108" s="206">
        <f>$C$12</f>
        <v>-19898.308759004853</v>
      </c>
      <c r="D108" s="206">
        <f>$D$12</f>
        <v>-21067.038902147084</v>
      </c>
      <c r="E108" s="206">
        <f>$E$12</f>
        <v>-18097.032485158365</v>
      </c>
      <c r="F108" s="212">
        <f>$F$12</f>
        <v>-16612.124643215819</v>
      </c>
      <c r="H108" s="207" t="s">
        <v>231</v>
      </c>
      <c r="I108" s="206">
        <f>$B$12</f>
        <v>-17863.559999999998</v>
      </c>
      <c r="J108" s="206">
        <f>$C$12</f>
        <v>-19898.308759004853</v>
      </c>
      <c r="K108" s="206">
        <f>$D$12</f>
        <v>-21067.038902147084</v>
      </c>
      <c r="L108" s="206">
        <f>$E$12</f>
        <v>-18097.032485158365</v>
      </c>
      <c r="M108" s="212">
        <f>$F$12</f>
        <v>-16612.124643215819</v>
      </c>
      <c r="O108" s="207" t="s">
        <v>231</v>
      </c>
      <c r="P108" s="206">
        <f>$B$12</f>
        <v>-17863.559999999998</v>
      </c>
      <c r="Q108" s="206">
        <f>$C$12</f>
        <v>-19898.308759004853</v>
      </c>
      <c r="R108" s="206">
        <f>$D$12</f>
        <v>-21067.038902147084</v>
      </c>
      <c r="S108" s="206">
        <f>$E$12</f>
        <v>-18097.032485158365</v>
      </c>
      <c r="T108" s="212">
        <f>$F$12</f>
        <v>-16612.124643215819</v>
      </c>
      <c r="V108" s="207" t="s">
        <v>231</v>
      </c>
      <c r="W108" s="206">
        <f>$B$12</f>
        <v>-17863.559999999998</v>
      </c>
      <c r="X108" s="206">
        <f>$C$12</f>
        <v>-19898.308759004853</v>
      </c>
      <c r="Y108" s="206">
        <f>$D$12</f>
        <v>-21067.038902147084</v>
      </c>
      <c r="Z108" s="206">
        <f>$E$12</f>
        <v>-18097.032485158365</v>
      </c>
      <c r="AA108" s="212">
        <f>$F$12</f>
        <v>-16612.124643215819</v>
      </c>
      <c r="AC108" s="207" t="s">
        <v>231</v>
      </c>
      <c r="AD108" s="206">
        <f>$B$12</f>
        <v>-17863.559999999998</v>
      </c>
      <c r="AE108" s="206">
        <f>$C$12</f>
        <v>-19898.308759004853</v>
      </c>
      <c r="AF108" s="206">
        <f>$D$12</f>
        <v>-21067.038902147084</v>
      </c>
      <c r="AG108" s="206">
        <f>$E$12</f>
        <v>-18097.032485158365</v>
      </c>
      <c r="AH108" s="212">
        <f>$F$12</f>
        <v>-16612.124643215819</v>
      </c>
    </row>
    <row r="109" spans="1:34" x14ac:dyDescent="0.2">
      <c r="A109" s="207" t="s">
        <v>232</v>
      </c>
      <c r="B109" s="79">
        <f>$B$13</f>
        <v>49377</v>
      </c>
      <c r="C109" s="127">
        <f>$C$13</f>
        <v>50339.935159004861</v>
      </c>
      <c r="D109" s="127">
        <f>$D$13</f>
        <v>51335.478045151955</v>
      </c>
      <c r="E109" s="127">
        <f>$E$13</f>
        <v>51702.689049510307</v>
      </c>
      <c r="F109" s="211">
        <f>$F$13</f>
        <v>51776.436215435897</v>
      </c>
      <c r="H109" s="207" t="s">
        <v>232</v>
      </c>
      <c r="I109" s="79">
        <f>$B$13</f>
        <v>49377</v>
      </c>
      <c r="J109" s="127">
        <f>$C$13</f>
        <v>50339.935159004861</v>
      </c>
      <c r="K109" s="127">
        <f>$D$13</f>
        <v>51335.478045151955</v>
      </c>
      <c r="L109" s="127">
        <f>$E$13</f>
        <v>51702.689049510307</v>
      </c>
      <c r="M109" s="211">
        <f>$F$13</f>
        <v>51776.436215435897</v>
      </c>
      <c r="O109" s="207" t="s">
        <v>232</v>
      </c>
      <c r="P109" s="79">
        <f>$B$13</f>
        <v>49377</v>
      </c>
      <c r="Q109" s="127">
        <f>$C$13</f>
        <v>50339.935159004861</v>
      </c>
      <c r="R109" s="127">
        <f>$D$13</f>
        <v>51335.478045151955</v>
      </c>
      <c r="S109" s="127">
        <f>$E$13</f>
        <v>51702.689049510307</v>
      </c>
      <c r="T109" s="211">
        <f>$F$13</f>
        <v>51776.436215435897</v>
      </c>
      <c r="V109" s="207" t="s">
        <v>232</v>
      </c>
      <c r="W109" s="79">
        <f>$B$13</f>
        <v>49377</v>
      </c>
      <c r="X109" s="127">
        <f>$C$13</f>
        <v>50339.935159004861</v>
      </c>
      <c r="Y109" s="127">
        <f>$D$13</f>
        <v>51335.478045151955</v>
      </c>
      <c r="Z109" s="127">
        <f>$E$13</f>
        <v>51702.689049510307</v>
      </c>
      <c r="AA109" s="211">
        <f>$F$13</f>
        <v>51776.436215435897</v>
      </c>
      <c r="AC109" s="207" t="s">
        <v>232</v>
      </c>
      <c r="AD109" s="79">
        <f>$B$13</f>
        <v>49377</v>
      </c>
      <c r="AE109" s="127">
        <f>$C$13</f>
        <v>50339.935159004861</v>
      </c>
      <c r="AF109" s="127">
        <f>$D$13</f>
        <v>51335.478045151955</v>
      </c>
      <c r="AG109" s="127">
        <f>$E$13</f>
        <v>51702.689049510307</v>
      </c>
      <c r="AH109" s="211">
        <f>$F$13</f>
        <v>51776.436215435897</v>
      </c>
    </row>
    <row r="110" spans="1:34" x14ac:dyDescent="0.2">
      <c r="A110" s="207"/>
      <c r="B110" s="79"/>
      <c r="C110" s="127"/>
      <c r="D110" s="127"/>
      <c r="E110" s="127"/>
      <c r="F110" s="211"/>
      <c r="H110" s="207"/>
      <c r="I110" s="79"/>
      <c r="J110" s="127"/>
      <c r="K110" s="127"/>
      <c r="L110" s="127"/>
      <c r="M110" s="211"/>
      <c r="O110" s="207"/>
      <c r="P110" s="79"/>
      <c r="Q110" s="127"/>
      <c r="R110" s="127"/>
      <c r="S110" s="127"/>
      <c r="T110" s="211"/>
      <c r="V110" s="207"/>
      <c r="W110" s="79"/>
      <c r="X110" s="127"/>
      <c r="Y110" s="127"/>
      <c r="Z110" s="127"/>
      <c r="AA110" s="211"/>
      <c r="AC110" s="207"/>
      <c r="AD110" s="79"/>
      <c r="AE110" s="127"/>
      <c r="AF110" s="127"/>
      <c r="AG110" s="127"/>
      <c r="AH110" s="211"/>
    </row>
    <row r="111" spans="1:34" x14ac:dyDescent="0.2">
      <c r="A111" s="207" t="s">
        <v>233</v>
      </c>
      <c r="B111" s="79">
        <f>$B$15</f>
        <v>4182.3688993748947</v>
      </c>
      <c r="C111" s="127">
        <f>$C$15</f>
        <v>6342.2620966533796</v>
      </c>
      <c r="D111" s="127">
        <f>$D$15</f>
        <v>18911.879261848695</v>
      </c>
      <c r="E111" s="127">
        <f>$E$15</f>
        <v>37895.117502390924</v>
      </c>
      <c r="F111" s="211">
        <f>$F$15</f>
        <v>56784.52568132295</v>
      </c>
      <c r="H111" s="207" t="s">
        <v>233</v>
      </c>
      <c r="I111" s="79">
        <f>$B$15</f>
        <v>4182.3688993748947</v>
      </c>
      <c r="J111" s="127">
        <f>$C$15</f>
        <v>6342.2620966533796</v>
      </c>
      <c r="K111" s="127">
        <f>$D$15</f>
        <v>18911.879261848695</v>
      </c>
      <c r="L111" s="127">
        <f>$E$15</f>
        <v>37895.117502390924</v>
      </c>
      <c r="M111" s="211">
        <f>$F$15</f>
        <v>56784.52568132295</v>
      </c>
      <c r="O111" s="207" t="s">
        <v>233</v>
      </c>
      <c r="P111" s="79">
        <f>$B$15</f>
        <v>4182.3688993748947</v>
      </c>
      <c r="Q111" s="127">
        <f>$C$15</f>
        <v>6342.2620966533796</v>
      </c>
      <c r="R111" s="127">
        <f>$D$15</f>
        <v>18911.879261848695</v>
      </c>
      <c r="S111" s="127">
        <f>$E$15</f>
        <v>37895.117502390924</v>
      </c>
      <c r="T111" s="211">
        <f>$F$15</f>
        <v>56784.52568132295</v>
      </c>
      <c r="V111" s="207" t="s">
        <v>233</v>
      </c>
      <c r="W111" s="79">
        <f>$B$15</f>
        <v>4182.3688993748947</v>
      </c>
      <c r="X111" s="127">
        <f>$C$15</f>
        <v>6342.2620966533796</v>
      </c>
      <c r="Y111" s="127">
        <f>$D$15</f>
        <v>18911.879261848695</v>
      </c>
      <c r="Z111" s="127">
        <f>$E$15</f>
        <v>37895.117502390924</v>
      </c>
      <c r="AA111" s="211">
        <f>$F$15</f>
        <v>56784.52568132295</v>
      </c>
      <c r="AC111" s="207" t="s">
        <v>233</v>
      </c>
      <c r="AD111" s="79">
        <f>$B$15</f>
        <v>4182.3688993748947</v>
      </c>
      <c r="AE111" s="127">
        <f>$C$15</f>
        <v>6342.2620966533796</v>
      </c>
      <c r="AF111" s="127">
        <f>$D$15</f>
        <v>18911.879261848695</v>
      </c>
      <c r="AG111" s="127">
        <f>$E$15</f>
        <v>37895.117502390924</v>
      </c>
      <c r="AH111" s="211">
        <f>$F$15</f>
        <v>56784.52568132295</v>
      </c>
    </row>
    <row r="112" spans="1:34" x14ac:dyDescent="0.2">
      <c r="A112" s="207" t="s">
        <v>234</v>
      </c>
      <c r="B112" s="128">
        <f ca="1">B111/(1+B100)^B103</f>
        <v>3797.0367825876551</v>
      </c>
      <c r="C112" s="129">
        <f ca="1">C111/(1+B100)^C103</f>
        <v>5227.4407744919108</v>
      </c>
      <c r="D112" s="129">
        <f ca="1">D111/(1+B100)^D103</f>
        <v>14151.487431314688</v>
      </c>
      <c r="E112" s="129">
        <f ca="1">(E111/(1+B101)^E103*10/12)+(E111/(1+B100)^E103*2/12)</f>
        <v>25335.842713431084</v>
      </c>
      <c r="F112" s="213">
        <f ca="1">F111/(1+B101)^F103</f>
        <v>34191.561077387581</v>
      </c>
      <c r="H112" s="207" t="s">
        <v>234</v>
      </c>
      <c r="I112" s="128">
        <f ca="1">I111/(1+I100)^I103</f>
        <v>3797.0367825876551</v>
      </c>
      <c r="J112" s="129">
        <f ca="1">J111/(1+I100)^J103</f>
        <v>5227.4407744919108</v>
      </c>
      <c r="K112" s="129">
        <f ca="1">K111/(1+I100)^K103</f>
        <v>14151.487431314688</v>
      </c>
      <c r="L112" s="129">
        <f ca="1">(L111/(1+I101)^L103*10/12)+(L111/(1+I100)^L103*2/12)</f>
        <v>25335.842713431084</v>
      </c>
      <c r="M112" s="213">
        <f ca="1">M111/(1+I101)^M103</f>
        <v>34191.561077387581</v>
      </c>
      <c r="O112" s="207" t="s">
        <v>234</v>
      </c>
      <c r="P112" s="128">
        <f ca="1">P111/(1+P100)^P103</f>
        <v>3797.0367825876551</v>
      </c>
      <c r="Q112" s="129">
        <f ca="1">Q111/(1+P100)^Q103</f>
        <v>5227.4407744919108</v>
      </c>
      <c r="R112" s="129">
        <f ca="1">R111/(1+P100)^R103</f>
        <v>14151.487431314688</v>
      </c>
      <c r="S112" s="129">
        <f ca="1">(S111/(1+P101)^S103*10/12)+(S111/(1+P100)^S103*2/12)</f>
        <v>25335.842713431084</v>
      </c>
      <c r="T112" s="213">
        <f ca="1">T111/(1+P101)^T103</f>
        <v>34191.561077387581</v>
      </c>
      <c r="V112" s="207" t="s">
        <v>234</v>
      </c>
      <c r="W112" s="128">
        <f ca="1">W111/(1+W100)^W103</f>
        <v>3797.0367825876551</v>
      </c>
      <c r="X112" s="129">
        <f ca="1">X111/(1+W100)^X103</f>
        <v>5227.4407744919108</v>
      </c>
      <c r="Y112" s="129">
        <f ca="1">Y111/(1+W100)^Y103</f>
        <v>14151.487431314688</v>
      </c>
      <c r="Z112" s="129">
        <f ca="1">(Z111/(1+W101)^Z103*10/12)+(Z111/(1+W100)^Z103*2/12)</f>
        <v>25335.842713431084</v>
      </c>
      <c r="AA112" s="213">
        <f ca="1">AA111/(1+W101)^AA103</f>
        <v>34191.561077387581</v>
      </c>
      <c r="AC112" s="207" t="s">
        <v>234</v>
      </c>
      <c r="AD112" s="128">
        <f ca="1">AD111/(1+AD100)^AD103</f>
        <v>3797.0367825876551</v>
      </c>
      <c r="AE112" s="129">
        <f ca="1">AE111/(1+AD100)^AE103</f>
        <v>5227.4407744919108</v>
      </c>
      <c r="AF112" s="129">
        <f ca="1">AF111/(1+AD100)^AF103</f>
        <v>14151.487431314688</v>
      </c>
      <c r="AG112" s="129">
        <f ca="1">(AG111/(1+AD101)^AG103*10/12)+(AG111/(1+AD100)^AG103*2/12)</f>
        <v>25335.842713431084</v>
      </c>
      <c r="AH112" s="213">
        <f ca="1">AH111/(1+AD101)^AH103</f>
        <v>34191.561077387581</v>
      </c>
    </row>
    <row r="113" spans="1:34" x14ac:dyDescent="0.2">
      <c r="A113" s="207"/>
      <c r="F113" s="208"/>
      <c r="H113" s="207"/>
      <c r="M113" s="208"/>
      <c r="O113" s="207"/>
      <c r="T113" s="208"/>
      <c r="V113" s="207"/>
      <c r="AA113" s="208"/>
      <c r="AC113" s="207"/>
      <c r="AH113" s="208"/>
    </row>
    <row r="114" spans="1:34" x14ac:dyDescent="0.2">
      <c r="A114" s="207" t="s">
        <v>235</v>
      </c>
      <c r="F114" s="212">
        <f ca="1">SUM(B112:E112)</f>
        <v>48511.807701825339</v>
      </c>
      <c r="H114" s="207" t="s">
        <v>235</v>
      </c>
      <c r="M114" s="212">
        <f ca="1">SUM(I112:L112)</f>
        <v>48511.807701825339</v>
      </c>
      <c r="O114" s="207" t="s">
        <v>235</v>
      </c>
      <c r="T114" s="212">
        <f ca="1">SUM(P112:S112)</f>
        <v>48511.807701825339</v>
      </c>
      <c r="V114" s="207" t="s">
        <v>235</v>
      </c>
      <c r="AA114" s="212">
        <f ca="1">SUM(W112:Z112)</f>
        <v>48511.807701825339</v>
      </c>
      <c r="AC114" s="207" t="s">
        <v>235</v>
      </c>
      <c r="AH114" s="212">
        <f ca="1">SUM(AD112:AG112)</f>
        <v>48511.807701825339</v>
      </c>
    </row>
    <row r="115" spans="1:34" x14ac:dyDescent="0.2">
      <c r="A115" s="207" t="s">
        <v>236</v>
      </c>
      <c r="B115" s="79"/>
      <c r="C115" s="79"/>
      <c r="D115" s="79"/>
      <c r="E115" s="79"/>
      <c r="F115" s="212">
        <f ca="1">F112/(B101-B99)</f>
        <v>402811.32148396375</v>
      </c>
      <c r="H115" s="207" t="s">
        <v>236</v>
      </c>
      <c r="I115" s="79"/>
      <c r="J115" s="79"/>
      <c r="K115" s="79"/>
      <c r="L115" s="79"/>
      <c r="M115" s="212">
        <f ca="1">M112/(I101-I99)</f>
        <v>428024.11585512082</v>
      </c>
      <c r="O115" s="207" t="s">
        <v>236</v>
      </c>
      <c r="P115" s="79"/>
      <c r="Q115" s="79"/>
      <c r="R115" s="79"/>
      <c r="S115" s="79"/>
      <c r="T115" s="212">
        <f ca="1">T112/(P101-P99)</f>
        <v>456603.89899534348</v>
      </c>
      <c r="V115" s="207" t="s">
        <v>236</v>
      </c>
      <c r="W115" s="79"/>
      <c r="X115" s="79"/>
      <c r="Y115" s="79"/>
      <c r="Z115" s="79"/>
      <c r="AA115" s="212">
        <f ca="1">AA112/(W101-W99)</f>
        <v>489273.38344032905</v>
      </c>
      <c r="AC115" s="207" t="s">
        <v>236</v>
      </c>
      <c r="AD115" s="79"/>
      <c r="AE115" s="79"/>
      <c r="AF115" s="79"/>
      <c r="AG115" s="79"/>
      <c r="AH115" s="212">
        <f ca="1">AH112/(AD101-AD99)</f>
        <v>526978.05812828278</v>
      </c>
    </row>
    <row r="116" spans="1:34" x14ac:dyDescent="0.2">
      <c r="A116" s="207" t="s">
        <v>237</v>
      </c>
      <c r="F116" s="212">
        <f ca="1">F115/(1+B100)^F103</f>
        <v>248435.70211725275</v>
      </c>
      <c r="H116" s="207" t="s">
        <v>237</v>
      </c>
      <c r="M116" s="212">
        <f ca="1">M115/(1+I100)^M103</f>
        <v>263985.80693769455</v>
      </c>
      <c r="O116" s="207" t="s">
        <v>237</v>
      </c>
      <c r="T116" s="212">
        <f ca="1">T115/(1+P100)^T103</f>
        <v>281612.51729092555</v>
      </c>
      <c r="V116" s="207" t="s">
        <v>237</v>
      </c>
      <c r="AA116" s="212">
        <f ca="1">AA115/(1+W100)^AA103</f>
        <v>301761.56939799694</v>
      </c>
      <c r="AC116" s="207" t="s">
        <v>237</v>
      </c>
      <c r="AH116" s="212">
        <f ca="1">AH115/(1+AD100)^AH103</f>
        <v>325016.09783253918</v>
      </c>
    </row>
    <row r="117" spans="1:34" x14ac:dyDescent="0.2">
      <c r="A117" s="207" t="s">
        <v>238</v>
      </c>
      <c r="F117" s="212">
        <f ca="1">F114+F116</f>
        <v>296947.50981907808</v>
      </c>
      <c r="H117" s="207" t="s">
        <v>238</v>
      </c>
      <c r="M117" s="212">
        <f ca="1">M114+M116</f>
        <v>312497.61463951989</v>
      </c>
      <c r="O117" s="207" t="s">
        <v>238</v>
      </c>
      <c r="T117" s="212">
        <f ca="1">T114+T116</f>
        <v>330124.32499275089</v>
      </c>
      <c r="V117" s="207" t="s">
        <v>238</v>
      </c>
      <c r="AA117" s="212">
        <f ca="1">AA114+AA116</f>
        <v>350273.37709982228</v>
      </c>
      <c r="AC117" s="207" t="s">
        <v>238</v>
      </c>
      <c r="AH117" s="212">
        <f ca="1">AH114+AH116</f>
        <v>373527.90553436452</v>
      </c>
    </row>
    <row r="118" spans="1:34" x14ac:dyDescent="0.2">
      <c r="A118" s="214" t="s">
        <v>241</v>
      </c>
      <c r="F118" s="215">
        <v>135123.13800000001</v>
      </c>
      <c r="H118" s="214" t="s">
        <v>241</v>
      </c>
      <c r="M118" s="215">
        <v>135123.13800000001</v>
      </c>
      <c r="O118" s="214" t="s">
        <v>241</v>
      </c>
      <c r="T118" s="215">
        <v>135123.13800000001</v>
      </c>
      <c r="V118" s="214" t="s">
        <v>241</v>
      </c>
      <c r="AA118" s="215">
        <v>135123.13800000001</v>
      </c>
      <c r="AC118" s="214" t="s">
        <v>241</v>
      </c>
      <c r="AH118" s="215">
        <v>135123.13800000001</v>
      </c>
    </row>
    <row r="119" spans="1:34" x14ac:dyDescent="0.2">
      <c r="A119" s="216" t="s">
        <v>242</v>
      </c>
      <c r="B119" s="217"/>
      <c r="C119" s="217"/>
      <c r="D119" s="217"/>
      <c r="E119" s="217"/>
      <c r="F119" s="218">
        <f ca="1">F117/F118</f>
        <v>2.1976066735445272</v>
      </c>
      <c r="H119" s="216" t="s">
        <v>242</v>
      </c>
      <c r="I119" s="217"/>
      <c r="J119" s="217"/>
      <c r="K119" s="217"/>
      <c r="L119" s="217"/>
      <c r="M119" s="218">
        <f ca="1">M117/M118</f>
        <v>2.3126876659682067</v>
      </c>
      <c r="O119" s="216" t="s">
        <v>242</v>
      </c>
      <c r="P119" s="217"/>
      <c r="Q119" s="217"/>
      <c r="R119" s="217"/>
      <c r="S119" s="217"/>
      <c r="T119" s="218">
        <f ca="1">T117/T118</f>
        <v>2.4431369037089032</v>
      </c>
      <c r="V119" s="216" t="s">
        <v>242</v>
      </c>
      <c r="W119" s="217"/>
      <c r="X119" s="217"/>
      <c r="Y119" s="217"/>
      <c r="Z119" s="217"/>
      <c r="AA119" s="218">
        <f ca="1">AA117/AA118</f>
        <v>2.5922531276606549</v>
      </c>
      <c r="AC119" s="216" t="s">
        <v>242</v>
      </c>
      <c r="AD119" s="217"/>
      <c r="AE119" s="217"/>
      <c r="AF119" s="217"/>
      <c r="AG119" s="217"/>
      <c r="AH119" s="218">
        <f ca="1">AH117/AH118</f>
        <v>2.7643519168002486</v>
      </c>
    </row>
  </sheetData>
  <mergeCells count="25">
    <mergeCell ref="A73:F73"/>
    <mergeCell ref="H73:M73"/>
    <mergeCell ref="O73:T73"/>
    <mergeCell ref="V73:AA73"/>
    <mergeCell ref="AC73:AH73"/>
    <mergeCell ref="A97:F97"/>
    <mergeCell ref="H97:M97"/>
    <mergeCell ref="O97:T97"/>
    <mergeCell ref="V97:AA97"/>
    <mergeCell ref="AC97:AH97"/>
    <mergeCell ref="V1:AA1"/>
    <mergeCell ref="AC1:AH1"/>
    <mergeCell ref="V25:AA25"/>
    <mergeCell ref="AC25:AH25"/>
    <mergeCell ref="A49:F49"/>
    <mergeCell ref="H49:M49"/>
    <mergeCell ref="O49:T49"/>
    <mergeCell ref="V49:AA49"/>
    <mergeCell ref="AC49:AH49"/>
    <mergeCell ref="A1:F1"/>
    <mergeCell ref="H1:M1"/>
    <mergeCell ref="O1:T1"/>
    <mergeCell ref="A25:F25"/>
    <mergeCell ref="H25:M25"/>
    <mergeCell ref="O25:T25"/>
  </mergeCells>
  <pageMargins left="0.7" right="0.7" top="0.75" bottom="0.75" header="0.3" footer="0.3"/>
  <pageSetup orientation="portrait" horizontalDpi="0" verticalDpi="0"/>
  <legacy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716461-809C-4D29-96C1-28DA6F1BB475}">
  <sheetPr>
    <tabColor rgb="FF00B050"/>
  </sheetPr>
  <dimension ref="A1:M27"/>
  <sheetViews>
    <sheetView workbookViewId="0">
      <selection activeCell="F17" sqref="F17"/>
    </sheetView>
  </sheetViews>
  <sheetFormatPr baseColWidth="10" defaultColWidth="8.83203125" defaultRowHeight="16" x14ac:dyDescent="0.2"/>
  <cols>
    <col min="1" max="1" width="23.5" customWidth="1"/>
    <col min="2" max="4" width="11.5" bestFit="1" customWidth="1"/>
    <col min="5" max="5" width="12.1640625" bestFit="1" customWidth="1"/>
    <col min="6" max="9" width="11.5" bestFit="1" customWidth="1"/>
    <col min="10" max="10" width="12.1640625" bestFit="1" customWidth="1"/>
  </cols>
  <sheetData>
    <row r="1" spans="1:12" x14ac:dyDescent="0.2">
      <c r="A1" t="s">
        <v>373</v>
      </c>
    </row>
    <row r="3" spans="1:12" x14ac:dyDescent="0.2">
      <c r="B3" s="1" t="s">
        <v>374</v>
      </c>
      <c r="C3" s="1" t="s">
        <v>375</v>
      </c>
      <c r="D3" s="1" t="s">
        <v>376</v>
      </c>
    </row>
    <row r="4" spans="1:12" x14ac:dyDescent="0.2">
      <c r="A4" s="1" t="s">
        <v>377</v>
      </c>
      <c r="B4" s="37">
        <f>(('Income Statement'!D7/'Financial Analysis'!B7)^(1/(21-17))-1)</f>
        <v>0.31575797776832104</v>
      </c>
      <c r="C4" s="37">
        <f>(('Income Statement'!F7/'Income Statement'!D7)^(1/(23-21))-1)</f>
        <v>-0.12936154634443686</v>
      </c>
      <c r="D4" s="37">
        <f>(('Income Statement'!F7/'Financial Analysis'!B7)^(1/(23-17))-1)</f>
        <v>0.14655956810555892</v>
      </c>
    </row>
    <row r="6" spans="1:12" x14ac:dyDescent="0.2">
      <c r="B6">
        <v>2017</v>
      </c>
      <c r="C6">
        <v>2018</v>
      </c>
      <c r="D6">
        <v>2019</v>
      </c>
      <c r="E6">
        <v>2020</v>
      </c>
      <c r="F6">
        <v>2021</v>
      </c>
      <c r="G6">
        <v>2022</v>
      </c>
      <c r="H6" t="s">
        <v>378</v>
      </c>
      <c r="I6" t="s">
        <v>379</v>
      </c>
      <c r="J6" t="s">
        <v>380</v>
      </c>
      <c r="K6" t="s">
        <v>381</v>
      </c>
      <c r="L6" t="s">
        <v>382</v>
      </c>
    </row>
    <row r="7" spans="1:12" x14ac:dyDescent="0.2">
      <c r="A7" t="s">
        <v>319</v>
      </c>
      <c r="B7" s="101">
        <v>262100</v>
      </c>
      <c r="C7">
        <v>375000</v>
      </c>
      <c r="D7">
        <v>363319</v>
      </c>
      <c r="E7">
        <v>545772</v>
      </c>
      <c r="F7">
        <v>785545</v>
      </c>
      <c r="G7">
        <v>655901</v>
      </c>
      <c r="H7">
        <v>595452</v>
      </c>
      <c r="I7">
        <v>631179.12</v>
      </c>
      <c r="J7">
        <v>669049.86719999998</v>
      </c>
      <c r="K7">
        <v>709192.85923199996</v>
      </c>
      <c r="L7">
        <v>751744.43078592001</v>
      </c>
    </row>
    <row r="8" spans="1:12" x14ac:dyDescent="0.2">
      <c r="A8" t="s">
        <v>383</v>
      </c>
      <c r="C8" s="8">
        <f>(C7-B7)/B7</f>
        <v>0.43075162151850438</v>
      </c>
      <c r="D8" s="8">
        <f t="shared" ref="D8:L8" si="0">(D7-C7)/C7</f>
        <v>-3.1149333333333334E-2</v>
      </c>
      <c r="E8" s="8">
        <f t="shared" si="0"/>
        <v>0.50218403111315402</v>
      </c>
      <c r="F8" s="8">
        <f t="shared" si="0"/>
        <v>0.43932814435331968</v>
      </c>
      <c r="G8" s="8">
        <f t="shared" si="0"/>
        <v>-0.16503701251997022</v>
      </c>
      <c r="H8" s="8">
        <f t="shared" si="0"/>
        <v>-9.2161774414126527E-2</v>
      </c>
      <c r="I8" s="8">
        <f t="shared" si="0"/>
        <v>5.9999999999999991E-2</v>
      </c>
      <c r="J8" s="8">
        <f t="shared" si="0"/>
        <v>5.9999999999999977E-2</v>
      </c>
      <c r="K8" s="8">
        <f t="shared" si="0"/>
        <v>5.999999999999997E-2</v>
      </c>
      <c r="L8" s="8">
        <f t="shared" si="0"/>
        <v>6.0000000000000067E-2</v>
      </c>
    </row>
    <row r="11" spans="1:12" x14ac:dyDescent="0.2">
      <c r="A11" s="157"/>
      <c r="B11" s="158">
        <v>2019</v>
      </c>
      <c r="C11" s="158">
        <v>2020</v>
      </c>
      <c r="D11" s="158">
        <v>2021</v>
      </c>
      <c r="E11" s="158">
        <v>2022</v>
      </c>
      <c r="F11" s="159" t="s">
        <v>378</v>
      </c>
      <c r="G11" s="158" t="s">
        <v>379</v>
      </c>
      <c r="H11" s="158" t="s">
        <v>380</v>
      </c>
      <c r="I11" s="158" t="s">
        <v>381</v>
      </c>
      <c r="J11" s="160" t="s">
        <v>382</v>
      </c>
    </row>
    <row r="12" spans="1:12" x14ac:dyDescent="0.2">
      <c r="A12" s="161" t="s">
        <v>384</v>
      </c>
      <c r="B12" s="121">
        <f t="shared" ref="B12:J12" si="1">SUM(B13:B14)</f>
        <v>448222</v>
      </c>
      <c r="C12" s="121">
        <f t="shared" si="1"/>
        <v>437844</v>
      </c>
      <c r="D12" s="121">
        <f t="shared" si="1"/>
        <v>420533</v>
      </c>
      <c r="E12" s="121">
        <f t="shared" si="1"/>
        <v>494253</v>
      </c>
      <c r="F12" s="121">
        <f t="shared" si="1"/>
        <v>437007.63110062515</v>
      </c>
      <c r="G12" s="121">
        <f t="shared" si="1"/>
        <v>456053.73727148701</v>
      </c>
      <c r="H12" s="121">
        <f t="shared" si="1"/>
        <v>462746.96150777629</v>
      </c>
      <c r="I12" s="121">
        <f t="shared" si="1"/>
        <v>456453.77919824282</v>
      </c>
      <c r="J12" s="162">
        <f t="shared" si="1"/>
        <v>430981.00595013739</v>
      </c>
    </row>
    <row r="13" spans="1:12" x14ac:dyDescent="0.2">
      <c r="A13" s="161" t="s">
        <v>181</v>
      </c>
      <c r="B13" s="155">
        <v>3730</v>
      </c>
      <c r="C13" s="155">
        <v>3703</v>
      </c>
      <c r="D13" s="155">
        <v>41138</v>
      </c>
      <c r="E13" s="155">
        <v>17144</v>
      </c>
      <c r="F13" s="154">
        <v>29767.676671214187</v>
      </c>
      <c r="G13" s="156">
        <v>31553.737271487036</v>
      </c>
      <c r="H13" s="156">
        <v>33446.961507776257</v>
      </c>
      <c r="I13" s="156">
        <v>35453.779198242832</v>
      </c>
      <c r="J13" s="163">
        <v>37581.005950137413</v>
      </c>
    </row>
    <row r="14" spans="1:12" x14ac:dyDescent="0.2">
      <c r="A14" s="161" t="s">
        <v>184</v>
      </c>
      <c r="B14" s="155">
        <v>444492</v>
      </c>
      <c r="C14" s="155">
        <v>434141</v>
      </c>
      <c r="D14" s="155">
        <v>379395</v>
      </c>
      <c r="E14" s="155">
        <v>477109</v>
      </c>
      <c r="F14" s="154">
        <v>407239.95442941098</v>
      </c>
      <c r="G14" s="156">
        <v>424500</v>
      </c>
      <c r="H14" s="156">
        <v>429300</v>
      </c>
      <c r="I14" s="156">
        <v>421000</v>
      </c>
      <c r="J14" s="163">
        <v>393400</v>
      </c>
    </row>
    <row r="15" spans="1:12" x14ac:dyDescent="0.2">
      <c r="A15" s="161" t="s">
        <v>152</v>
      </c>
      <c r="B15" s="121">
        <v>49612</v>
      </c>
      <c r="C15" s="121">
        <v>99314</v>
      </c>
      <c r="D15" s="121">
        <v>-13649</v>
      </c>
      <c r="E15" s="121">
        <v>-289395</v>
      </c>
      <c r="F15" s="121">
        <v>5792.211683465066</v>
      </c>
      <c r="G15" s="121">
        <v>30536.573184472989</v>
      </c>
      <c r="H15" s="121">
        <v>45499.186247541365</v>
      </c>
      <c r="I15" s="121">
        <v>61760.986014713882</v>
      </c>
      <c r="J15" s="162">
        <v>79424.009483455928</v>
      </c>
    </row>
    <row r="16" spans="1:12" x14ac:dyDescent="0.2">
      <c r="A16" s="164" t="s">
        <v>385</v>
      </c>
      <c r="B16" s="165">
        <f>B14/B15</f>
        <v>8.9593646698379423</v>
      </c>
      <c r="C16" s="165">
        <f t="shared" ref="C16:J16" si="2">C14/C15</f>
        <v>4.3713977888313833</v>
      </c>
      <c r="D16" s="165">
        <f t="shared" si="2"/>
        <v>-27.796541871199356</v>
      </c>
      <c r="E16" s="165">
        <f t="shared" si="2"/>
        <v>-1.6486428583769588</v>
      </c>
      <c r="F16" s="166">
        <f>F14/F15</f>
        <v>70.308196019829936</v>
      </c>
      <c r="G16" s="165">
        <f t="shared" si="2"/>
        <v>13.901363372883196</v>
      </c>
      <c r="H16" s="165">
        <f t="shared" si="2"/>
        <v>9.4353335829868392</v>
      </c>
      <c r="I16" s="165">
        <f t="shared" si="2"/>
        <v>6.8166010157237666</v>
      </c>
      <c r="J16" s="167">
        <f t="shared" si="2"/>
        <v>4.9531621805361699</v>
      </c>
    </row>
    <row r="20" spans="1:13" x14ac:dyDescent="0.2">
      <c r="A20" t="s">
        <v>386</v>
      </c>
      <c r="B20" s="8">
        <f>'Income Statement'!B9/'Income Statement'!B7</f>
        <v>0.42876920832656701</v>
      </c>
      <c r="C20" s="8">
        <f>'Income Statement'!C9/'Income Statement'!C7</f>
        <v>0.43023826799469378</v>
      </c>
      <c r="D20" s="8">
        <f>'Income Statement'!D9/'Income Statement'!D7</f>
        <v>0.3828743101922869</v>
      </c>
      <c r="E20" s="8">
        <f>'Income Statement'!E9/'Income Statement'!E7</f>
        <v>0.34879044246006641</v>
      </c>
      <c r="F20" s="153">
        <f>'Income Statement'!F9/'Income Statement'!F7</f>
        <v>0.37196247556478101</v>
      </c>
      <c r="G20" s="8">
        <f>'Income Statement'!G9/'Income Statement'!G7</f>
        <v>0.39</v>
      </c>
      <c r="H20" s="8">
        <f>'Income Statement'!H9/'Income Statement'!H7</f>
        <v>0.4</v>
      </c>
      <c r="I20" s="8">
        <f>'Income Statement'!I9/'Income Statement'!I7</f>
        <v>0.41000000000000009</v>
      </c>
      <c r="J20" s="8">
        <f>'Income Statement'!J9/'Income Statement'!J7</f>
        <v>0.42000000000000004</v>
      </c>
    </row>
    <row r="21" spans="1:13" x14ac:dyDescent="0.2">
      <c r="A21" t="s">
        <v>387</v>
      </c>
      <c r="B21" s="8">
        <f>'Income Statement'!B12/'Income Statement'!B7</f>
        <v>0.1365521759115268</v>
      </c>
      <c r="C21" s="8">
        <f>'Income Statement'!C12/'Income Statement'!C7</f>
        <v>0.18196976026619174</v>
      </c>
      <c r="D21" s="8">
        <f>'Income Statement'!D12/'Income Statement'!D7</f>
        <v>-1.7375198110865703E-2</v>
      </c>
      <c r="E21" s="8">
        <f>'Income Statement'!E12/'Income Statement'!E7</f>
        <v>-0.44121750081186034</v>
      </c>
      <c r="F21" s="153">
        <f>'Income Statement'!F12/'Income Statement'!F7</f>
        <v>9.727419982576372E-3</v>
      </c>
      <c r="G21" s="8">
        <f>'Income Statement'!G12/'Income Statement'!G7</f>
        <v>4.8380201779287292E-2</v>
      </c>
      <c r="H21" s="8">
        <f>'Income Statement'!H12/'Income Statement'!H7</f>
        <v>6.800567263835991E-2</v>
      </c>
      <c r="I21" s="8">
        <f>'Income Statement'!I12/'Income Statement'!I7</f>
        <v>8.7086305524277513E-2</v>
      </c>
      <c r="J21" s="8">
        <f>'Income Statement'!J12/'Income Statement'!J7</f>
        <v>0.10565294032231295</v>
      </c>
    </row>
    <row r="24" spans="1:13" x14ac:dyDescent="0.2">
      <c r="A24" t="s">
        <v>388</v>
      </c>
    </row>
    <row r="26" spans="1:13" x14ac:dyDescent="0.2">
      <c r="B26">
        <f>'Income Statement'!B6</f>
        <v>2019</v>
      </c>
      <c r="C26">
        <f>'Income Statement'!C6</f>
        <v>2020</v>
      </c>
      <c r="D26">
        <f>'Income Statement'!D6</f>
        <v>2021</v>
      </c>
      <c r="E26">
        <f>'Income Statement'!E6</f>
        <v>2022</v>
      </c>
      <c r="F26">
        <f>'Income Statement'!F6</f>
        <v>2023</v>
      </c>
      <c r="G26">
        <f>'Income Statement'!G6</f>
        <v>2024</v>
      </c>
      <c r="H26">
        <f>'Income Statement'!H6</f>
        <v>2025</v>
      </c>
      <c r="I26">
        <f>'Income Statement'!I6</f>
        <v>2026</v>
      </c>
      <c r="J26">
        <f>'Income Statement'!J6</f>
        <v>2027</v>
      </c>
      <c r="K26" s="79"/>
      <c r="L26" s="79"/>
      <c r="M26" s="79"/>
    </row>
    <row r="27" spans="1:13" x14ac:dyDescent="0.2">
      <c r="A27" t="s">
        <v>152</v>
      </c>
      <c r="B27" s="79">
        <f>'Income Statement'!B12</f>
        <v>49612</v>
      </c>
      <c r="C27" s="79">
        <f>'Income Statement'!C12</f>
        <v>99314</v>
      </c>
      <c r="D27" s="79">
        <f>'Income Statement'!D12</f>
        <v>-13649</v>
      </c>
      <c r="E27" s="79">
        <f>'Income Statement'!E12</f>
        <v>-289395</v>
      </c>
      <c r="F27" s="79">
        <f>'Income Statement'!F12</f>
        <v>5792.211683465066</v>
      </c>
      <c r="G27" s="79">
        <f>'Income Statement'!G12</f>
        <v>30536.573184472989</v>
      </c>
      <c r="H27" s="79">
        <f>'Income Statement'!H12</f>
        <v>45499.186247541365</v>
      </c>
      <c r="I27" s="79">
        <f>'Income Statement'!I12</f>
        <v>61760.986014713882</v>
      </c>
      <c r="J27" s="79">
        <f>'Income Statement'!J12</f>
        <v>79424.009483455928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C1968EF7CC88B409BB608F762F851FD" ma:contentTypeVersion="7" ma:contentTypeDescription="Create a new document." ma:contentTypeScope="" ma:versionID="0f24d828e509786ac4a074a503e0d5b2">
  <xsd:schema xmlns:xsd="http://www.w3.org/2001/XMLSchema" xmlns:xs="http://www.w3.org/2001/XMLSchema" xmlns:p="http://schemas.microsoft.com/office/2006/metadata/properties" xmlns:ns2="2578947c-3d9e-4f2a-8f35-00cab9b55344" targetNamespace="http://schemas.microsoft.com/office/2006/metadata/properties" ma:root="true" ma:fieldsID="9831ef44467f89b355e7a0d2a9748679" ns2:_="">
    <xsd:import namespace="2578947c-3d9e-4f2a-8f35-00cab9b5534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78947c-3d9e-4f2a-8f35-00cab9b5534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1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50CA0A5-5BB2-4266-B868-09A65DE0CC1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10E3914-4D66-4B35-9B9F-64CD7BEA6E41}">
  <ds:schemaRefs>
    <ds:schemaRef ds:uri="http://schemas.microsoft.com/office/2006/documentManagement/types"/>
    <ds:schemaRef ds:uri="http://schemas.openxmlformats.org/package/2006/metadata/core-properties"/>
    <ds:schemaRef ds:uri="http://schemas.microsoft.com/office/infopath/2007/PartnerControls"/>
    <ds:schemaRef ds:uri="http://www.w3.org/XML/1998/namespace"/>
    <ds:schemaRef ds:uri="2578947c-3d9e-4f2a-8f35-00cab9b55344"/>
    <ds:schemaRef ds:uri="http://schemas.microsoft.com/office/2006/metadata/properties"/>
    <ds:schemaRef ds:uri="http://purl.org/dc/dcmitype/"/>
    <ds:schemaRef ds:uri="http://purl.org/dc/terms/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53B20BAF-B8B3-4368-9BD9-2F825F7FFF0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578947c-3d9e-4f2a-8f35-00cab9b5534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COOK-US, BS FY'22</vt:lpstr>
      <vt:lpstr>COOK-US, CF FY'22</vt:lpstr>
      <vt:lpstr>COOK-US, IS FY'22</vt:lpstr>
      <vt:lpstr>Income Statement</vt:lpstr>
      <vt:lpstr>Balance Sheet</vt:lpstr>
      <vt:lpstr>Cash Flow</vt:lpstr>
      <vt:lpstr>DCF</vt:lpstr>
      <vt:lpstr>WACC</vt:lpstr>
      <vt:lpstr>Beta</vt:lpstr>
      <vt:lpstr>Debt Schedule</vt:lpstr>
      <vt:lpstr>COOK-USA</vt:lpstr>
      <vt:lpstr>Valuation</vt:lpstr>
      <vt:lpstr>Asset Schedule</vt:lpstr>
      <vt:lpstr>Sensitivity Model</vt:lpstr>
      <vt:lpstr>DCF Sensitivity</vt:lpstr>
      <vt:lpstr>Financial Analysis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Hannah Saethereng</dc:creator>
  <cp:keywords/>
  <dc:description/>
  <cp:lastModifiedBy>Teddy Tenetcha</cp:lastModifiedBy>
  <cp:revision/>
  <dcterms:created xsi:type="dcterms:W3CDTF">2023-11-20T04:07:05Z</dcterms:created>
  <dcterms:modified xsi:type="dcterms:W3CDTF">2025-06-29T23:24:23Z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0x010100BC1968EF7CC88B409BB608F762F851FD</vt:lpwstr>
  </property>
</Properties>
</file>