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dytenetcha/Downloads/"/>
    </mc:Choice>
  </mc:AlternateContent>
  <xr:revisionPtr revIDLastSave="0" documentId="8_{80322C80-7ABB-764A-AAA4-CCC1FABCDD23}" xr6:coauthVersionLast="47" xr6:coauthVersionMax="47" xr10:uidLastSave="{00000000-0000-0000-0000-000000000000}"/>
  <bookViews>
    <workbookView xWindow="5040" yWindow="780" windowWidth="30240" windowHeight="17800" xr2:uid="{0D289586-B4CB-46C3-BFE8-6CD07BF4E1FF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M19" i="1"/>
  <c r="M17" i="1"/>
  <c r="M14" i="1"/>
  <c r="M13" i="1"/>
  <c r="M12" i="1"/>
  <c r="M10" i="1"/>
  <c r="C10" i="1"/>
  <c r="C12" i="1" s="1"/>
  <c r="C13" i="1" s="1"/>
  <c r="D10" i="1"/>
  <c r="D12" i="1" s="1"/>
  <c r="E10" i="1"/>
  <c r="E12" i="1" s="1"/>
  <c r="F10" i="1"/>
  <c r="F12" i="1" s="1"/>
  <c r="F13" i="1" s="1"/>
  <c r="G10" i="1"/>
  <c r="G12" i="1" s="1"/>
  <c r="H10" i="1"/>
  <c r="H12" i="1" s="1"/>
  <c r="I10" i="1"/>
  <c r="I12" i="1" s="1"/>
  <c r="J10" i="1"/>
  <c r="J12" i="1" s="1"/>
  <c r="K10" i="1"/>
  <c r="K12" i="1" s="1"/>
  <c r="K13" i="1" s="1"/>
  <c r="L10" i="1"/>
  <c r="L12" i="1" s="1"/>
  <c r="L17" i="1"/>
  <c r="C35" i="1"/>
  <c r="N34" i="1"/>
  <c r="C41" i="1"/>
  <c r="D17" i="1"/>
  <c r="E17" i="1"/>
  <c r="F17" i="1"/>
  <c r="G17" i="1"/>
  <c r="H17" i="1"/>
  <c r="I17" i="1"/>
  <c r="J17" i="1"/>
  <c r="K17" i="1"/>
  <c r="C17" i="1"/>
  <c r="C43" i="1" l="1"/>
  <c r="J13" i="1"/>
  <c r="J14" i="1" s="1"/>
  <c r="J19" i="1" s="1"/>
  <c r="L13" i="1"/>
  <c r="L14" i="1" s="1"/>
  <c r="L19" i="1" s="1"/>
  <c r="D13" i="1"/>
  <c r="D14" i="1" s="1"/>
  <c r="D19" i="1" s="1"/>
  <c r="H13" i="1"/>
  <c r="H14" i="1" s="1"/>
  <c r="H19" i="1" s="1"/>
  <c r="G13" i="1"/>
  <c r="G14" i="1"/>
  <c r="G19" i="1" s="1"/>
  <c r="I13" i="1"/>
  <c r="I14" i="1" s="1"/>
  <c r="I19" i="1" s="1"/>
  <c r="E13" i="1"/>
  <c r="E14" i="1"/>
  <c r="E19" i="1" s="1"/>
  <c r="C14" i="1"/>
  <c r="C19" i="1" s="1"/>
  <c r="F14" i="1"/>
  <c r="F19" i="1" s="1"/>
  <c r="K14" i="1"/>
  <c r="K19" i="1" s="1"/>
  <c r="R19" i="1" l="1"/>
  <c r="S19" i="1" s="1"/>
  <c r="T19" i="1" s="1"/>
</calcChain>
</file>

<file path=xl/sharedStrings.xml><?xml version="1.0" encoding="utf-8"?>
<sst xmlns="http://schemas.openxmlformats.org/spreadsheetml/2006/main" count="53" uniqueCount="49">
  <si>
    <t>Revenues</t>
  </si>
  <si>
    <t>EBIT</t>
  </si>
  <si>
    <t>OCF</t>
  </si>
  <si>
    <t>Net capital spending</t>
  </si>
  <si>
    <t>Change in NWC</t>
  </si>
  <si>
    <t>FCF</t>
  </si>
  <si>
    <t>Cost of goods sold</t>
  </si>
  <si>
    <t>SG&amp;A expenses</t>
  </si>
  <si>
    <t>Other operating expenses</t>
  </si>
  <si>
    <t>Adjusted taxes</t>
  </si>
  <si>
    <t>Tax rate</t>
  </si>
  <si>
    <t>Depreciation and amortization</t>
  </si>
  <si>
    <t>Purchases</t>
  </si>
  <si>
    <t>Proceeds</t>
  </si>
  <si>
    <t>Free cash flows</t>
  </si>
  <si>
    <t>Taxes</t>
  </si>
  <si>
    <t>WACC</t>
  </si>
  <si>
    <t>Cost of equity</t>
  </si>
  <si>
    <t>Cost of debt</t>
  </si>
  <si>
    <t>Credit rating</t>
  </si>
  <si>
    <t>Market risk premium</t>
  </si>
  <si>
    <t xml:space="preserve">Beta </t>
  </si>
  <si>
    <t>Growth rate</t>
  </si>
  <si>
    <t>g</t>
  </si>
  <si>
    <t xml:space="preserve">Credit spread </t>
  </si>
  <si>
    <t>Cost of debt alternative</t>
  </si>
  <si>
    <t># shares (bil.)</t>
  </si>
  <si>
    <t>w_E</t>
  </si>
  <si>
    <t>w_E (industry)</t>
  </si>
  <si>
    <r>
      <rPr>
        <b/>
        <sz val="11"/>
        <color theme="1"/>
        <rFont val="Calibri"/>
        <family val="2"/>
        <scheme val="minor"/>
      </rPr>
      <t>Coca-Cola</t>
    </r>
    <r>
      <rPr>
        <sz val="11"/>
        <color theme="1"/>
        <rFont val="Calibri"/>
        <family val="2"/>
        <scheme val="minor"/>
      </rPr>
      <t xml:space="preserve"> 
Financial statements: https://www.sec.gov/cgi-bin/browse-edgar?action=getcompany&amp;CIK=KO&amp;type=10-K&amp;dateb=&amp;owner=exclude&amp;count=100
Other sources: Yahoo.Finance, Prof. Damodaran website</t>
    </r>
  </si>
  <si>
    <t>Equity (DCF)</t>
  </si>
  <si>
    <t>Equity (bil.)</t>
  </si>
  <si>
    <t>Debt (bil.)</t>
  </si>
  <si>
    <t>Price (DCF)</t>
  </si>
  <si>
    <t>Debt, Equity, Excess Cash</t>
  </si>
  <si>
    <t>Risk-free rate (10y gov. bond yield)</t>
  </si>
  <si>
    <t>Income statement</t>
  </si>
  <si>
    <t>Cash flow statement</t>
  </si>
  <si>
    <t>Let's assume that tax rate is 21%. Can also estimate it by dividing 'Income taxes' by 'Income before income taxes' from Income Statement</t>
  </si>
  <si>
    <t>Balance sheet</t>
  </si>
  <si>
    <t>Market cap, Yahoo.Finance</t>
  </si>
  <si>
    <t>Damodaran's page</t>
  </si>
  <si>
    <t>Enterprise value (DCF)</t>
  </si>
  <si>
    <t>Equity and other inv. (bil.)</t>
  </si>
  <si>
    <t>Costs</t>
  </si>
  <si>
    <t xml:space="preserve">Yahoo.Finance/Income statement </t>
  </si>
  <si>
    <t>Excess cash 2023 (bil.)</t>
  </si>
  <si>
    <t>Bond yield (maturity Jan05'32)</t>
  </si>
  <si>
    <t>A (Fitch), A+ (SP)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</si>
</sst>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0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5" fontId="0" fillId="0" borderId="0" xfId="0" applyNumberFormat="1"/>
    <xf numFmtId="164" fontId="3" fillId="3" borderId="0" xfId="0" applyNumberFormat="1" applyFont="1" applyFill="1"/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0" fontId="0" fillId="3" borderId="0" xfId="0" applyFill="1"/>
    <xf numFmtId="164" fontId="3" fillId="3" borderId="0" xfId="0" applyNumberFormat="1" applyFont="1" applyFill="1" applyAlignment="1">
      <alignment horizontal="right" vertical="center"/>
    </xf>
    <xf numFmtId="164" fontId="5" fillId="0" borderId="0" xfId="0" applyNumberFormat="1" applyFont="1"/>
    <xf numFmtId="164" fontId="3" fillId="4" borderId="0" xfId="0" applyNumberFormat="1" applyFont="1" applyFill="1"/>
    <xf numFmtId="164" fontId="3" fillId="4" borderId="0" xfId="0" applyNumberFormat="1" applyFont="1" applyFill="1" applyAlignment="1">
      <alignment vertical="center"/>
    </xf>
    <xf numFmtId="164" fontId="2" fillId="4" borderId="0" xfId="0" applyNumberFormat="1" applyFont="1" applyFill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3" fillId="4" borderId="0" xfId="0" applyNumberFormat="1" applyFont="1" applyFill="1" applyAlignment="1">
      <alignment horizontal="right" vertical="center"/>
    </xf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2" borderId="0" xfId="0" applyFill="1"/>
    <xf numFmtId="0" fontId="0" fillId="6" borderId="0" xfId="0" applyFill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01F0-CD94-4A41-B6B1-E6E379CA3B0E}">
  <dimension ref="A1:T43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3.6640625" customWidth="1"/>
    <col min="2" max="2" width="30.1640625" customWidth="1"/>
    <col min="3" max="5" width="9" bestFit="1" customWidth="1"/>
    <col min="6" max="6" width="9.33203125" bestFit="1" customWidth="1"/>
    <col min="7" max="7" width="9" bestFit="1" customWidth="1"/>
    <col min="8" max="8" width="9.33203125" bestFit="1" customWidth="1"/>
    <col min="9" max="9" width="10.33203125" bestFit="1" customWidth="1"/>
    <col min="10" max="12" width="9" bestFit="1" customWidth="1"/>
    <col min="13" max="13" width="9" customWidth="1"/>
    <col min="14" max="14" width="10.33203125" customWidth="1"/>
    <col min="15" max="15" width="11" bestFit="1" customWidth="1"/>
    <col min="16" max="16" width="14.6640625" customWidth="1"/>
    <col min="17" max="17" width="10" bestFit="1" customWidth="1"/>
    <col min="18" max="20" width="13.6640625" customWidth="1"/>
  </cols>
  <sheetData>
    <row r="1" spans="1:18" ht="42.5" customHeight="1" x14ac:dyDescent="0.2">
      <c r="A1" s="46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4" spans="1:18" x14ac:dyDescent="0.2">
      <c r="B4" s="40" t="s">
        <v>14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29"/>
    </row>
    <row r="5" spans="1:18" ht="12" customHeight="1" x14ac:dyDescent="0.2">
      <c r="C5" s="5">
        <v>2013</v>
      </c>
      <c r="D5" s="5">
        <v>2014</v>
      </c>
      <c r="E5" s="5">
        <v>2015</v>
      </c>
      <c r="F5" s="5">
        <v>2016</v>
      </c>
      <c r="G5" s="5">
        <v>2017</v>
      </c>
      <c r="H5" s="5">
        <v>2018</v>
      </c>
      <c r="I5" s="5">
        <v>2019</v>
      </c>
      <c r="J5" s="5">
        <v>2020</v>
      </c>
      <c r="K5" s="5">
        <v>2021</v>
      </c>
      <c r="L5" s="5">
        <v>2022</v>
      </c>
      <c r="M5" s="5">
        <v>2023</v>
      </c>
    </row>
    <row r="6" spans="1:18" ht="15" customHeight="1" x14ac:dyDescent="0.2">
      <c r="A6" s="47" t="s">
        <v>0</v>
      </c>
      <c r="B6" s="47"/>
      <c r="C6" s="11">
        <v>46854</v>
      </c>
      <c r="D6" s="11">
        <v>45998</v>
      </c>
      <c r="E6" s="11">
        <v>44294</v>
      </c>
      <c r="F6" s="11">
        <v>41863</v>
      </c>
      <c r="G6" s="11">
        <v>36212</v>
      </c>
      <c r="H6" s="11">
        <v>34300</v>
      </c>
      <c r="I6" s="12">
        <v>37266</v>
      </c>
      <c r="J6" s="13">
        <v>33014</v>
      </c>
      <c r="K6" s="13">
        <v>38655</v>
      </c>
      <c r="L6" s="13">
        <v>43004</v>
      </c>
      <c r="M6" s="13">
        <v>45754</v>
      </c>
      <c r="N6" s="48" t="s">
        <v>36</v>
      </c>
      <c r="O6" s="48"/>
      <c r="P6" s="20"/>
    </row>
    <row r="7" spans="1:18" x14ac:dyDescent="0.2">
      <c r="A7" s="14"/>
      <c r="B7" s="14" t="s">
        <v>6</v>
      </c>
      <c r="C7" s="11">
        <v>18421</v>
      </c>
      <c r="D7" s="11">
        <v>17889</v>
      </c>
      <c r="E7" s="11">
        <v>17482</v>
      </c>
      <c r="F7" s="11">
        <v>16465</v>
      </c>
      <c r="G7" s="11">
        <v>13721</v>
      </c>
      <c r="H7" s="11">
        <v>13067</v>
      </c>
      <c r="I7" s="11">
        <v>14619</v>
      </c>
      <c r="J7" s="13">
        <v>13433</v>
      </c>
      <c r="K7" s="13">
        <v>15357</v>
      </c>
      <c r="L7" s="13">
        <v>18000</v>
      </c>
      <c r="M7" s="13">
        <v>18520</v>
      </c>
      <c r="N7" s="48"/>
      <c r="O7" s="48"/>
      <c r="P7" s="20"/>
    </row>
    <row r="8" spans="1:18" x14ac:dyDescent="0.2">
      <c r="A8" s="14"/>
      <c r="B8" s="14" t="s">
        <v>7</v>
      </c>
      <c r="C8" s="11">
        <v>17310</v>
      </c>
      <c r="D8" s="11">
        <v>17218</v>
      </c>
      <c r="E8" s="11">
        <v>16427</v>
      </c>
      <c r="F8" s="11">
        <v>15262</v>
      </c>
      <c r="G8" s="11">
        <v>12834</v>
      </c>
      <c r="H8" s="11">
        <v>11002</v>
      </c>
      <c r="I8" s="11">
        <v>12103</v>
      </c>
      <c r="J8" s="13">
        <v>9731</v>
      </c>
      <c r="K8" s="13">
        <v>12144</v>
      </c>
      <c r="L8" s="13">
        <v>12880</v>
      </c>
      <c r="M8" s="13">
        <v>13972</v>
      </c>
      <c r="N8" s="48"/>
      <c r="O8" s="48"/>
      <c r="P8" s="20"/>
    </row>
    <row r="9" spans="1:18" x14ac:dyDescent="0.2">
      <c r="A9" s="14"/>
      <c r="B9" s="14" t="s">
        <v>8</v>
      </c>
      <c r="C9" s="11">
        <v>895</v>
      </c>
      <c r="D9" s="11">
        <v>1183</v>
      </c>
      <c r="E9" s="11">
        <v>1657</v>
      </c>
      <c r="F9" s="12">
        <v>1510</v>
      </c>
      <c r="G9" s="11">
        <v>1902</v>
      </c>
      <c r="H9" s="15">
        <v>1079</v>
      </c>
      <c r="I9" s="11">
        <v>458</v>
      </c>
      <c r="J9" s="13">
        <v>853</v>
      </c>
      <c r="K9" s="13">
        <v>846</v>
      </c>
      <c r="L9" s="13">
        <v>1215</v>
      </c>
      <c r="M9" s="13">
        <v>1951</v>
      </c>
      <c r="N9" s="48"/>
      <c r="O9" s="48"/>
      <c r="P9" s="20"/>
    </row>
    <row r="10" spans="1:18" x14ac:dyDescent="0.2">
      <c r="A10" s="47" t="s">
        <v>44</v>
      </c>
      <c r="B10" s="47"/>
      <c r="C10" s="13">
        <f>C7+C8+C9</f>
        <v>36626</v>
      </c>
      <c r="D10" s="13">
        <f t="shared" ref="D10:M10" si="0">D7+D8+D9</f>
        <v>36290</v>
      </c>
      <c r="E10" s="13">
        <f t="shared" si="0"/>
        <v>35566</v>
      </c>
      <c r="F10" s="13">
        <f t="shared" si="0"/>
        <v>33237</v>
      </c>
      <c r="G10" s="13">
        <f t="shared" si="0"/>
        <v>28457</v>
      </c>
      <c r="H10" s="13">
        <f t="shared" si="0"/>
        <v>25148</v>
      </c>
      <c r="I10" s="13">
        <f t="shared" si="0"/>
        <v>27180</v>
      </c>
      <c r="J10" s="13">
        <f t="shared" si="0"/>
        <v>24017</v>
      </c>
      <c r="K10" s="13">
        <f t="shared" si="0"/>
        <v>28347</v>
      </c>
      <c r="L10" s="13">
        <f t="shared" si="0"/>
        <v>32095</v>
      </c>
      <c r="M10" s="13">
        <f t="shared" si="0"/>
        <v>34443</v>
      </c>
      <c r="N10" s="48"/>
      <c r="O10" s="48"/>
      <c r="P10" s="20"/>
    </row>
    <row r="11" spans="1:18" x14ac:dyDescent="0.2">
      <c r="A11" s="45" t="s">
        <v>11</v>
      </c>
      <c r="B11" s="45"/>
      <c r="C11" s="17">
        <v>1977</v>
      </c>
      <c r="D11" s="17">
        <v>1976</v>
      </c>
      <c r="E11" s="17">
        <v>1970</v>
      </c>
      <c r="F11" s="17">
        <v>1787</v>
      </c>
      <c r="G11" s="17">
        <v>1260</v>
      </c>
      <c r="H11" s="18">
        <v>1086</v>
      </c>
      <c r="I11" s="17">
        <v>1365</v>
      </c>
      <c r="J11" s="19">
        <v>1536</v>
      </c>
      <c r="K11" s="19">
        <v>1452</v>
      </c>
      <c r="L11" s="19">
        <v>1260</v>
      </c>
      <c r="M11" s="19">
        <v>1128</v>
      </c>
      <c r="N11" s="49" t="s">
        <v>37</v>
      </c>
      <c r="O11" s="49"/>
      <c r="P11" s="21"/>
    </row>
    <row r="12" spans="1:18" x14ac:dyDescent="0.2">
      <c r="A12" s="42" t="s">
        <v>1</v>
      </c>
      <c r="B12" s="42"/>
      <c r="C12" s="2">
        <f>C6-C10</f>
        <v>10228</v>
      </c>
      <c r="D12" s="2">
        <f t="shared" ref="D12:L12" si="1">D6-D10</f>
        <v>9708</v>
      </c>
      <c r="E12" s="2">
        <f t="shared" si="1"/>
        <v>8728</v>
      </c>
      <c r="F12" s="2">
        <f t="shared" si="1"/>
        <v>8626</v>
      </c>
      <c r="G12" s="2">
        <f t="shared" si="1"/>
        <v>7755</v>
      </c>
      <c r="H12" s="2">
        <f t="shared" si="1"/>
        <v>9152</v>
      </c>
      <c r="I12" s="2">
        <f t="shared" si="1"/>
        <v>10086</v>
      </c>
      <c r="J12" s="2">
        <f t="shared" si="1"/>
        <v>8997</v>
      </c>
      <c r="K12" s="2">
        <f t="shared" si="1"/>
        <v>10308</v>
      </c>
      <c r="L12" s="2">
        <f t="shared" si="1"/>
        <v>10909</v>
      </c>
      <c r="M12" s="2">
        <f>M6-M10</f>
        <v>11311</v>
      </c>
    </row>
    <row r="13" spans="1:18" x14ac:dyDescent="0.2">
      <c r="A13" s="42" t="s">
        <v>9</v>
      </c>
      <c r="B13" s="42"/>
      <c r="C13" s="2">
        <f t="shared" ref="C13:M13" si="2">C12*C27</f>
        <v>2147.88</v>
      </c>
      <c r="D13" s="2">
        <f t="shared" si="2"/>
        <v>2038.6799999999998</v>
      </c>
      <c r="E13" s="2">
        <f t="shared" si="2"/>
        <v>1832.8799999999999</v>
      </c>
      <c r="F13" s="2">
        <f t="shared" si="2"/>
        <v>1811.46</v>
      </c>
      <c r="G13" s="2">
        <f t="shared" si="2"/>
        <v>1628.55</v>
      </c>
      <c r="H13" s="2">
        <f t="shared" si="2"/>
        <v>1921.9199999999998</v>
      </c>
      <c r="I13" s="2">
        <f t="shared" si="2"/>
        <v>2118.06</v>
      </c>
      <c r="J13" s="2">
        <f t="shared" si="2"/>
        <v>1889.37</v>
      </c>
      <c r="K13" s="2">
        <f t="shared" si="2"/>
        <v>2164.6799999999998</v>
      </c>
      <c r="L13" s="2">
        <f t="shared" si="2"/>
        <v>2290.89</v>
      </c>
      <c r="M13" s="2">
        <f t="shared" si="2"/>
        <v>2375.31</v>
      </c>
    </row>
    <row r="14" spans="1:18" x14ac:dyDescent="0.2">
      <c r="A14" s="42" t="s">
        <v>2</v>
      </c>
      <c r="B14" s="42"/>
      <c r="C14" s="2">
        <f t="shared" ref="C14:M14" si="3">C12-C13+C11</f>
        <v>10057.119999999999</v>
      </c>
      <c r="D14" s="2">
        <f t="shared" si="3"/>
        <v>9645.32</v>
      </c>
      <c r="E14" s="2">
        <f t="shared" si="3"/>
        <v>8865.119999999999</v>
      </c>
      <c r="F14" s="2">
        <f t="shared" si="3"/>
        <v>8601.5400000000009</v>
      </c>
      <c r="G14" s="2">
        <f t="shared" si="3"/>
        <v>7386.45</v>
      </c>
      <c r="H14" s="2">
        <f t="shared" si="3"/>
        <v>8316.08</v>
      </c>
      <c r="I14" s="2">
        <f t="shared" si="3"/>
        <v>9332.94</v>
      </c>
      <c r="J14" s="2">
        <f t="shared" si="3"/>
        <v>8643.630000000001</v>
      </c>
      <c r="K14" s="2">
        <f t="shared" si="3"/>
        <v>9595.32</v>
      </c>
      <c r="L14" s="2">
        <f t="shared" si="3"/>
        <v>9878.11</v>
      </c>
      <c r="M14" s="2">
        <f t="shared" si="3"/>
        <v>10063.69</v>
      </c>
    </row>
    <row r="15" spans="1:18" x14ac:dyDescent="0.2">
      <c r="A15" s="22"/>
      <c r="B15" s="22" t="s">
        <v>12</v>
      </c>
      <c r="C15" s="17">
        <v>2550</v>
      </c>
      <c r="D15" s="17">
        <v>2406</v>
      </c>
      <c r="E15" s="17">
        <v>2553</v>
      </c>
      <c r="F15" s="17">
        <v>2262</v>
      </c>
      <c r="G15" s="17">
        <v>1750</v>
      </c>
      <c r="H15" s="17">
        <v>1548</v>
      </c>
      <c r="I15" s="17">
        <v>2054</v>
      </c>
      <c r="J15" s="19">
        <v>1177</v>
      </c>
      <c r="K15" s="19">
        <v>1367</v>
      </c>
      <c r="L15" s="19">
        <v>1484</v>
      </c>
      <c r="M15" s="19">
        <v>1852</v>
      </c>
      <c r="N15" s="49" t="s">
        <v>37</v>
      </c>
      <c r="O15" s="49"/>
    </row>
    <row r="16" spans="1:18" x14ac:dyDescent="0.2">
      <c r="A16" s="22"/>
      <c r="B16" s="22" t="s">
        <v>13</v>
      </c>
      <c r="C16" s="17">
        <v>111</v>
      </c>
      <c r="D16" s="17">
        <v>223</v>
      </c>
      <c r="E16" s="17">
        <v>85</v>
      </c>
      <c r="F16" s="17">
        <v>150</v>
      </c>
      <c r="G16" s="17">
        <v>108</v>
      </c>
      <c r="H16" s="17">
        <v>248</v>
      </c>
      <c r="I16" s="17">
        <v>978</v>
      </c>
      <c r="J16" s="19">
        <v>189</v>
      </c>
      <c r="K16" s="19">
        <v>108</v>
      </c>
      <c r="L16" s="19">
        <v>75</v>
      </c>
      <c r="M16" s="19">
        <v>74</v>
      </c>
      <c r="N16" s="49"/>
      <c r="O16" s="49"/>
    </row>
    <row r="17" spans="1:20" x14ac:dyDescent="0.2">
      <c r="A17" s="45" t="s">
        <v>3</v>
      </c>
      <c r="B17" s="45"/>
      <c r="C17" s="19">
        <f t="shared" ref="C17:K17" si="4">C15-C16</f>
        <v>2439</v>
      </c>
      <c r="D17" s="19">
        <f t="shared" si="4"/>
        <v>2183</v>
      </c>
      <c r="E17" s="19">
        <f t="shared" si="4"/>
        <v>2468</v>
      </c>
      <c r="F17" s="19">
        <f t="shared" si="4"/>
        <v>2112</v>
      </c>
      <c r="G17" s="19">
        <f t="shared" si="4"/>
        <v>1642</v>
      </c>
      <c r="H17" s="19">
        <f t="shared" si="4"/>
        <v>1300</v>
      </c>
      <c r="I17" s="19">
        <f t="shared" si="4"/>
        <v>1076</v>
      </c>
      <c r="J17" s="19">
        <f t="shared" si="4"/>
        <v>988</v>
      </c>
      <c r="K17" s="19">
        <f t="shared" si="4"/>
        <v>1259</v>
      </c>
      <c r="L17" s="19">
        <f>L15-L16</f>
        <v>1409</v>
      </c>
      <c r="M17" s="19">
        <f>M15-M16</f>
        <v>1778</v>
      </c>
      <c r="N17" s="49"/>
      <c r="O17" s="49"/>
      <c r="R17" s="35" t="s">
        <v>42</v>
      </c>
      <c r="S17" s="35" t="s">
        <v>30</v>
      </c>
      <c r="T17" s="36" t="s">
        <v>33</v>
      </c>
    </row>
    <row r="18" spans="1:20" x14ac:dyDescent="0.2">
      <c r="A18" s="45" t="s">
        <v>4</v>
      </c>
      <c r="B18" s="45"/>
      <c r="C18" s="25">
        <v>-932</v>
      </c>
      <c r="D18" s="17">
        <v>-439</v>
      </c>
      <c r="E18" s="25">
        <v>-157</v>
      </c>
      <c r="F18" s="17">
        <v>-221</v>
      </c>
      <c r="G18" s="17">
        <v>3442</v>
      </c>
      <c r="H18" s="19">
        <v>-1240</v>
      </c>
      <c r="I18" s="17">
        <v>366</v>
      </c>
      <c r="J18" s="19">
        <v>690</v>
      </c>
      <c r="K18" s="19">
        <v>1325</v>
      </c>
      <c r="L18" s="19">
        <v>-605</v>
      </c>
      <c r="M18" s="19">
        <v>-846</v>
      </c>
      <c r="N18" s="49"/>
      <c r="O18" s="49"/>
      <c r="R18" s="35"/>
      <c r="S18" s="35"/>
      <c r="T18" s="36"/>
    </row>
    <row r="19" spans="1:20" x14ac:dyDescent="0.2">
      <c r="A19" s="42" t="s">
        <v>5</v>
      </c>
      <c r="B19" s="42"/>
      <c r="C19" s="16">
        <f t="shared" ref="C19:M19" si="5">C14-C17-C18</f>
        <v>8550.119999999999</v>
      </c>
      <c r="D19" s="16">
        <f t="shared" si="5"/>
        <v>7901.32</v>
      </c>
      <c r="E19" s="16">
        <f t="shared" si="5"/>
        <v>6554.119999999999</v>
      </c>
      <c r="F19" s="16">
        <f t="shared" si="5"/>
        <v>6710.5400000000009</v>
      </c>
      <c r="G19" s="16">
        <f t="shared" si="5"/>
        <v>2302.4499999999998</v>
      </c>
      <c r="H19" s="16">
        <f t="shared" si="5"/>
        <v>8256.08</v>
      </c>
      <c r="I19" s="16">
        <f t="shared" si="5"/>
        <v>7890.9400000000005</v>
      </c>
      <c r="J19" s="16">
        <f t="shared" si="5"/>
        <v>6965.630000000001</v>
      </c>
      <c r="K19" s="16">
        <f t="shared" si="5"/>
        <v>7011.32</v>
      </c>
      <c r="L19" s="16">
        <f t="shared" si="5"/>
        <v>9074.11</v>
      </c>
      <c r="M19" s="16">
        <f t="shared" si="5"/>
        <v>9131.69</v>
      </c>
      <c r="R19" s="23">
        <f>(AVERAGE(K19:M19)*(1+H31)/(C43-H31))</f>
        <v>251540.71916471422</v>
      </c>
      <c r="S19" s="23">
        <f>R19-N33*1000+N36*1000+N37*1000</f>
        <v>240979.71916471422</v>
      </c>
      <c r="T19" s="24">
        <f>S19/(N31*1000)</f>
        <v>55.782342399239404</v>
      </c>
    </row>
    <row r="20" spans="1:20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R20" s="10"/>
      <c r="S20" s="10"/>
      <c r="T20" s="10"/>
    </row>
    <row r="21" spans="1:20" x14ac:dyDescent="0.2">
      <c r="L21" s="1"/>
      <c r="M21" s="34"/>
    </row>
    <row r="22" spans="1:20" x14ac:dyDescent="0.2">
      <c r="O22" s="10"/>
    </row>
    <row r="24" spans="1:20" x14ac:dyDescent="0.2">
      <c r="B24" s="40" t="s">
        <v>15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29"/>
    </row>
    <row r="25" spans="1:20" ht="17.5" customHeight="1" x14ac:dyDescent="0.2">
      <c r="B25" s="41" t="s">
        <v>38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30"/>
    </row>
    <row r="26" spans="1:20" ht="14.5" hidden="1" customHeight="1" x14ac:dyDescent="0.2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30"/>
    </row>
    <row r="27" spans="1:20" x14ac:dyDescent="0.2">
      <c r="B27" t="s">
        <v>10</v>
      </c>
      <c r="C27" s="4">
        <v>0.21</v>
      </c>
      <c r="D27" s="4">
        <v>0.21</v>
      </c>
      <c r="E27" s="4">
        <v>0.21</v>
      </c>
      <c r="F27" s="4">
        <v>0.21</v>
      </c>
      <c r="G27" s="4">
        <v>0.21</v>
      </c>
      <c r="H27" s="4">
        <v>0.21</v>
      </c>
      <c r="I27" s="4">
        <v>0.21</v>
      </c>
      <c r="J27" s="4">
        <v>0.21</v>
      </c>
      <c r="K27" s="4">
        <v>0.21</v>
      </c>
      <c r="L27" s="4">
        <v>0.21</v>
      </c>
      <c r="M27" s="4">
        <v>0.21</v>
      </c>
    </row>
    <row r="28" spans="1:20" x14ac:dyDescent="0.2">
      <c r="C28" s="3"/>
    </row>
    <row r="30" spans="1:20" x14ac:dyDescent="0.2">
      <c r="A30" s="40" t="s">
        <v>16</v>
      </c>
      <c r="B30" s="40"/>
      <c r="C30" s="40"/>
      <c r="G30" s="40" t="s">
        <v>22</v>
      </c>
      <c r="H30" s="40"/>
      <c r="K30" s="40" t="s">
        <v>34</v>
      </c>
      <c r="L30" s="36"/>
      <c r="M30" s="36"/>
      <c r="N30" s="36"/>
      <c r="O30" s="36"/>
    </row>
    <row r="31" spans="1:20" x14ac:dyDescent="0.2">
      <c r="A31" s="42" t="s">
        <v>17</v>
      </c>
      <c r="B31" s="42"/>
      <c r="G31" s="7" t="s">
        <v>23</v>
      </c>
      <c r="H31" s="6">
        <v>0.03</v>
      </c>
      <c r="K31" s="41" t="s">
        <v>26</v>
      </c>
      <c r="L31" s="41"/>
      <c r="M31" s="30"/>
      <c r="N31" s="7">
        <v>4.32</v>
      </c>
      <c r="O31" s="31" t="s">
        <v>45</v>
      </c>
      <c r="P31" s="31"/>
      <c r="Q31" s="31"/>
    </row>
    <row r="32" spans="1:20" x14ac:dyDescent="0.2">
      <c r="B32" t="s">
        <v>21</v>
      </c>
      <c r="C32" s="7">
        <v>0.59</v>
      </c>
      <c r="D32" s="7"/>
      <c r="E32" s="7"/>
      <c r="F32" s="7"/>
      <c r="K32" s="41" t="s">
        <v>31</v>
      </c>
      <c r="L32" s="41"/>
      <c r="M32" s="30"/>
      <c r="N32" s="26">
        <v>296</v>
      </c>
      <c r="O32" s="44" t="s">
        <v>40</v>
      </c>
      <c r="P32" s="44"/>
      <c r="Q32" s="44"/>
    </row>
    <row r="33" spans="1:17" x14ac:dyDescent="0.2">
      <c r="B33" t="s">
        <v>20</v>
      </c>
      <c r="C33" s="9">
        <v>0.05</v>
      </c>
      <c r="D33" s="8"/>
      <c r="E33" s="9"/>
      <c r="F33" s="1"/>
      <c r="K33" s="41" t="s">
        <v>32</v>
      </c>
      <c r="L33" s="41"/>
      <c r="M33" s="30"/>
      <c r="N33" s="26">
        <v>44.012999999999998</v>
      </c>
      <c r="O33" s="43" t="s">
        <v>39</v>
      </c>
      <c r="P33" s="43"/>
      <c r="Q33" s="32"/>
    </row>
    <row r="34" spans="1:17" x14ac:dyDescent="0.2">
      <c r="B34" t="s">
        <v>35</v>
      </c>
      <c r="C34" s="1">
        <v>3.9399999999999998E-2</v>
      </c>
      <c r="K34" s="41" t="s">
        <v>27</v>
      </c>
      <c r="L34" s="41"/>
      <c r="M34" s="30"/>
      <c r="N34" s="9">
        <f>N32/(N32+N33)</f>
        <v>0.870554949369583</v>
      </c>
    </row>
    <row r="35" spans="1:17" x14ac:dyDescent="0.2">
      <c r="B35" t="s">
        <v>17</v>
      </c>
      <c r="C35" s="1">
        <f>C34+C32*C33</f>
        <v>6.8899999999999989E-2</v>
      </c>
      <c r="K35" s="41" t="s">
        <v>28</v>
      </c>
      <c r="L35" s="41"/>
      <c r="M35" s="30"/>
      <c r="N35" s="9">
        <f>85.38%</f>
        <v>0.8538</v>
      </c>
      <c r="O35" s="39" t="s">
        <v>41</v>
      </c>
      <c r="P35" s="39"/>
      <c r="Q35" s="33"/>
    </row>
    <row r="36" spans="1:17" x14ac:dyDescent="0.2">
      <c r="J36" s="38" t="s">
        <v>46</v>
      </c>
      <c r="K36" s="38"/>
      <c r="L36" s="38"/>
      <c r="M36" s="7"/>
      <c r="N36" s="26">
        <v>13.663</v>
      </c>
      <c r="O36" s="37" t="s">
        <v>39</v>
      </c>
      <c r="P36" s="37"/>
      <c r="Q36" s="32"/>
    </row>
    <row r="37" spans="1:17" x14ac:dyDescent="0.2">
      <c r="A37" s="42" t="s">
        <v>18</v>
      </c>
      <c r="B37" s="42"/>
      <c r="J37" s="38" t="s">
        <v>43</v>
      </c>
      <c r="K37" s="38"/>
      <c r="L37" s="38"/>
      <c r="M37" s="7"/>
      <c r="N37" s="27">
        <v>19.789000000000001</v>
      </c>
      <c r="O37" s="37"/>
      <c r="P37" s="37"/>
      <c r="Q37" s="32"/>
    </row>
    <row r="38" spans="1:17" x14ac:dyDescent="0.2">
      <c r="B38" t="s">
        <v>47</v>
      </c>
      <c r="C38" s="1">
        <v>4.3400000000000001E-2</v>
      </c>
      <c r="K38" s="36"/>
      <c r="L38" s="36"/>
      <c r="M38" s="28"/>
    </row>
    <row r="39" spans="1:17" x14ac:dyDescent="0.2">
      <c r="B39" t="s">
        <v>19</v>
      </c>
      <c r="C39" s="36" t="s">
        <v>48</v>
      </c>
      <c r="D39" s="36"/>
    </row>
    <row r="40" spans="1:17" x14ac:dyDescent="0.2">
      <c r="B40" t="s">
        <v>24</v>
      </c>
      <c r="C40" s="1">
        <v>9.1999999999999998E-3</v>
      </c>
    </row>
    <row r="41" spans="1:17" x14ac:dyDescent="0.2">
      <c r="B41" t="s">
        <v>25</v>
      </c>
      <c r="C41" s="1">
        <f>C34+C40</f>
        <v>4.8599999999999997E-2</v>
      </c>
    </row>
    <row r="42" spans="1:17" x14ac:dyDescent="0.2">
      <c r="A42" s="5"/>
      <c r="B42" s="5"/>
    </row>
    <row r="43" spans="1:17" x14ac:dyDescent="0.2">
      <c r="A43" s="42" t="s">
        <v>16</v>
      </c>
      <c r="B43" s="41"/>
      <c r="C43" s="1">
        <f>C35*N34+C38*(1-N34)*(1-L27)</f>
        <v>6.4419389017478734E-2</v>
      </c>
    </row>
  </sheetData>
  <mergeCells count="38">
    <mergeCell ref="A18:B18"/>
    <mergeCell ref="A12:B12"/>
    <mergeCell ref="B4:L4"/>
    <mergeCell ref="A1:R1"/>
    <mergeCell ref="A6:B6"/>
    <mergeCell ref="A10:B10"/>
    <mergeCell ref="N6:O10"/>
    <mergeCell ref="N11:O11"/>
    <mergeCell ref="N15:O18"/>
    <mergeCell ref="R17:R18"/>
    <mergeCell ref="A13:B13"/>
    <mergeCell ref="A11:B11"/>
    <mergeCell ref="A14:B14"/>
    <mergeCell ref="A17:B17"/>
    <mergeCell ref="O33:P33"/>
    <mergeCell ref="A43:B43"/>
    <mergeCell ref="K32:L32"/>
    <mergeCell ref="K33:L33"/>
    <mergeCell ref="K34:L34"/>
    <mergeCell ref="K35:L35"/>
    <mergeCell ref="O32:Q32"/>
    <mergeCell ref="C39:D39"/>
    <mergeCell ref="S17:S18"/>
    <mergeCell ref="T17:T18"/>
    <mergeCell ref="K38:L38"/>
    <mergeCell ref="O36:P37"/>
    <mergeCell ref="J37:L37"/>
    <mergeCell ref="J36:L36"/>
    <mergeCell ref="O35:P35"/>
    <mergeCell ref="B24:L24"/>
    <mergeCell ref="B25:L26"/>
    <mergeCell ref="A19:B19"/>
    <mergeCell ref="A31:B31"/>
    <mergeCell ref="A37:B37"/>
    <mergeCell ref="A30:C30"/>
    <mergeCell ref="G30:H30"/>
    <mergeCell ref="K30:O30"/>
    <mergeCell ref="K31:L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</dc:creator>
  <cp:lastModifiedBy>Teddy Tenetcha</cp:lastModifiedBy>
  <dcterms:created xsi:type="dcterms:W3CDTF">2023-06-28T05:46:36Z</dcterms:created>
  <dcterms:modified xsi:type="dcterms:W3CDTF">2025-06-29T23:52:48Z</dcterms:modified>
</cp:coreProperties>
</file>