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XccyPricing" sheetId="4" r:id="rId1"/>
    <sheet name="Formulae" sheetId="5" r:id="rId2"/>
    <sheet name="Example" sheetId="6" r:id="rId3"/>
    <sheet name="CashflowDiagram" sheetId="9" r:id="rId4"/>
    <sheet name="LiveXccy1Y" sheetId="7" state="hidden" r:id="rId5"/>
    <sheet name="LiveXccy5Y" sheetId="8" state="hidden" r:id="rId6"/>
  </sheets>
  <definedNames>
    <definedName name="Annuity1">XccyPricing!$C$32</definedName>
    <definedName name="Annuity2">XccyPricing!$D$32</definedName>
    <definedName name="CSACurrency">XccyPricing!$C$11</definedName>
    <definedName name="DayCountBasis1">XccyPricing!$C$24</definedName>
    <definedName name="DayCountBasis2">XccyPricing!$D$24</definedName>
    <definedName name="EURDISCOUNTFACTORS">XccyPricing!$AH$6:$AI$49</definedName>
    <definedName name="EURDISCOUNTFACTORS_EURCSA">XccyPricing!$AH$6:$AI$49</definedName>
    <definedName name="EURDISCOUNTFACTORS_USDCSA">XccyPricing!$AN$6:$AO$49</definedName>
    <definedName name="EURIBOR3M">XccyPricing!$Y$6:$Z$49</definedName>
    <definedName name="FloatIndex1">XccyPricing!$C$19</definedName>
    <definedName name="FloatIndex2">XccyPricing!$D$19</definedName>
    <definedName name="FORWARDFX">XccyPricing!$AE$6:$AF$49</definedName>
    <definedName name="Frequency1">XccyPricing!$C$20</definedName>
    <definedName name="Frequency2">XccyPricing!$D$20</definedName>
    <definedName name="LegCurrency1">XccyPricing!$C$14</definedName>
    <definedName name="LegCurrency2">XccyPricing!$D$14</definedName>
    <definedName name="LegNotional1">XccyPricing!$C$15</definedName>
    <definedName name="LegNotional2">XccyPricing!$D$15</definedName>
    <definedName name="LegPV1">XccyPricing!$C$28</definedName>
    <definedName name="LegPV2">XccyPricing!$D$28</definedName>
    <definedName name="LegPVNoSpread1">XccyPricing!$C$30</definedName>
    <definedName name="LegPVNoSpread2">XccyPricing!$D$30</definedName>
    <definedName name="LegResetsRequired1">XccyPricing!$C$21</definedName>
    <definedName name="LegResetsRequired2">XccyPricing!$D$21</definedName>
    <definedName name="LegSpotFX1">XccyPricing!$C$22</definedName>
    <definedName name="LegSpotFX2">XccyPricing!$D$22</definedName>
    <definedName name="LegType1">XccyPricing!$C$17</definedName>
    <definedName name="LegType2">XccyPricing!$D$17</definedName>
    <definedName name="MaturityDate">XccyPricing!$D$5</definedName>
    <definedName name="MaturityYears">XccyPricing!$C$5</definedName>
    <definedName name="MTM">XccyPricing!$C$8</definedName>
    <definedName name="NotionalExchanges">XccyPricing!$C$9</definedName>
    <definedName name="NotionalExchanges1">XccyPricing!$C$31</definedName>
    <definedName name="NotionalExchanges2">XccyPricing!$D$31</definedName>
    <definedName name="ParRateOrSpread1">XccyPricing!$C$33</definedName>
    <definedName name="ParRateOrSpread2">XccyPricing!$D$33</definedName>
    <definedName name="PayReceive1">XccyPricing!$C$16</definedName>
    <definedName name="PayReceive2">XccyPricing!$D$16</definedName>
    <definedName name="_xlnm.Print_Area" localSheetId="0">XccyPricing!$B$3:$W$49</definedName>
    <definedName name="RateOrSpread1">XccyPricing!$C$18</definedName>
    <definedName name="RateOrSpread2">XccyPricing!$D$18</definedName>
    <definedName name="ResetCurrency">XccyPricing!$C$10</definedName>
    <definedName name="SpotFX">XccyPricing!$AF$6</definedName>
    <definedName name="SwapPV">XccyPricing!$C$29</definedName>
    <definedName name="TradeCurrency">XccyPricing!$C$7</definedName>
    <definedName name="TradeNotional">XccyPricing!$C$6</definedName>
    <definedName name="USDDISCOUNTFACTORS">XccyPricing!$AK$6:$AL$49</definedName>
    <definedName name="USDDISCOUNTFACTORS_EURCSA">XccyPricing!$AK$6:$AL$49</definedName>
    <definedName name="USDDISCOUNTFACTORS_USDCSA">XccyPricing!$AQ$6:$AR$49</definedName>
    <definedName name="USDEURFORWARDFX">XccyPricing!$AE$6:$AF$49</definedName>
    <definedName name="USDLIBOR3M">XccyPricing!$AB$6:$AC$49</definedName>
    <definedName name="UseMarketSchedule1">XccyPricing!$C$57</definedName>
    <definedName name="UseMarketSchedule2">XccyPricing!$D$57</definedName>
    <definedName name="ValuationCurrency">XccyPricing!$C$12</definedName>
    <definedName name="ValuationFXAdj1">XccyPricing!$C$23</definedName>
    <definedName name="ValuationFXAdj2">XccyPricing!$D$23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D56" i="4" l="1"/>
  <c r="C56" i="4"/>
  <c r="D27" i="4"/>
  <c r="C27" i="4"/>
  <c r="C108" i="6" l="1"/>
  <c r="H105" i="6"/>
  <c r="G105" i="6"/>
  <c r="L78" i="6"/>
  <c r="F78" i="6"/>
  <c r="G78" i="6" s="1"/>
  <c r="F77" i="6"/>
  <c r="G77" i="6" s="1"/>
  <c r="J77" i="6" s="1"/>
  <c r="L77" i="6" s="1"/>
  <c r="F76" i="6"/>
  <c r="G76" i="6" s="1"/>
  <c r="G75" i="6"/>
  <c r="F75" i="6"/>
  <c r="F74" i="6"/>
  <c r="G74" i="6" s="1"/>
  <c r="L68" i="6"/>
  <c r="G68" i="6"/>
  <c r="E68" i="6"/>
  <c r="E67" i="6"/>
  <c r="G67" i="6" s="1"/>
  <c r="J67" i="6" s="1"/>
  <c r="L67" i="6" s="1"/>
  <c r="G66" i="6"/>
  <c r="J66" i="6" s="1"/>
  <c r="L66" i="6" s="1"/>
  <c r="E66" i="6"/>
  <c r="E65" i="6"/>
  <c r="G65" i="6" s="1"/>
  <c r="E64" i="6"/>
  <c r="G64" i="6" s="1"/>
  <c r="J64" i="6" s="1"/>
  <c r="L64" i="6" s="1"/>
  <c r="F56" i="6"/>
  <c r="G56" i="6" s="1"/>
  <c r="H56" i="6" s="1"/>
  <c r="J56" i="6" s="1"/>
  <c r="J55" i="6"/>
  <c r="F55" i="6"/>
  <c r="G55" i="6" s="1"/>
  <c r="J54" i="6"/>
  <c r="G54" i="6"/>
  <c r="F54" i="6"/>
  <c r="J53" i="6"/>
  <c r="F53" i="6"/>
  <c r="G53" i="6" s="1"/>
  <c r="F52" i="6"/>
  <c r="G52" i="6" s="1"/>
  <c r="H52" i="6" s="1"/>
  <c r="J52" i="6" s="1"/>
  <c r="J57" i="6" s="1"/>
  <c r="F12" i="6" s="1"/>
  <c r="E46" i="6"/>
  <c r="G46" i="6" s="1"/>
  <c r="H46" i="6" s="1"/>
  <c r="J46" i="6" s="1"/>
  <c r="J45" i="6"/>
  <c r="E45" i="6"/>
  <c r="G45" i="6" s="1"/>
  <c r="J44" i="6"/>
  <c r="G44" i="6"/>
  <c r="E44" i="6"/>
  <c r="J43" i="6"/>
  <c r="E43" i="6"/>
  <c r="G43" i="6" s="1"/>
  <c r="E42" i="6"/>
  <c r="G42" i="6" s="1"/>
  <c r="H42" i="6" s="1"/>
  <c r="J42" i="6" s="1"/>
  <c r="G34" i="6"/>
  <c r="K34" i="6" s="1"/>
  <c r="M34" i="6" s="1"/>
  <c r="F34" i="6"/>
  <c r="F33" i="6"/>
  <c r="G33" i="6" s="1"/>
  <c r="F32" i="6"/>
  <c r="G32" i="6" s="1"/>
  <c r="G31" i="6"/>
  <c r="F31" i="6"/>
  <c r="E25" i="6"/>
  <c r="G25" i="6" s="1"/>
  <c r="G24" i="6"/>
  <c r="N24" i="6" s="1"/>
  <c r="E24" i="6"/>
  <c r="G23" i="6"/>
  <c r="N23" i="6" s="1"/>
  <c r="E23" i="6"/>
  <c r="E22" i="6"/>
  <c r="G22" i="6" s="1"/>
  <c r="D51" i="5"/>
  <c r="B51" i="5"/>
  <c r="D50" i="5"/>
  <c r="B50" i="5"/>
  <c r="D49" i="5"/>
  <c r="F49" i="5" s="1"/>
  <c r="G49" i="5" s="1"/>
  <c r="C49" i="5"/>
  <c r="B49" i="5"/>
  <c r="D48" i="5"/>
  <c r="B48" i="5"/>
  <c r="B47" i="5"/>
  <c r="F43" i="5"/>
  <c r="C43" i="5"/>
  <c r="B43" i="5"/>
  <c r="F42" i="5"/>
  <c r="E42" i="5"/>
  <c r="G42" i="5" s="1"/>
  <c r="C42" i="5"/>
  <c r="C50" i="5" s="1"/>
  <c r="B42" i="5"/>
  <c r="H42" i="5" s="1"/>
  <c r="F41" i="5"/>
  <c r="D41" i="5"/>
  <c r="C41" i="5"/>
  <c r="E41" i="5" s="1"/>
  <c r="B41" i="5"/>
  <c r="F40" i="5"/>
  <c r="C40" i="5"/>
  <c r="B40" i="5"/>
  <c r="B39" i="5"/>
  <c r="E34" i="5"/>
  <c r="F34" i="5" s="1"/>
  <c r="D34" i="5"/>
  <c r="C34" i="5"/>
  <c r="B34" i="5"/>
  <c r="D33" i="5"/>
  <c r="C33" i="5"/>
  <c r="B33" i="5"/>
  <c r="E33" i="5" s="1"/>
  <c r="D32" i="5"/>
  <c r="E32" i="5" s="1"/>
  <c r="F32" i="5" s="1"/>
  <c r="C32" i="5"/>
  <c r="B32" i="5"/>
  <c r="D31" i="5"/>
  <c r="C31" i="5"/>
  <c r="B31" i="5"/>
  <c r="E31" i="5" s="1"/>
  <c r="F31" i="5" s="1"/>
  <c r="E25" i="5"/>
  <c r="D25" i="5"/>
  <c r="F25" i="5" s="1"/>
  <c r="B25" i="5"/>
  <c r="E24" i="5"/>
  <c r="D24" i="5"/>
  <c r="F24" i="5" s="1"/>
  <c r="B24" i="5"/>
  <c r="E23" i="5"/>
  <c r="D23" i="5"/>
  <c r="F23" i="5" s="1"/>
  <c r="B23" i="5"/>
  <c r="E22" i="5"/>
  <c r="D22" i="5"/>
  <c r="F22" i="5" s="1"/>
  <c r="B22" i="5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G30" i="4"/>
  <c r="AF29" i="4"/>
  <c r="D29" i="4"/>
  <c r="AF28" i="4"/>
  <c r="R28" i="4"/>
  <c r="AF27" i="4"/>
  <c r="AF26" i="4"/>
  <c r="AF25" i="4"/>
  <c r="AF24" i="4"/>
  <c r="AF23" i="4"/>
  <c r="D23" i="4"/>
  <c r="AF22" i="4"/>
  <c r="AF21" i="4"/>
  <c r="AF20" i="4"/>
  <c r="AF19" i="4"/>
  <c r="D19" i="4"/>
  <c r="C19" i="4"/>
  <c r="AF18" i="4"/>
  <c r="AF17" i="4"/>
  <c r="AF16" i="4"/>
  <c r="AF15" i="4"/>
  <c r="D15" i="4"/>
  <c r="P29" i="4" s="1"/>
  <c r="C15" i="4"/>
  <c r="P5" i="4" s="1"/>
  <c r="S5" i="4" s="1"/>
  <c r="AF14" i="4"/>
  <c r="AF13" i="4"/>
  <c r="D13" i="4"/>
  <c r="C13" i="4"/>
  <c r="C22" i="4" s="1"/>
  <c r="AF12" i="4"/>
  <c r="AF11" i="4"/>
  <c r="AF10" i="4"/>
  <c r="D10" i="4"/>
  <c r="C21" i="4" s="1"/>
  <c r="AF9" i="4"/>
  <c r="AK8" i="4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F8" i="4"/>
  <c r="AN7" i="4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K7" i="4"/>
  <c r="AF7" i="4"/>
  <c r="Y7" i="4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AQ6" i="4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N6" i="4"/>
  <c r="AK6" i="4"/>
  <c r="AH6" i="4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B6" i="4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Y6" i="4"/>
  <c r="G6" i="4"/>
  <c r="F6" i="4" s="1"/>
  <c r="D5" i="4"/>
  <c r="R4" i="4"/>
  <c r="K22" i="6" l="1"/>
  <c r="M22" i="6" s="1"/>
  <c r="N22" i="6"/>
  <c r="K33" i="6"/>
  <c r="M33" i="6" s="1"/>
  <c r="N33" i="6"/>
  <c r="K32" i="6"/>
  <c r="M32" i="6" s="1"/>
  <c r="N32" i="6"/>
  <c r="K23" i="6"/>
  <c r="M23" i="6" s="1"/>
  <c r="F33" i="5"/>
  <c r="N34" i="6"/>
  <c r="K24" i="6"/>
  <c r="M24" i="6" s="1"/>
  <c r="J65" i="6"/>
  <c r="L65" i="6" s="1"/>
  <c r="L69" i="6" s="1"/>
  <c r="C13" i="6" s="1"/>
  <c r="J74" i="6"/>
  <c r="L74" i="6" s="1"/>
  <c r="L79" i="6" s="1"/>
  <c r="F13" i="6" s="1"/>
  <c r="H49" i="5"/>
  <c r="G41" i="5"/>
  <c r="H41" i="5" s="1"/>
  <c r="R6" i="4"/>
  <c r="N6" i="4"/>
  <c r="O6" i="4" s="1"/>
  <c r="J76" i="6"/>
  <c r="L76" i="6" s="1"/>
  <c r="H6" i="4"/>
  <c r="J47" i="6"/>
  <c r="C12" i="6" s="1"/>
  <c r="H30" i="4"/>
  <c r="F30" i="4"/>
  <c r="K29" i="4"/>
  <c r="K25" i="6"/>
  <c r="M25" i="6" s="1"/>
  <c r="M26" i="6" s="1"/>
  <c r="C11" i="6" s="1"/>
  <c r="N25" i="6"/>
  <c r="N26" i="6" s="1"/>
  <c r="C14" i="6" s="1"/>
  <c r="K5" i="4"/>
  <c r="C51" i="5"/>
  <c r="F51" i="5" s="1"/>
  <c r="G51" i="5" s="1"/>
  <c r="H51" i="5" s="1"/>
  <c r="E43" i="5"/>
  <c r="G43" i="5" s="1"/>
  <c r="H43" i="5" s="1"/>
  <c r="D43" i="5"/>
  <c r="C23" i="4"/>
  <c r="D22" i="4"/>
  <c r="S29" i="4"/>
  <c r="D21" i="4"/>
  <c r="N31" i="6"/>
  <c r="N35" i="6" s="1"/>
  <c r="F14" i="6" s="1"/>
  <c r="K31" i="6"/>
  <c r="M31" i="6" s="1"/>
  <c r="M35" i="6" s="1"/>
  <c r="F11" i="6" s="1"/>
  <c r="E40" i="5"/>
  <c r="G40" i="5" s="1"/>
  <c r="H40" i="5" s="1"/>
  <c r="D40" i="5"/>
  <c r="C48" i="5"/>
  <c r="F48" i="5" s="1"/>
  <c r="G48" i="5" s="1"/>
  <c r="H48" i="5" s="1"/>
  <c r="F50" i="5"/>
  <c r="G50" i="5" s="1"/>
  <c r="H50" i="5" s="1"/>
  <c r="J75" i="6"/>
  <c r="L75" i="6" s="1"/>
  <c r="D42" i="5"/>
  <c r="K30" i="4" l="1"/>
  <c r="I30" i="4"/>
  <c r="J30" i="4" s="1"/>
  <c r="G31" i="4"/>
  <c r="G7" i="4"/>
  <c r="K6" i="4"/>
  <c r="I6" i="4"/>
  <c r="J6" i="4" s="1"/>
  <c r="R30" i="4"/>
  <c r="N30" i="4"/>
  <c r="O30" i="4" s="1"/>
  <c r="C7" i="6"/>
  <c r="C6" i="6"/>
  <c r="C5" i="6" s="1"/>
  <c r="T29" i="4"/>
  <c r="T5" i="4"/>
  <c r="U5" i="4" l="1"/>
  <c r="V5" i="4" s="1"/>
  <c r="W5" i="4" s="1"/>
  <c r="U29" i="4"/>
  <c r="V29" i="4" s="1"/>
  <c r="W29" i="4" s="1"/>
  <c r="H31" i="4"/>
  <c r="F31" i="4"/>
  <c r="M6" i="4"/>
  <c r="P6" i="4"/>
  <c r="Q6" i="4" s="1"/>
  <c r="F7" i="4"/>
  <c r="H7" i="4"/>
  <c r="F6" i="6"/>
  <c r="F5" i="6"/>
  <c r="M30" i="4"/>
  <c r="T30" i="4"/>
  <c r="T6" i="4"/>
  <c r="R31" i="4" l="1"/>
  <c r="N31" i="4"/>
  <c r="O31" i="4" s="1"/>
  <c r="K7" i="4"/>
  <c r="G8" i="4"/>
  <c r="I7" i="4"/>
  <c r="J7" i="4" s="1"/>
  <c r="I31" i="4"/>
  <c r="J31" i="4" s="1"/>
  <c r="K31" i="4"/>
  <c r="G32" i="4"/>
  <c r="N7" i="4"/>
  <c r="O7" i="4" s="1"/>
  <c r="R7" i="4"/>
  <c r="S6" i="4"/>
  <c r="U6" i="4" s="1"/>
  <c r="V6" i="4" s="1"/>
  <c r="W6" i="4" s="1"/>
  <c r="H8" i="4" l="1"/>
  <c r="F8" i="4"/>
  <c r="M7" i="4"/>
  <c r="P7" i="4"/>
  <c r="M31" i="4"/>
  <c r="P30" i="4" s="1"/>
  <c r="F32" i="4"/>
  <c r="H32" i="4"/>
  <c r="T31" i="4"/>
  <c r="T7" i="4"/>
  <c r="Q7" i="4" l="1"/>
  <c r="S7" i="4" s="1"/>
  <c r="U7" i="4" s="1"/>
  <c r="V7" i="4" s="1"/>
  <c r="W7" i="4" s="1"/>
  <c r="N32" i="4"/>
  <c r="O32" i="4" s="1"/>
  <c r="R32" i="4"/>
  <c r="Q30" i="4"/>
  <c r="S30" i="4" s="1"/>
  <c r="U30" i="4" s="1"/>
  <c r="V30" i="4" s="1"/>
  <c r="R8" i="4"/>
  <c r="N8" i="4"/>
  <c r="O8" i="4" s="1"/>
  <c r="K32" i="4"/>
  <c r="G33" i="4"/>
  <c r="I32" i="4"/>
  <c r="J32" i="4" s="1"/>
  <c r="I8" i="4"/>
  <c r="J8" i="4" s="1"/>
  <c r="K8" i="4"/>
  <c r="G9" i="4"/>
  <c r="W30" i="4" l="1"/>
  <c r="H33" i="4"/>
  <c r="F33" i="4"/>
  <c r="H9" i="4"/>
  <c r="F9" i="4"/>
  <c r="M32" i="4"/>
  <c r="P31" i="4" s="1"/>
  <c r="P8" i="4"/>
  <c r="Q8" i="4" s="1"/>
  <c r="M8" i="4"/>
  <c r="T8" i="4"/>
  <c r="T32" i="4"/>
  <c r="S8" i="4" l="1"/>
  <c r="U8" i="4" s="1"/>
  <c r="V8" i="4" s="1"/>
  <c r="W8" i="4" s="1"/>
  <c r="G10" i="4"/>
  <c r="I9" i="4"/>
  <c r="J9" i="4" s="1"/>
  <c r="K9" i="4"/>
  <c r="N33" i="4"/>
  <c r="O33" i="4" s="1"/>
  <c r="R33" i="4"/>
  <c r="K33" i="4"/>
  <c r="G34" i="4"/>
  <c r="I33" i="4"/>
  <c r="J33" i="4" s="1"/>
  <c r="Q31" i="4"/>
  <c r="S31" i="4"/>
  <c r="U31" i="4" s="1"/>
  <c r="V31" i="4" s="1"/>
  <c r="W31" i="4" s="1"/>
  <c r="R9" i="4"/>
  <c r="N9" i="4"/>
  <c r="O9" i="4" s="1"/>
  <c r="F34" i="4" l="1"/>
  <c r="H34" i="4"/>
  <c r="M33" i="4"/>
  <c r="M9" i="4"/>
  <c r="P9" i="4"/>
  <c r="Q9" i="4" s="1"/>
  <c r="H10" i="4"/>
  <c r="F10" i="4"/>
  <c r="T9" i="4"/>
  <c r="T33" i="4"/>
  <c r="R10" i="4" l="1"/>
  <c r="N10" i="4"/>
  <c r="O10" i="4" s="1"/>
  <c r="K10" i="4"/>
  <c r="I10" i="4"/>
  <c r="J10" i="4" s="1"/>
  <c r="G11" i="4"/>
  <c r="K34" i="4"/>
  <c r="I34" i="4"/>
  <c r="J34" i="4" s="1"/>
  <c r="G35" i="4"/>
  <c r="S9" i="4"/>
  <c r="U9" i="4" s="1"/>
  <c r="V9" i="4" s="1"/>
  <c r="W9" i="4" s="1"/>
  <c r="R34" i="4"/>
  <c r="N34" i="4"/>
  <c r="O34" i="4" s="1"/>
  <c r="P32" i="4"/>
  <c r="H35" i="4" l="1"/>
  <c r="F35" i="4"/>
  <c r="Q32" i="4"/>
  <c r="S32" i="4" s="1"/>
  <c r="U32" i="4" s="1"/>
  <c r="V32" i="4" s="1"/>
  <c r="W32" i="4" s="1"/>
  <c r="M34" i="4"/>
  <c r="P10" i="4"/>
  <c r="Q10" i="4" s="1"/>
  <c r="M10" i="4"/>
  <c r="F11" i="4"/>
  <c r="H11" i="4"/>
  <c r="T34" i="4"/>
  <c r="T10" i="4"/>
  <c r="N11" i="4" l="1"/>
  <c r="O11" i="4" s="1"/>
  <c r="R11" i="4"/>
  <c r="R35" i="4"/>
  <c r="N35" i="4"/>
  <c r="O35" i="4" s="1"/>
  <c r="S10" i="4"/>
  <c r="U10" i="4" s="1"/>
  <c r="V10" i="4" s="1"/>
  <c r="W10" i="4" s="1"/>
  <c r="P33" i="4"/>
  <c r="G12" i="4"/>
  <c r="I11" i="4"/>
  <c r="J11" i="4" s="1"/>
  <c r="K11" i="4"/>
  <c r="I35" i="4"/>
  <c r="J35" i="4" s="1"/>
  <c r="G36" i="4"/>
  <c r="K35" i="4"/>
  <c r="P11" i="4" l="1"/>
  <c r="Q11" i="4" s="1"/>
  <c r="M11" i="4"/>
  <c r="M35" i="4"/>
  <c r="H12" i="4"/>
  <c r="F12" i="4"/>
  <c r="Q33" i="4"/>
  <c r="S33" i="4"/>
  <c r="U33" i="4" s="1"/>
  <c r="V33" i="4" s="1"/>
  <c r="W33" i="4" s="1"/>
  <c r="H36" i="4"/>
  <c r="F36" i="4"/>
  <c r="T11" i="4"/>
  <c r="T35" i="4"/>
  <c r="P34" i="4" l="1"/>
  <c r="R36" i="4"/>
  <c r="N36" i="4"/>
  <c r="O36" i="4" s="1"/>
  <c r="I36" i="4"/>
  <c r="J36" i="4" s="1"/>
  <c r="G37" i="4"/>
  <c r="K36" i="4"/>
  <c r="N12" i="4"/>
  <c r="O12" i="4" s="1"/>
  <c r="R12" i="4"/>
  <c r="I12" i="4"/>
  <c r="J12" i="4" s="1"/>
  <c r="K12" i="4"/>
  <c r="G13" i="4"/>
  <c r="S11" i="4"/>
  <c r="U11" i="4" s="1"/>
  <c r="V11" i="4" s="1"/>
  <c r="W11" i="4" s="1"/>
  <c r="H37" i="4" l="1"/>
  <c r="F37" i="4"/>
  <c r="F13" i="4"/>
  <c r="H13" i="4"/>
  <c r="P12" i="4"/>
  <c r="Q12" i="4" s="1"/>
  <c r="M12" i="4"/>
  <c r="M36" i="4"/>
  <c r="P35" i="4" s="1"/>
  <c r="Q34" i="4"/>
  <c r="S34" i="4" s="1"/>
  <c r="U34" i="4" s="1"/>
  <c r="V34" i="4" s="1"/>
  <c r="W34" i="4" s="1"/>
  <c r="T12" i="4"/>
  <c r="T36" i="4"/>
  <c r="S12" i="4" l="1"/>
  <c r="U12" i="4" s="1"/>
  <c r="V12" i="4" s="1"/>
  <c r="W12" i="4" s="1"/>
  <c r="Q35" i="4"/>
  <c r="S35" i="4"/>
  <c r="U35" i="4" s="1"/>
  <c r="V35" i="4" s="1"/>
  <c r="W35" i="4" s="1"/>
  <c r="R37" i="4"/>
  <c r="N37" i="4"/>
  <c r="O37" i="4" s="1"/>
  <c r="G14" i="4"/>
  <c r="I13" i="4"/>
  <c r="J13" i="4" s="1"/>
  <c r="K13" i="4"/>
  <c r="N13" i="4"/>
  <c r="O13" i="4" s="1"/>
  <c r="R13" i="4"/>
  <c r="G38" i="4"/>
  <c r="K37" i="4"/>
  <c r="I37" i="4"/>
  <c r="J37" i="4" s="1"/>
  <c r="F38" i="4" l="1"/>
  <c r="H38" i="4"/>
  <c r="H14" i="4"/>
  <c r="F14" i="4"/>
  <c r="M37" i="4"/>
  <c r="P36" i="4" s="1"/>
  <c r="P13" i="4"/>
  <c r="Q13" i="4" s="1"/>
  <c r="M13" i="4"/>
  <c r="T37" i="4"/>
  <c r="T13" i="4"/>
  <c r="Q36" i="4" l="1"/>
  <c r="S36" i="4"/>
  <c r="U36" i="4" s="1"/>
  <c r="V36" i="4" s="1"/>
  <c r="W36" i="4" s="1"/>
  <c r="R14" i="4"/>
  <c r="N14" i="4"/>
  <c r="O14" i="4" s="1"/>
  <c r="I14" i="4"/>
  <c r="J14" i="4" s="1"/>
  <c r="G15" i="4"/>
  <c r="K14" i="4"/>
  <c r="S13" i="4"/>
  <c r="U13" i="4" s="1"/>
  <c r="V13" i="4" s="1"/>
  <c r="W13" i="4" s="1"/>
  <c r="K38" i="4"/>
  <c r="G39" i="4"/>
  <c r="I38" i="4"/>
  <c r="J38" i="4" s="1"/>
  <c r="N38" i="4"/>
  <c r="O38" i="4" s="1"/>
  <c r="R38" i="4"/>
  <c r="F15" i="4" l="1"/>
  <c r="H15" i="4"/>
  <c r="P14" i="4"/>
  <c r="Q14" i="4" s="1"/>
  <c r="M14" i="4"/>
  <c r="F39" i="4"/>
  <c r="H39" i="4"/>
  <c r="M38" i="4"/>
  <c r="P37" i="4" s="1"/>
  <c r="T14" i="4"/>
  <c r="T38" i="4"/>
  <c r="N39" i="4" l="1"/>
  <c r="O39" i="4" s="1"/>
  <c r="R39" i="4"/>
  <c r="Q37" i="4"/>
  <c r="S37" i="4"/>
  <c r="U37" i="4" s="1"/>
  <c r="V37" i="4" s="1"/>
  <c r="W37" i="4" s="1"/>
  <c r="S14" i="4"/>
  <c r="U14" i="4" s="1"/>
  <c r="V14" i="4" s="1"/>
  <c r="W14" i="4" s="1"/>
  <c r="K15" i="4"/>
  <c r="I15" i="4"/>
  <c r="J15" i="4" s="1"/>
  <c r="G16" i="4"/>
  <c r="I39" i="4"/>
  <c r="J39" i="4" s="1"/>
  <c r="K39" i="4"/>
  <c r="G40" i="4"/>
  <c r="N15" i="4"/>
  <c r="O15" i="4" s="1"/>
  <c r="R15" i="4"/>
  <c r="P15" i="4" l="1"/>
  <c r="Q15" i="4" s="1"/>
  <c r="M15" i="4"/>
  <c r="H40" i="4"/>
  <c r="F40" i="4"/>
  <c r="M39" i="4"/>
  <c r="P38" i="4" s="1"/>
  <c r="H16" i="4"/>
  <c r="F16" i="4"/>
  <c r="T39" i="4"/>
  <c r="T15" i="4"/>
  <c r="K40" i="4" l="1"/>
  <c r="I40" i="4"/>
  <c r="J40" i="4" s="1"/>
  <c r="G41" i="4"/>
  <c r="N40" i="4"/>
  <c r="O40" i="4" s="1"/>
  <c r="R40" i="4"/>
  <c r="N16" i="4"/>
  <c r="O16" i="4" s="1"/>
  <c r="R16" i="4"/>
  <c r="I16" i="4"/>
  <c r="J16" i="4" s="1"/>
  <c r="K16" i="4"/>
  <c r="G17" i="4"/>
  <c r="Q38" i="4"/>
  <c r="S38" i="4"/>
  <c r="U38" i="4" s="1"/>
  <c r="V38" i="4" s="1"/>
  <c r="W38" i="4" s="1"/>
  <c r="S15" i="4"/>
  <c r="U15" i="4" s="1"/>
  <c r="V15" i="4" s="1"/>
  <c r="W15" i="4" s="1"/>
  <c r="H41" i="4" l="1"/>
  <c r="F41" i="4"/>
  <c r="H17" i="4"/>
  <c r="F17" i="4"/>
  <c r="M16" i="4"/>
  <c r="P16" i="4"/>
  <c r="Q16" i="4" s="1"/>
  <c r="M40" i="4"/>
  <c r="P39" i="4" s="1"/>
  <c r="T40" i="4"/>
  <c r="T16" i="4"/>
  <c r="R17" i="4" l="1"/>
  <c r="N17" i="4"/>
  <c r="O17" i="4" s="1"/>
  <c r="Q39" i="4"/>
  <c r="S39" i="4"/>
  <c r="U39" i="4" s="1"/>
  <c r="V39" i="4" s="1"/>
  <c r="W39" i="4" s="1"/>
  <c r="K17" i="4"/>
  <c r="G18" i="4"/>
  <c r="I17" i="4"/>
  <c r="J17" i="4" s="1"/>
  <c r="N41" i="4"/>
  <c r="O41" i="4" s="1"/>
  <c r="R41" i="4"/>
  <c r="S16" i="4"/>
  <c r="U16" i="4" s="1"/>
  <c r="V16" i="4" s="1"/>
  <c r="W16" i="4" s="1"/>
  <c r="K41" i="4"/>
  <c r="G42" i="4"/>
  <c r="I41" i="4"/>
  <c r="J41" i="4" s="1"/>
  <c r="H18" i="4" l="1"/>
  <c r="F18" i="4"/>
  <c r="M17" i="4"/>
  <c r="P17" i="4"/>
  <c r="Q17" i="4" s="1"/>
  <c r="F42" i="4"/>
  <c r="H42" i="4"/>
  <c r="M41" i="4"/>
  <c r="P40" i="4" s="1"/>
  <c r="T41" i="4"/>
  <c r="T17" i="4"/>
  <c r="R42" i="4" l="1"/>
  <c r="N42" i="4"/>
  <c r="O42" i="4" s="1"/>
  <c r="S17" i="4"/>
  <c r="U17" i="4" s="1"/>
  <c r="V17" i="4" s="1"/>
  <c r="W17" i="4" s="1"/>
  <c r="Q40" i="4"/>
  <c r="S40" i="4" s="1"/>
  <c r="U40" i="4" s="1"/>
  <c r="V40" i="4" s="1"/>
  <c r="W40" i="4" s="1"/>
  <c r="R18" i="4"/>
  <c r="N18" i="4"/>
  <c r="O18" i="4" s="1"/>
  <c r="K42" i="4"/>
  <c r="I42" i="4"/>
  <c r="J42" i="4" s="1"/>
  <c r="G43" i="4"/>
  <c r="K18" i="4"/>
  <c r="G19" i="4"/>
  <c r="I18" i="4"/>
  <c r="J18" i="4" s="1"/>
  <c r="P18" i="4" l="1"/>
  <c r="Q18" i="4" s="1"/>
  <c r="M18" i="4"/>
  <c r="H43" i="4"/>
  <c r="F43" i="4"/>
  <c r="M42" i="4"/>
  <c r="P41" i="4" s="1"/>
  <c r="H19" i="4"/>
  <c r="F19" i="4"/>
  <c r="T42" i="4"/>
  <c r="T18" i="4"/>
  <c r="I43" i="4" l="1"/>
  <c r="J43" i="4" s="1"/>
  <c r="G44" i="4"/>
  <c r="K43" i="4"/>
  <c r="R43" i="4"/>
  <c r="N43" i="4"/>
  <c r="O43" i="4" s="1"/>
  <c r="N19" i="4"/>
  <c r="O19" i="4" s="1"/>
  <c r="R19" i="4"/>
  <c r="G20" i="4"/>
  <c r="K19" i="4"/>
  <c r="I19" i="4"/>
  <c r="J19" i="4" s="1"/>
  <c r="S18" i="4"/>
  <c r="U18" i="4" s="1"/>
  <c r="V18" i="4" s="1"/>
  <c r="W18" i="4" s="1"/>
  <c r="Q41" i="4"/>
  <c r="S41" i="4" s="1"/>
  <c r="U41" i="4" s="1"/>
  <c r="V41" i="4" s="1"/>
  <c r="W41" i="4" s="1"/>
  <c r="M43" i="4" l="1"/>
  <c r="P42" i="4" s="1"/>
  <c r="F20" i="4"/>
  <c r="H20" i="4"/>
  <c r="H44" i="4"/>
  <c r="F44" i="4"/>
  <c r="P19" i="4"/>
  <c r="Q19" i="4" s="1"/>
  <c r="M19" i="4"/>
  <c r="S19" i="4" s="1"/>
  <c r="T19" i="4"/>
  <c r="T43" i="4"/>
  <c r="U19" i="4" l="1"/>
  <c r="V19" i="4" s="1"/>
  <c r="W19" i="4" s="1"/>
  <c r="N20" i="4"/>
  <c r="O20" i="4" s="1"/>
  <c r="R20" i="4"/>
  <c r="I44" i="4"/>
  <c r="J44" i="4" s="1"/>
  <c r="G45" i="4"/>
  <c r="K44" i="4"/>
  <c r="K20" i="4"/>
  <c r="I20" i="4"/>
  <c r="J20" i="4" s="1"/>
  <c r="G21" i="4"/>
  <c r="Q42" i="4"/>
  <c r="S42" i="4"/>
  <c r="U42" i="4" s="1"/>
  <c r="V42" i="4" s="1"/>
  <c r="W42" i="4" s="1"/>
  <c r="R44" i="4"/>
  <c r="N44" i="4"/>
  <c r="O44" i="4" s="1"/>
  <c r="P20" i="4" l="1"/>
  <c r="Q20" i="4" s="1"/>
  <c r="M20" i="4"/>
  <c r="S20" i="4"/>
  <c r="H45" i="4"/>
  <c r="F45" i="4"/>
  <c r="M44" i="4"/>
  <c r="P43" i="4" s="1"/>
  <c r="H21" i="4"/>
  <c r="F21" i="4"/>
  <c r="T20" i="4"/>
  <c r="T44" i="4"/>
  <c r="U20" i="4" l="1"/>
  <c r="V20" i="4" s="1"/>
  <c r="W20" i="4" s="1"/>
  <c r="G46" i="4"/>
  <c r="K45" i="4"/>
  <c r="I45" i="4"/>
  <c r="J45" i="4" s="1"/>
  <c r="R21" i="4"/>
  <c r="N21" i="4"/>
  <c r="O21" i="4" s="1"/>
  <c r="Q43" i="4"/>
  <c r="S43" i="4" s="1"/>
  <c r="U43" i="4" s="1"/>
  <c r="V43" i="4" s="1"/>
  <c r="W43" i="4" s="1"/>
  <c r="R45" i="4"/>
  <c r="N45" i="4"/>
  <c r="O45" i="4" s="1"/>
  <c r="K21" i="4"/>
  <c r="G22" i="4"/>
  <c r="I21" i="4"/>
  <c r="J21" i="4" s="1"/>
  <c r="H22" i="4" l="1"/>
  <c r="F22" i="4"/>
  <c r="M21" i="4"/>
  <c r="P21" i="4"/>
  <c r="Q21" i="4" s="1"/>
  <c r="M45" i="4"/>
  <c r="P44" i="4" s="1"/>
  <c r="F46" i="4"/>
  <c r="H46" i="4"/>
  <c r="T45" i="4"/>
  <c r="T21" i="4"/>
  <c r="K46" i="4" l="1"/>
  <c r="I46" i="4"/>
  <c r="J46" i="4" s="1"/>
  <c r="G47" i="4"/>
  <c r="S21" i="4"/>
  <c r="U21" i="4" s="1"/>
  <c r="V21" i="4" s="1"/>
  <c r="W21" i="4" s="1"/>
  <c r="N46" i="4"/>
  <c r="O46" i="4" s="1"/>
  <c r="R46" i="4"/>
  <c r="Q44" i="4"/>
  <c r="S44" i="4"/>
  <c r="U44" i="4" s="1"/>
  <c r="V44" i="4" s="1"/>
  <c r="W44" i="4" s="1"/>
  <c r="R22" i="4"/>
  <c r="N22" i="4"/>
  <c r="O22" i="4" s="1"/>
  <c r="I22" i="4"/>
  <c r="J22" i="4" s="1"/>
  <c r="G23" i="4"/>
  <c r="K22" i="4"/>
  <c r="P22" i="4" l="1"/>
  <c r="Q22" i="4" s="1"/>
  <c r="M22" i="4"/>
  <c r="S22" i="4" s="1"/>
  <c r="F23" i="4"/>
  <c r="H23" i="4"/>
  <c r="H47" i="4"/>
  <c r="F47" i="4"/>
  <c r="M46" i="4"/>
  <c r="P45" i="4" s="1"/>
  <c r="T46" i="4"/>
  <c r="T22" i="4"/>
  <c r="U22" i="4" l="1"/>
  <c r="V22" i="4" s="1"/>
  <c r="W22" i="4" s="1"/>
  <c r="I47" i="4"/>
  <c r="J47" i="4" s="1"/>
  <c r="G48" i="4"/>
  <c r="K47" i="4"/>
  <c r="Q45" i="4"/>
  <c r="S45" i="4" s="1"/>
  <c r="U45" i="4" s="1"/>
  <c r="V45" i="4" s="1"/>
  <c r="W45" i="4" s="1"/>
  <c r="N23" i="4"/>
  <c r="O23" i="4" s="1"/>
  <c r="R23" i="4"/>
  <c r="K23" i="4"/>
  <c r="G24" i="4"/>
  <c r="I23" i="4"/>
  <c r="J23" i="4" s="1"/>
  <c r="R47" i="4"/>
  <c r="N47" i="4"/>
  <c r="O47" i="4" s="1"/>
  <c r="H48" i="4" l="1"/>
  <c r="F48" i="4"/>
  <c r="M47" i="4"/>
  <c r="P46" i="4" s="1"/>
  <c r="H24" i="4"/>
  <c r="F24" i="4"/>
  <c r="M23" i="4"/>
  <c r="P23" i="4"/>
  <c r="Q23" i="4" s="1"/>
  <c r="T47" i="4"/>
  <c r="T23" i="4"/>
  <c r="K24" i="4" l="1"/>
  <c r="G25" i="4"/>
  <c r="I24" i="4"/>
  <c r="J24" i="4" s="1"/>
  <c r="Q46" i="4"/>
  <c r="S46" i="4"/>
  <c r="U46" i="4" s="1"/>
  <c r="V46" i="4" s="1"/>
  <c r="W46" i="4" s="1"/>
  <c r="S23" i="4"/>
  <c r="U23" i="4" s="1"/>
  <c r="V23" i="4" s="1"/>
  <c r="W23" i="4" s="1"/>
  <c r="R48" i="4"/>
  <c r="N48" i="4"/>
  <c r="O48" i="4" s="1"/>
  <c r="N24" i="4"/>
  <c r="O24" i="4" s="1"/>
  <c r="R24" i="4"/>
  <c r="I48" i="4"/>
  <c r="J48" i="4" s="1"/>
  <c r="G49" i="4"/>
  <c r="K48" i="4"/>
  <c r="F25" i="4" l="1"/>
  <c r="H25" i="4"/>
  <c r="M48" i="4"/>
  <c r="P47" i="4" s="1"/>
  <c r="H49" i="4"/>
  <c r="F49" i="4"/>
  <c r="M24" i="4"/>
  <c r="P24" i="4"/>
  <c r="Q24" i="4" s="1"/>
  <c r="T48" i="4"/>
  <c r="T24" i="4"/>
  <c r="K49" i="4" l="1"/>
  <c r="I49" i="4"/>
  <c r="J49" i="4" s="1"/>
  <c r="S24" i="4"/>
  <c r="U24" i="4" s="1"/>
  <c r="V24" i="4" s="1"/>
  <c r="W24" i="4" s="1"/>
  <c r="Q47" i="4"/>
  <c r="S47" i="4" s="1"/>
  <c r="U47" i="4" s="1"/>
  <c r="V47" i="4" s="1"/>
  <c r="W47" i="4" s="1"/>
  <c r="I25" i="4"/>
  <c r="J25" i="4" s="1"/>
  <c r="K25" i="4"/>
  <c r="R49" i="4"/>
  <c r="N49" i="4"/>
  <c r="O49" i="4" s="1"/>
  <c r="N25" i="4"/>
  <c r="O25" i="4" s="1"/>
  <c r="R25" i="4"/>
  <c r="M25" i="4" l="1"/>
  <c r="M49" i="4"/>
  <c r="T49" i="4"/>
  <c r="T25" i="4"/>
  <c r="P48" i="4" l="1"/>
  <c r="P49" i="4"/>
  <c r="P25" i="4"/>
  <c r="Q48" i="4" l="1"/>
  <c r="S48" i="4"/>
  <c r="U48" i="4" s="1"/>
  <c r="V48" i="4" s="1"/>
  <c r="Q25" i="4"/>
  <c r="C31" i="4"/>
  <c r="S25" i="4"/>
  <c r="U25" i="4" s="1"/>
  <c r="V25" i="4" s="1"/>
  <c r="Q49" i="4"/>
  <c r="S49" i="4"/>
  <c r="U49" i="4" s="1"/>
  <c r="V49" i="4" s="1"/>
  <c r="W49" i="4" s="1"/>
  <c r="D31" i="4" l="1"/>
  <c r="W25" i="4"/>
  <c r="C28" i="4" s="1"/>
  <c r="C30" i="4"/>
  <c r="C32" i="4"/>
  <c r="W48" i="4"/>
  <c r="D28" i="4" s="1"/>
  <c r="D32" i="4"/>
  <c r="D30" i="4"/>
  <c r="C33" i="4" l="1"/>
  <c r="C29" i="4"/>
  <c r="D33" i="4"/>
</calcChain>
</file>

<file path=xl/sharedStrings.xml><?xml version="1.0" encoding="utf-8"?>
<sst xmlns="http://schemas.openxmlformats.org/spreadsheetml/2006/main" count="761" uniqueCount="208">
  <si>
    <t>Date Schedules</t>
  </si>
  <si>
    <t>Market Data</t>
  </si>
  <si>
    <r>
      <t xml:space="preserve">Cross Currency Swap, </t>
    </r>
    <r>
      <rPr>
        <b/>
        <sz val="11"/>
        <color theme="1"/>
        <rFont val="Symbol"/>
        <family val="1"/>
        <charset val="2"/>
      </rPr>
      <t>W</t>
    </r>
    <r>
      <rPr>
        <b/>
        <vertAlign val="subscript"/>
        <sz val="11"/>
        <color theme="1"/>
        <rFont val="Calibri"/>
        <family val="2"/>
      </rPr>
      <t>Xccy</t>
    </r>
  </si>
  <si>
    <t>Leg1 - Date Schedule</t>
  </si>
  <si>
    <t>Leg1 - EUR Cashflows</t>
  </si>
  <si>
    <t>EUR EURIBOR 3M</t>
  </si>
  <si>
    <t>USD LIBOR 3M</t>
  </si>
  <si>
    <t>FwdFX(EUR/USD)</t>
  </si>
  <si>
    <t>EUR DiscFactors EUR CSA</t>
  </si>
  <si>
    <t>USD DiscFactors EUR CSA</t>
  </si>
  <si>
    <t>EUR DiscFactors USD CSA</t>
  </si>
  <si>
    <t>USD DiscFactors USD CSA</t>
  </si>
  <si>
    <t>TradeDate</t>
  </si>
  <si>
    <t>FixingDate</t>
  </si>
  <si>
    <t>AccrualStart</t>
  </si>
  <si>
    <t>AccrualEnd</t>
  </si>
  <si>
    <t>AccrualDays</t>
  </si>
  <si>
    <t>YearFraction</t>
  </si>
  <si>
    <t>PaymentDate</t>
  </si>
  <si>
    <t>Notional</t>
  </si>
  <si>
    <t>FXFixingDate</t>
  </si>
  <si>
    <t>ForwardFX</t>
  </si>
  <si>
    <t>NotionalExchange</t>
  </si>
  <si>
    <t>Spread</t>
  </si>
  <si>
    <t>Coupon</t>
  </si>
  <si>
    <t>DiscountFactor</t>
  </si>
  <si>
    <t>CouponPV</t>
  </si>
  <si>
    <t>SpotFX</t>
  </si>
  <si>
    <t>ValuationPV</t>
  </si>
  <si>
    <t>Maturity (Years)</t>
  </si>
  <si>
    <t>5Y</t>
  </si>
  <si>
    <t/>
  </si>
  <si>
    <t>FloatRate</t>
  </si>
  <si>
    <t>Trade Notional</t>
  </si>
  <si>
    <t>Spot</t>
  </si>
  <si>
    <t>Trade Currency</t>
  </si>
  <si>
    <t>USD</t>
  </si>
  <si>
    <t>MtM</t>
  </si>
  <si>
    <t>YES</t>
  </si>
  <si>
    <t>NotionalExchanges</t>
  </si>
  <si>
    <t>Reset Currency</t>
  </si>
  <si>
    <t>CSA Currency</t>
  </si>
  <si>
    <t>Valuation Currency</t>
  </si>
  <si>
    <t>LegCurrency</t>
  </si>
  <si>
    <t>EUR</t>
  </si>
  <si>
    <t>LegNotional</t>
  </si>
  <si>
    <t>PayOrReceive</t>
  </si>
  <si>
    <t>PAY</t>
  </si>
  <si>
    <t>RECEIVE</t>
  </si>
  <si>
    <t>LegType</t>
  </si>
  <si>
    <t>FLOATING</t>
  </si>
  <si>
    <t>RateOrSpread (%)</t>
  </si>
  <si>
    <t>FloatIndex</t>
  </si>
  <si>
    <t>Frequency</t>
  </si>
  <si>
    <t>QUARTERLY</t>
  </si>
  <si>
    <t>LegResetsRequired</t>
  </si>
  <si>
    <t>LegSpotFX</t>
  </si>
  <si>
    <t>ValuationFXAdj</t>
  </si>
  <si>
    <t>DaycountBasis</t>
  </si>
  <si>
    <t>ACT/360</t>
  </si>
  <si>
    <t>UseMarketSchedule</t>
  </si>
  <si>
    <t>NO</t>
  </si>
  <si>
    <t>Prices / ParSpreads</t>
  </si>
  <si>
    <t>Leg2 - Date Schedule</t>
  </si>
  <si>
    <t>Leg2 - USD Cashflows</t>
  </si>
  <si>
    <t>LegPV</t>
  </si>
  <si>
    <t>SwapPV</t>
  </si>
  <si>
    <t>LegPV* (s=0)</t>
  </si>
  <si>
    <t>PV01</t>
  </si>
  <si>
    <t>ParRateOrSpread (%)</t>
  </si>
  <si>
    <t>Live Market EUR/USD Par Spreads as at 26-Oct-2018</t>
  </si>
  <si>
    <t>Tenor</t>
  </si>
  <si>
    <t>EUR Spread (%)</t>
  </si>
  <si>
    <t>EUR Spread (bps)</t>
  </si>
  <si>
    <t>1Y</t>
  </si>
  <si>
    <t>2Y</t>
  </si>
  <si>
    <t>3Y</t>
  </si>
  <si>
    <t>4Y</t>
  </si>
  <si>
    <t>6Y</t>
  </si>
  <si>
    <t>7Y</t>
  </si>
  <si>
    <t>8Y</t>
  </si>
  <si>
    <t>9Y</t>
  </si>
  <si>
    <t>10Y</t>
  </si>
  <si>
    <t>15Y</t>
  </si>
  <si>
    <t>20Y</t>
  </si>
  <si>
    <t>30Y</t>
  </si>
  <si>
    <t>Live Market Trades as at 26-Oct-2018</t>
  </si>
  <si>
    <t>Market Schedule incorporating Holiday Conventions</t>
  </si>
  <si>
    <t>Par Spread calculation differences of approx 1 bps due to year fraction diffs from approx schedule</t>
  </si>
  <si>
    <t>Live Trade: XCCY 1Y</t>
  </si>
  <si>
    <t>ParSpread</t>
  </si>
  <si>
    <t>EUR/USD, MTM, USD 1MM, FLOAT-FLOAT with no Spreads</t>
  </si>
  <si>
    <t>Live Trade: XCCY 5Y</t>
  </si>
  <si>
    <t>Forward FX EUR/USD</t>
  </si>
  <si>
    <r>
      <t>s</t>
    </r>
    <r>
      <rPr>
        <vertAlign val="superscript"/>
        <sz val="11"/>
        <color rgb="FF006600"/>
        <rFont val="Calibri"/>
        <family val="2"/>
        <scheme val="minor"/>
      </rPr>
      <t>EUR/USD</t>
    </r>
  </si>
  <si>
    <r>
      <t>P(t</t>
    </r>
    <r>
      <rPr>
        <vertAlign val="subscript"/>
        <sz val="11"/>
        <color rgb="FF006600"/>
        <rFont val="Calibri"/>
        <family val="2"/>
        <scheme val="minor"/>
      </rPr>
      <t>0</t>
    </r>
    <r>
      <rPr>
        <sz val="11"/>
        <color rgb="FF006600"/>
        <rFont val="Calibri"/>
        <family val="2"/>
        <scheme val="minor"/>
      </rPr>
      <t>, t</t>
    </r>
    <r>
      <rPr>
        <vertAlign val="subscript"/>
        <sz val="11"/>
        <color rgb="FF006600"/>
        <rFont val="Calibri"/>
        <family val="2"/>
        <scheme val="minor"/>
      </rPr>
      <t>i</t>
    </r>
    <r>
      <rPr>
        <sz val="11"/>
        <color rgb="FF006600"/>
        <rFont val="Calibri"/>
        <family val="2"/>
        <scheme val="minor"/>
      </rPr>
      <t>)</t>
    </r>
    <r>
      <rPr>
        <vertAlign val="superscript"/>
        <sz val="11"/>
        <color rgb="FF006600"/>
        <rFont val="Calibri"/>
        <family val="2"/>
        <scheme val="minor"/>
      </rPr>
      <t>EUR_USDCSA</t>
    </r>
  </si>
  <si>
    <r>
      <t>P(t</t>
    </r>
    <r>
      <rPr>
        <vertAlign val="subscript"/>
        <sz val="11"/>
        <color rgb="FF006600"/>
        <rFont val="Calibri"/>
        <family val="2"/>
        <scheme val="minor"/>
      </rPr>
      <t>0</t>
    </r>
    <r>
      <rPr>
        <sz val="11"/>
        <color rgb="FF006600"/>
        <rFont val="Calibri"/>
        <family val="2"/>
        <scheme val="minor"/>
      </rPr>
      <t>, t</t>
    </r>
    <r>
      <rPr>
        <vertAlign val="subscript"/>
        <sz val="11"/>
        <color rgb="FF006600"/>
        <rFont val="Calibri"/>
        <family val="2"/>
        <scheme val="minor"/>
      </rPr>
      <t>i</t>
    </r>
    <r>
      <rPr>
        <sz val="11"/>
        <color rgb="FF006600"/>
        <rFont val="Calibri"/>
        <family val="2"/>
        <scheme val="minor"/>
      </rPr>
      <t>)</t>
    </r>
    <r>
      <rPr>
        <vertAlign val="superscript"/>
        <sz val="11"/>
        <color rgb="FF006600"/>
        <rFont val="Calibri"/>
        <family val="2"/>
        <scheme val="minor"/>
      </rPr>
      <t>USD_USDCSA</t>
    </r>
  </si>
  <si>
    <r>
      <t>f(t</t>
    </r>
    <r>
      <rPr>
        <vertAlign val="subscript"/>
        <sz val="11"/>
        <color rgb="FF006600"/>
        <rFont val="Calibri"/>
        <family val="2"/>
        <scheme val="minor"/>
      </rPr>
      <t>i</t>
    </r>
    <r>
      <rPr>
        <sz val="11"/>
        <color rgb="FF006600"/>
        <rFont val="Calibri"/>
        <family val="2"/>
        <scheme val="minor"/>
      </rPr>
      <t>)</t>
    </r>
    <r>
      <rPr>
        <vertAlign val="superscript"/>
        <sz val="11"/>
        <color rgb="FF006600"/>
        <rFont val="Calibri"/>
        <family val="2"/>
        <scheme val="minor"/>
      </rPr>
      <t>USD/EUR</t>
    </r>
  </si>
  <si>
    <t>USD Notional Resets</t>
  </si>
  <si>
    <r>
      <t>Notional</t>
    </r>
    <r>
      <rPr>
        <vertAlign val="superscript"/>
        <sz val="11"/>
        <color rgb="FF006600"/>
        <rFont val="Calibri"/>
        <family val="2"/>
        <scheme val="minor"/>
      </rPr>
      <t>EUR</t>
    </r>
  </si>
  <si>
    <r>
      <t>Notional</t>
    </r>
    <r>
      <rPr>
        <vertAlign val="superscript"/>
        <sz val="11"/>
        <color rgb="FF006600"/>
        <rFont val="Calibri"/>
        <family val="2"/>
        <scheme val="minor"/>
      </rPr>
      <t>USD</t>
    </r>
  </si>
  <si>
    <r>
      <t>NotionalReset</t>
    </r>
    <r>
      <rPr>
        <vertAlign val="superscript"/>
        <sz val="11"/>
        <color rgb="FF006600"/>
        <rFont val="Calibri"/>
        <family val="2"/>
        <scheme val="minor"/>
      </rPr>
      <t>USD</t>
    </r>
  </si>
  <si>
    <r>
      <t>Notional Scaling Factor,</t>
    </r>
    <r>
      <rPr>
        <b/>
        <sz val="11"/>
        <color theme="1"/>
        <rFont val="Symbol"/>
        <family val="1"/>
        <charset val="2"/>
      </rPr>
      <t xml:space="preserve"> y</t>
    </r>
    <r>
      <rPr>
        <b/>
        <sz val="11"/>
        <color theme="1"/>
        <rFont val="Calibri"/>
        <family val="2"/>
        <scheme val="minor"/>
      </rPr>
      <t>(t,EUR)</t>
    </r>
  </si>
  <si>
    <r>
      <t>s</t>
    </r>
    <r>
      <rPr>
        <vertAlign val="superscript"/>
        <sz val="11"/>
        <color rgb="FF006600"/>
        <rFont val="Calibri"/>
        <family val="2"/>
        <scheme val="minor"/>
      </rPr>
      <t>USD/EUR</t>
    </r>
  </si>
  <si>
    <r>
      <t>f(t)</t>
    </r>
    <r>
      <rPr>
        <vertAlign val="superscript"/>
        <sz val="11"/>
        <color rgb="FF006600"/>
        <rFont val="Calibri"/>
        <family val="2"/>
        <scheme val="minor"/>
      </rPr>
      <t>USDEUR</t>
    </r>
  </si>
  <si>
    <r>
      <t>a</t>
    </r>
    <r>
      <rPr>
        <sz val="11"/>
        <color rgb="FF006600"/>
        <rFont val="Calibri"/>
        <family val="2"/>
        <scheme val="minor"/>
      </rPr>
      <t>(t,EUR)</t>
    </r>
  </si>
  <si>
    <r>
      <t>b</t>
    </r>
    <r>
      <rPr>
        <sz val="11"/>
        <color rgb="FF006600"/>
        <rFont val="Calibri"/>
        <family val="2"/>
        <scheme val="minor"/>
      </rPr>
      <t>(t,EUR)</t>
    </r>
  </si>
  <si>
    <r>
      <rPr>
        <sz val="11"/>
        <color rgb="FF006600"/>
        <rFont val="Symbol"/>
        <family val="1"/>
        <charset val="2"/>
      </rPr>
      <t>y</t>
    </r>
    <r>
      <rPr>
        <sz val="11"/>
        <color rgb="FF006600"/>
        <rFont val="Calibri"/>
        <family val="2"/>
        <scheme val="minor"/>
      </rPr>
      <t>(t,EUR)</t>
    </r>
  </si>
  <si>
    <t>NotionalAdj</t>
  </si>
  <si>
    <r>
      <t>Notional Scaling Factor,</t>
    </r>
    <r>
      <rPr>
        <b/>
        <sz val="11"/>
        <color theme="1"/>
        <rFont val="Symbol"/>
        <family val="1"/>
        <charset val="2"/>
      </rPr>
      <t xml:space="preserve"> y</t>
    </r>
    <r>
      <rPr>
        <b/>
        <sz val="11"/>
        <color theme="1"/>
        <rFont val="Calibri"/>
        <family val="2"/>
        <scheme val="minor"/>
      </rPr>
      <t>(t,USD)</t>
    </r>
  </si>
  <si>
    <r>
      <t>a</t>
    </r>
    <r>
      <rPr>
        <sz val="11"/>
        <color rgb="FF006600"/>
        <rFont val="Calibri"/>
        <family val="2"/>
        <scheme val="minor"/>
      </rPr>
      <t>(t,USD)</t>
    </r>
  </si>
  <si>
    <r>
      <t>b</t>
    </r>
    <r>
      <rPr>
        <sz val="11"/>
        <color rgb="FF006600"/>
        <rFont val="Calibri"/>
        <family val="2"/>
        <scheme val="minor"/>
      </rPr>
      <t>(t,USD)</t>
    </r>
  </si>
  <si>
    <r>
      <rPr>
        <sz val="11"/>
        <color rgb="FF006600"/>
        <rFont val="Symbol"/>
        <family val="1"/>
        <charset val="2"/>
      </rPr>
      <t>y</t>
    </r>
    <r>
      <rPr>
        <sz val="11"/>
        <color rgb="FF006600"/>
        <rFont val="Calibri"/>
        <family val="2"/>
        <scheme val="minor"/>
      </rPr>
      <t>(t,USD)</t>
    </r>
  </si>
  <si>
    <t>PRICE BREAKDOWN</t>
  </si>
  <si>
    <r>
      <t xml:space="preserve">CCS Trade, </t>
    </r>
    <r>
      <rPr>
        <b/>
        <sz val="11"/>
        <color theme="1"/>
        <rFont val="Symbol"/>
        <family val="1"/>
        <charset val="2"/>
      </rPr>
      <t>W</t>
    </r>
    <r>
      <rPr>
        <b/>
        <vertAlign val="subscript"/>
        <sz val="11"/>
        <color theme="1"/>
        <rFont val="Calibri"/>
        <family val="2"/>
        <scheme val="minor"/>
      </rPr>
      <t>xccy</t>
    </r>
  </si>
  <si>
    <t>Breakeven - Par Spreads, s</t>
  </si>
  <si>
    <r>
      <t>PV(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xccy</t>
    </r>
    <r>
      <rPr>
        <sz val="11"/>
        <color theme="1"/>
        <rFont val="Calibri"/>
        <family val="2"/>
        <scheme val="minor"/>
      </rPr>
      <t>)</t>
    </r>
  </si>
  <si>
    <r>
      <t>ParSpread, s</t>
    </r>
    <r>
      <rPr>
        <vertAlign val="subscript"/>
        <sz val="11"/>
        <color theme="1"/>
        <rFont val="Calibri"/>
        <family val="2"/>
        <scheme val="minor"/>
      </rPr>
      <t>EUR</t>
    </r>
  </si>
  <si>
    <r>
      <t>PV(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EUR</t>
    </r>
    <r>
      <rPr>
        <sz val="11"/>
        <color theme="1"/>
        <rFont val="Calibri"/>
        <family val="2"/>
        <scheme val="minor"/>
      </rPr>
      <t>)</t>
    </r>
  </si>
  <si>
    <r>
      <t>ParSpread, s</t>
    </r>
    <r>
      <rPr>
        <vertAlign val="subscript"/>
        <sz val="11"/>
        <color theme="1"/>
        <rFont val="Calibri"/>
        <family val="2"/>
        <scheme val="minor"/>
      </rPr>
      <t>USD</t>
    </r>
  </si>
  <si>
    <r>
      <t>PV(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USD</t>
    </r>
    <r>
      <rPr>
        <sz val="11"/>
        <color theme="1"/>
        <rFont val="Calibri"/>
        <family val="2"/>
        <scheme val="minor"/>
      </rPr>
      <t>)</t>
    </r>
  </si>
  <si>
    <r>
      <t xml:space="preserve">Leg1 Breakdown: </t>
    </r>
    <r>
      <rPr>
        <b/>
        <sz val="11"/>
        <color theme="1"/>
        <rFont val="Symbol"/>
        <family val="1"/>
        <charset val="2"/>
      </rPr>
      <t>W</t>
    </r>
    <r>
      <rPr>
        <b/>
        <vertAlign val="subscript"/>
        <sz val="11"/>
        <color theme="1"/>
        <rFont val="Calibri"/>
        <family val="2"/>
        <scheme val="minor"/>
      </rPr>
      <t>EUR</t>
    </r>
  </si>
  <si>
    <r>
      <t xml:space="preserve">Leg2 Breakdown: </t>
    </r>
    <r>
      <rPr>
        <b/>
        <sz val="11"/>
        <color theme="1"/>
        <rFont val="Symbol"/>
        <family val="1"/>
        <charset val="2"/>
      </rPr>
      <t>W</t>
    </r>
    <r>
      <rPr>
        <b/>
        <vertAlign val="subscript"/>
        <sz val="11"/>
        <color theme="1"/>
        <rFont val="Calibri"/>
        <family val="2"/>
        <scheme val="minor"/>
      </rPr>
      <t>USD</t>
    </r>
  </si>
  <si>
    <r>
      <t xml:space="preserve">PV(Cpn, 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EUR</t>
    </r>
    <r>
      <rPr>
        <sz val="11"/>
        <color theme="1"/>
        <rFont val="Calibri"/>
        <family val="2"/>
        <scheme val="minor"/>
      </rPr>
      <t>)</t>
    </r>
  </si>
  <si>
    <r>
      <t xml:space="preserve">PV(Cpn, 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USD</t>
    </r>
    <r>
      <rPr>
        <sz val="11"/>
        <color theme="1"/>
        <rFont val="Calibri"/>
        <family val="2"/>
        <scheme val="minor"/>
      </rPr>
      <t>)</t>
    </r>
  </si>
  <si>
    <r>
      <t xml:space="preserve">PV(Exch, 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EUR</t>
    </r>
    <r>
      <rPr>
        <sz val="11"/>
        <color theme="1"/>
        <rFont val="Calibri"/>
        <family val="2"/>
        <scheme val="minor"/>
      </rPr>
      <t>)</t>
    </r>
  </si>
  <si>
    <r>
      <t xml:space="preserve">PV(Exch, 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USD</t>
    </r>
    <r>
      <rPr>
        <sz val="11"/>
        <color theme="1"/>
        <rFont val="Calibri"/>
        <family val="2"/>
        <scheme val="minor"/>
      </rPr>
      <t>)</t>
    </r>
  </si>
  <si>
    <r>
      <t xml:space="preserve">PV(Resets, 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EUR</t>
    </r>
    <r>
      <rPr>
        <sz val="11"/>
        <color theme="1"/>
        <rFont val="Calibri"/>
        <family val="2"/>
        <scheme val="minor"/>
      </rPr>
      <t>)</t>
    </r>
  </si>
  <si>
    <r>
      <t xml:space="preserve">PV(Resets, 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USD</t>
    </r>
    <r>
      <rPr>
        <sz val="11"/>
        <color theme="1"/>
        <rFont val="Calibri"/>
        <family val="2"/>
        <scheme val="minor"/>
      </rPr>
      <t>)</t>
    </r>
  </si>
  <si>
    <r>
      <t>PV01(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EUR</t>
    </r>
    <r>
      <rPr>
        <sz val="11"/>
        <color theme="1"/>
        <rFont val="Calibri"/>
        <family val="2"/>
        <scheme val="minor"/>
      </rPr>
      <t>)</t>
    </r>
  </si>
  <si>
    <r>
      <t>PV01(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USD</t>
    </r>
    <r>
      <rPr>
        <sz val="11"/>
        <color theme="1"/>
        <rFont val="Calibri"/>
        <family val="2"/>
        <scheme val="minor"/>
      </rPr>
      <t>)</t>
    </r>
  </si>
  <si>
    <t>COUPONS</t>
  </si>
  <si>
    <t>Leg1 - EUR Coupons</t>
  </si>
  <si>
    <r>
      <t>C</t>
    </r>
    <r>
      <rPr>
        <b/>
        <vertAlign val="superscript"/>
        <sz val="11"/>
        <color theme="1"/>
        <rFont val="Calibri"/>
        <family val="2"/>
        <scheme val="minor"/>
      </rPr>
      <t>Val</t>
    </r>
    <r>
      <rPr>
        <b/>
        <sz val="11"/>
        <color theme="1"/>
        <rFont val="Calibri"/>
        <family val="2"/>
        <scheme val="minor"/>
      </rPr>
      <t xml:space="preserve"> = USD</t>
    </r>
  </si>
  <si>
    <r>
      <t>C</t>
    </r>
    <r>
      <rPr>
        <b/>
        <vertAlign val="superscript"/>
        <sz val="11"/>
        <color theme="1"/>
        <rFont val="Calibri"/>
        <family val="2"/>
        <scheme val="minor"/>
      </rPr>
      <t>Reset</t>
    </r>
    <r>
      <rPr>
        <b/>
        <sz val="11"/>
        <color theme="1"/>
        <rFont val="Calibri"/>
        <family val="2"/>
        <scheme val="minor"/>
      </rPr>
      <t xml:space="preserve"> = USD</t>
    </r>
  </si>
  <si>
    <r>
      <t>C</t>
    </r>
    <r>
      <rPr>
        <b/>
        <vertAlign val="superscript"/>
        <sz val="11"/>
        <color theme="1"/>
        <rFont val="Calibri"/>
        <family val="2"/>
        <scheme val="minor"/>
      </rPr>
      <t>CSA</t>
    </r>
    <r>
      <rPr>
        <b/>
        <sz val="11"/>
        <color theme="1"/>
        <rFont val="Calibri"/>
        <family val="2"/>
        <scheme val="minor"/>
      </rPr>
      <t>= USD</t>
    </r>
  </si>
  <si>
    <t>ValuationAdj</t>
  </si>
  <si>
    <t>ResetAdj</t>
  </si>
  <si>
    <t>FloatRate, l</t>
  </si>
  <si>
    <t>Spread, s</t>
  </si>
  <si>
    <t>DiscFactor</t>
  </si>
  <si>
    <t>Annuity</t>
  </si>
  <si>
    <r>
      <t>N</t>
    </r>
    <r>
      <rPr>
        <vertAlign val="superscript"/>
        <sz val="11"/>
        <rFont val="Calibri"/>
        <family val="2"/>
        <scheme val="minor"/>
      </rPr>
      <t>EUR</t>
    </r>
  </si>
  <si>
    <r>
      <t>f(t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>EUR/USD</t>
    </r>
  </si>
  <si>
    <r>
      <t>f(t)</t>
    </r>
    <r>
      <rPr>
        <vertAlign val="superscript"/>
        <sz val="11"/>
        <rFont val="Calibri"/>
        <family val="2"/>
        <scheme val="minor"/>
      </rPr>
      <t>EUR/USD</t>
    </r>
  </si>
  <si>
    <t>a</t>
  </si>
  <si>
    <t>b</t>
  </si>
  <si>
    <t>y</t>
  </si>
  <si>
    <t>t</t>
  </si>
  <si>
    <t>l</t>
  </si>
  <si>
    <r>
      <t>s</t>
    </r>
    <r>
      <rPr>
        <vertAlign val="superscript"/>
        <sz val="11"/>
        <rFont val="Calibri"/>
        <family val="2"/>
        <scheme val="minor"/>
      </rPr>
      <t>EUR</t>
    </r>
  </si>
  <si>
    <t>Cpn</t>
  </si>
  <si>
    <r>
      <t>P(t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,t)</t>
    </r>
    <r>
      <rPr>
        <vertAlign val="superscript"/>
        <sz val="11"/>
        <rFont val="Calibri"/>
        <family val="2"/>
        <scheme val="minor"/>
      </rPr>
      <t>EUR-USDCSA</t>
    </r>
  </si>
  <si>
    <t>PVlet</t>
  </si>
  <si>
    <t>Total</t>
  </si>
  <si>
    <t>Leg2 - USD Coupons</t>
  </si>
  <si>
    <r>
      <t>N</t>
    </r>
    <r>
      <rPr>
        <vertAlign val="superscript"/>
        <sz val="11"/>
        <rFont val="Calibri"/>
        <family val="2"/>
        <scheme val="minor"/>
      </rPr>
      <t>USD</t>
    </r>
  </si>
  <si>
    <r>
      <t>f(t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>USD/EUR</t>
    </r>
  </si>
  <si>
    <r>
      <t>f(t)</t>
    </r>
    <r>
      <rPr>
        <vertAlign val="superscript"/>
        <sz val="11"/>
        <rFont val="Calibri"/>
        <family val="2"/>
        <scheme val="minor"/>
      </rPr>
      <t>USD/EUR</t>
    </r>
  </si>
  <si>
    <r>
      <t>s</t>
    </r>
    <r>
      <rPr>
        <vertAlign val="superscript"/>
        <sz val="11"/>
        <rFont val="Calibri"/>
        <family val="2"/>
        <scheme val="minor"/>
      </rPr>
      <t>USD</t>
    </r>
  </si>
  <si>
    <r>
      <t>P(t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,t)</t>
    </r>
    <r>
      <rPr>
        <vertAlign val="superscript"/>
        <sz val="11"/>
        <rFont val="Calibri"/>
        <family val="2"/>
        <scheme val="minor"/>
      </rPr>
      <t>USD-USDCSA</t>
    </r>
  </si>
  <si>
    <t>NOTIONAL EXCHANGES</t>
  </si>
  <si>
    <t>Leg1 - EUR Notional Exchanges</t>
  </si>
  <si>
    <t>Initial Notional</t>
  </si>
  <si>
    <t>PV</t>
  </si>
  <si>
    <r>
      <t>N(t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>EUR</t>
    </r>
  </si>
  <si>
    <t>Exchange</t>
  </si>
  <si>
    <t>Leg2 - USD Notional Exchanges</t>
  </si>
  <si>
    <r>
      <t>N(t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>USD</t>
    </r>
  </si>
  <si>
    <t>NOTIONAL RESETS</t>
  </si>
  <si>
    <t>Leg1 - EUR Notional Resets</t>
  </si>
  <si>
    <t>Indicator(MtM)</t>
  </si>
  <si>
    <r>
      <t>Indicator(C</t>
    </r>
    <r>
      <rPr>
        <vertAlign val="superscript"/>
        <sz val="11"/>
        <color rgb="FF006600"/>
        <rFont val="Calibri"/>
        <family val="2"/>
        <scheme val="minor"/>
      </rPr>
      <t>Reset</t>
    </r>
    <r>
      <rPr>
        <sz val="11"/>
        <color rgb="FF006600"/>
        <rFont val="Calibri"/>
        <family val="2"/>
        <scheme val="minor"/>
      </rPr>
      <t>)</t>
    </r>
  </si>
  <si>
    <t>ResetAmount</t>
  </si>
  <si>
    <r>
      <t>1(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=MtM)</t>
    </r>
  </si>
  <si>
    <r>
      <t>1(C</t>
    </r>
    <r>
      <rPr>
        <vertAlign val="superscript"/>
        <sz val="11"/>
        <rFont val="Calibri"/>
        <family val="2"/>
        <scheme val="minor"/>
      </rPr>
      <t>Reset</t>
    </r>
    <r>
      <rPr>
        <sz val="11"/>
        <rFont val="Calibri"/>
        <family val="2"/>
        <scheme val="minor"/>
      </rPr>
      <t>)</t>
    </r>
  </si>
  <si>
    <t>Reset</t>
  </si>
  <si>
    <t>Leg2 - USD Notional Resets</t>
  </si>
  <si>
    <t>USD/EUR</t>
  </si>
  <si>
    <t>FIXED</t>
  </si>
  <si>
    <t>ParRate</t>
  </si>
  <si>
    <t>Par Price Check</t>
  </si>
  <si>
    <t>ParRate, p</t>
  </si>
  <si>
    <t>Leg1:EUR:FLOAT</t>
  </si>
  <si>
    <t>YearFractions</t>
  </si>
  <si>
    <t>Leverage</t>
  </si>
  <si>
    <t>CouponMultiplier</t>
  </si>
  <si>
    <t>FloatSpread</t>
  </si>
  <si>
    <t>Leg2:USD:FLOAT</t>
  </si>
  <si>
    <t>FxFixingDate</t>
  </si>
  <si>
    <t>FxRate</t>
  </si>
  <si>
    <r>
      <t>t</t>
    </r>
    <r>
      <rPr>
        <b/>
        <vertAlign val="subscript"/>
        <sz val="14"/>
        <color theme="3"/>
        <rFont val="Calibri"/>
        <family val="2"/>
        <scheme val="minor"/>
      </rPr>
      <t>4</t>
    </r>
  </si>
  <si>
    <r>
      <t>t</t>
    </r>
    <r>
      <rPr>
        <b/>
        <vertAlign val="subscript"/>
        <sz val="14"/>
        <color theme="3"/>
        <rFont val="Calibri"/>
        <family val="2"/>
        <scheme val="minor"/>
      </rPr>
      <t>3</t>
    </r>
  </si>
  <si>
    <r>
      <t>t</t>
    </r>
    <r>
      <rPr>
        <b/>
        <vertAlign val="subscript"/>
        <sz val="14"/>
        <color theme="3"/>
        <rFont val="Calibri"/>
        <family val="2"/>
        <scheme val="minor"/>
      </rPr>
      <t>2</t>
    </r>
  </si>
  <si>
    <r>
      <t>t</t>
    </r>
    <r>
      <rPr>
        <b/>
        <vertAlign val="subscript"/>
        <sz val="14"/>
        <color theme="3"/>
        <rFont val="Calibri"/>
        <family val="2"/>
        <scheme val="minor"/>
      </rPr>
      <t>1</t>
    </r>
  </si>
  <si>
    <r>
      <t>t</t>
    </r>
    <r>
      <rPr>
        <b/>
        <vertAlign val="subscript"/>
        <sz val="14"/>
        <color theme="3"/>
        <rFont val="Calibri"/>
        <family val="2"/>
        <scheme val="minor"/>
      </rPr>
      <t>0</t>
    </r>
  </si>
  <si>
    <t>USD3ML</t>
  </si>
  <si>
    <t>EUR3ML</t>
  </si>
  <si>
    <t>Quarterly Euribor Float Interest</t>
  </si>
  <si>
    <t>Quarterly USD Libor Float Interest</t>
  </si>
  <si>
    <t>Borrow EUR 875,000</t>
  </si>
  <si>
    <t>Borrow USD 1,000,000</t>
  </si>
  <si>
    <t>Return USD 1,000,000</t>
  </si>
  <si>
    <t>Return EUR 875,000</t>
  </si>
  <si>
    <t>PARTY B</t>
  </si>
  <si>
    <t>PARTY A</t>
  </si>
  <si>
    <t>Use the Market Schedule or Approximate for Simplicity</t>
  </si>
  <si>
    <t>Cross Currency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</si>
</sst>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d\,\ d\-mmm\-yy"/>
    <numFmt numFmtId="165" formatCode="#,##0.00000"/>
    <numFmt numFmtId="166" formatCode="0.00000%"/>
    <numFmt numFmtId="167" formatCode="#,##0.000000"/>
    <numFmt numFmtId="168" formatCode="#,##0.0000"/>
    <numFmt numFmtId="169" formatCode="#,##0_ ;[Red]\-#,##0\ "/>
    <numFmt numFmtId="170" formatCode="0.0000%"/>
    <numFmt numFmtId="171" formatCode="0.00000"/>
    <numFmt numFmtId="172" formatCode="#,##0.000_ ;[Red]\-#,##0.000\ "/>
    <numFmt numFmtId="173" formatCode="0.00000%;[Red]\-0.00000%"/>
    <numFmt numFmtId="174" formatCode="#,##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rgb="FF006600"/>
      <name val="Calibri"/>
      <family val="2"/>
      <scheme val="minor"/>
    </font>
    <font>
      <vertAlign val="subscript"/>
      <sz val="11"/>
      <color rgb="FF006600"/>
      <name val="Calibri"/>
      <family val="2"/>
      <scheme val="minor"/>
    </font>
    <font>
      <sz val="11"/>
      <color rgb="FF00660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Symbol"/>
      <family val="1"/>
      <charset val="2"/>
    </font>
    <font>
      <b/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vertAlign val="subscript"/>
      <sz val="14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u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theme="0" tint="-0.24994659260841701"/>
      </right>
      <top/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double">
        <color theme="0" tint="-0.14993743705557422"/>
      </bottom>
      <diagonal/>
    </border>
    <border>
      <left style="thin">
        <color theme="0" tint="-0.24994659260841701"/>
      </left>
      <right/>
      <top/>
      <bottom style="double">
        <color theme="0" tint="-0.14993743705557422"/>
      </bottom>
      <diagonal/>
    </border>
    <border>
      <left/>
      <right style="thin">
        <color theme="0" tint="-0.24994659260841701"/>
      </right>
      <top/>
      <bottom style="double">
        <color theme="0" tint="-0.14993743705557422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14993743705557422"/>
      </top>
      <bottom/>
      <diagonal/>
    </border>
    <border>
      <left/>
      <right style="thin">
        <color theme="0" tint="-0.2499465926084170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24994659260841701"/>
      </left>
      <right/>
      <top/>
      <bottom style="thin">
        <color theme="0" tint="-0.14993743705557422"/>
      </bottom>
      <diagonal/>
    </border>
    <border>
      <left/>
      <right style="thin">
        <color theme="0" tint="-0.24994659260841701"/>
      </right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medium">
        <color theme="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4" fillId="0" borderId="0" xfId="0" applyFont="1"/>
    <xf numFmtId="0" fontId="5" fillId="0" borderId="0" xfId="0" applyFont="1"/>
    <xf numFmtId="4" fontId="0" fillId="0" borderId="0" xfId="0" applyNumberFormat="1"/>
    <xf numFmtId="0" fontId="2" fillId="0" borderId="0" xfId="0" applyFont="1"/>
    <xf numFmtId="4" fontId="8" fillId="2" borderId="0" xfId="0" applyNumberFormat="1" applyFont="1" applyFill="1" applyBorder="1" applyAlignment="1">
      <alignment horizontal="left" vertical="center"/>
    </xf>
    <xf numFmtId="4" fontId="9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1" xfId="0" applyFont="1" applyFill="1" applyBorder="1"/>
    <xf numFmtId="164" fontId="0" fillId="3" borderId="2" xfId="0" quotePrefix="1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5" xfId="0" applyFont="1" applyFill="1" applyBorder="1"/>
    <xf numFmtId="164" fontId="0" fillId="5" borderId="6" xfId="0" applyNumberFormat="1" applyFont="1" applyFill="1" applyBorder="1" applyAlignment="1">
      <alignment horizontal="center" vertical="center"/>
    </xf>
    <xf numFmtId="164" fontId="10" fillId="4" borderId="7" xfId="0" applyNumberFormat="1" applyFont="1" applyFill="1" applyBorder="1" applyAlignment="1">
      <alignment horizontal="center" vertical="center"/>
    </xf>
    <xf numFmtId="0" fontId="11" fillId="0" borderId="0" xfId="0" applyFont="1"/>
    <xf numFmtId="164" fontId="10" fillId="2" borderId="6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4" fontId="10" fillId="2" borderId="0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/>
    </xf>
    <xf numFmtId="3" fontId="10" fillId="2" borderId="0" xfId="0" applyNumberFormat="1" applyFont="1" applyFill="1" applyBorder="1" applyAlignment="1">
      <alignment horizontal="center" vertical="center"/>
    </xf>
    <xf numFmtId="166" fontId="10" fillId="2" borderId="0" xfId="0" applyNumberFormat="1" applyFont="1" applyFill="1" applyBorder="1" applyAlignment="1">
      <alignment horizontal="center" vertical="center"/>
    </xf>
    <xf numFmtId="167" fontId="10" fillId="2" borderId="0" xfId="0" applyNumberFormat="1" applyFont="1" applyFill="1" applyBorder="1" applyAlignment="1">
      <alignment horizontal="center" vertical="center"/>
    </xf>
    <xf numFmtId="168" fontId="10" fillId="2" borderId="0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4" fontId="9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3" borderId="0" xfId="0" applyNumberFormat="1" applyFont="1" applyFill="1" applyBorder="1" applyAlignment="1">
      <alignment horizontal="center" vertical="center"/>
    </xf>
    <xf numFmtId="0" fontId="0" fillId="4" borderId="7" xfId="0" applyFill="1" applyBorder="1"/>
    <xf numFmtId="164" fontId="10" fillId="4" borderId="4" xfId="0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5" fontId="3" fillId="6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167" fontId="0" fillId="4" borderId="3" xfId="0" applyNumberFormat="1" applyFill="1" applyBorder="1" applyAlignment="1">
      <alignment horizontal="center" vertical="center"/>
    </xf>
    <xf numFmtId="169" fontId="0" fillId="0" borderId="0" xfId="0" applyNumberFormat="1"/>
    <xf numFmtId="3" fontId="9" fillId="3" borderId="0" xfId="0" applyNumberFormat="1" applyFont="1" applyFill="1" applyBorder="1" applyAlignment="1">
      <alignment horizontal="center" vertical="center"/>
    </xf>
    <xf numFmtId="164" fontId="10" fillId="4" borderId="6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68" fontId="10" fillId="4" borderId="0" xfId="0" applyNumberFormat="1" applyFont="1" applyFill="1" applyBorder="1" applyAlignment="1">
      <alignment horizontal="center" vertical="center"/>
    </xf>
    <xf numFmtId="3" fontId="10" fillId="4" borderId="6" xfId="0" applyNumberFormat="1" applyFont="1" applyFill="1" applyBorder="1" applyAlignment="1">
      <alignment horizontal="center" vertical="center"/>
    </xf>
    <xf numFmtId="165" fontId="10" fillId="4" borderId="0" xfId="0" applyNumberFormat="1" applyFont="1" applyFill="1" applyBorder="1" applyAlignment="1">
      <alignment horizontal="center" vertical="center"/>
    </xf>
    <xf numFmtId="3" fontId="10" fillId="4" borderId="0" xfId="0" applyNumberFormat="1" applyFont="1" applyFill="1" applyBorder="1" applyAlignment="1">
      <alignment horizontal="center" vertical="center"/>
    </xf>
    <xf numFmtId="166" fontId="10" fillId="4" borderId="0" xfId="0" applyNumberFormat="1" applyFont="1" applyFill="1" applyBorder="1" applyAlignment="1">
      <alignment horizontal="center" vertical="center"/>
    </xf>
    <xf numFmtId="167" fontId="10" fillId="4" borderId="0" xfId="0" applyNumberFormat="1" applyFont="1" applyFill="1" applyBorder="1" applyAlignment="1">
      <alignment horizontal="center" vertical="center"/>
    </xf>
    <xf numFmtId="3" fontId="10" fillId="4" borderId="7" xfId="0" applyNumberFormat="1" applyFon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7" fontId="0" fillId="4" borderId="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left" vertical="center" wrapText="1"/>
    </xf>
    <xf numFmtId="4" fontId="9" fillId="5" borderId="0" xfId="0" applyNumberFormat="1" applyFont="1" applyFill="1" applyBorder="1" applyAlignment="1">
      <alignment horizontal="center" vertical="center"/>
    </xf>
    <xf numFmtId="4" fontId="9" fillId="3" borderId="0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left" vertical="center" wrapText="1"/>
    </xf>
    <xf numFmtId="3" fontId="9" fillId="3" borderId="9" xfId="0" applyNumberFormat="1" applyFont="1" applyFill="1" applyBorder="1" applyAlignment="1">
      <alignment horizontal="center" vertical="center"/>
    </xf>
    <xf numFmtId="0" fontId="10" fillId="4" borderId="10" xfId="0" applyFont="1" applyFill="1" applyBorder="1"/>
    <xf numFmtId="170" fontId="0" fillId="0" borderId="0" xfId="0" applyNumberFormat="1" applyAlignment="1">
      <alignment horizontal="center" vertical="center"/>
    </xf>
    <xf numFmtId="2" fontId="9" fillId="0" borderId="11" xfId="0" applyNumberFormat="1" applyFont="1" applyFill="1" applyBorder="1"/>
    <xf numFmtId="171" fontId="10" fillId="4" borderId="12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4" fontId="0" fillId="4" borderId="6" xfId="0" applyNumberFormat="1" applyFont="1" applyFill="1" applyBorder="1" applyAlignment="1">
      <alignment horizontal="center" vertical="center"/>
    </xf>
    <xf numFmtId="4" fontId="0" fillId="4" borderId="7" xfId="0" applyNumberFormat="1" applyFont="1" applyFill="1" applyBorder="1" applyAlignment="1">
      <alignment horizontal="center" vertical="center"/>
    </xf>
    <xf numFmtId="4" fontId="9" fillId="3" borderId="6" xfId="0" applyNumberFormat="1" applyFont="1" applyFill="1" applyBorder="1" applyAlignment="1">
      <alignment horizontal="center" vertical="center"/>
    </xf>
    <xf numFmtId="4" fontId="9" fillId="3" borderId="7" xfId="0" applyNumberFormat="1" applyFont="1" applyFill="1" applyBorder="1" applyAlignment="1">
      <alignment horizontal="center" vertical="center"/>
    </xf>
    <xf numFmtId="166" fontId="0" fillId="3" borderId="6" xfId="1" applyNumberFormat="1" applyFont="1" applyFill="1" applyBorder="1" applyAlignment="1">
      <alignment horizontal="center" vertical="center"/>
    </xf>
    <xf numFmtId="166" fontId="0" fillId="3" borderId="7" xfId="1" applyNumberFormat="1" applyFont="1" applyFill="1" applyBorder="1" applyAlignment="1">
      <alignment horizontal="center" vertical="center"/>
    </xf>
    <xf numFmtId="4" fontId="9" fillId="4" borderId="6" xfId="0" applyNumberFormat="1" applyFont="1" applyFill="1" applyBorder="1" applyAlignment="1">
      <alignment horizontal="center" vertical="center"/>
    </xf>
    <xf numFmtId="4" fontId="9" fillId="4" borderId="7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165" fontId="10" fillId="4" borderId="6" xfId="0" applyNumberFormat="1" applyFont="1" applyFill="1" applyBorder="1" applyAlignment="1">
      <alignment horizontal="center"/>
    </xf>
    <xf numFmtId="165" fontId="10" fillId="4" borderId="7" xfId="0" applyNumberFormat="1" applyFont="1" applyFill="1" applyBorder="1" applyAlignment="1">
      <alignment horizontal="center"/>
    </xf>
    <xf numFmtId="3" fontId="9" fillId="4" borderId="6" xfId="0" applyNumberFormat="1" applyFont="1" applyFill="1" applyBorder="1" applyAlignment="1">
      <alignment horizontal="center"/>
    </xf>
    <xf numFmtId="3" fontId="9" fillId="4" borderId="7" xfId="0" applyNumberFormat="1" applyFont="1" applyFill="1" applyBorder="1" applyAlignment="1">
      <alignment horizontal="center"/>
    </xf>
    <xf numFmtId="0" fontId="0" fillId="0" borderId="14" xfId="0" applyNumberFormat="1" applyFill="1" applyBorder="1" applyAlignment="1">
      <alignment horizontal="left" vertical="center" wrapText="1"/>
    </xf>
    <xf numFmtId="4" fontId="9" fillId="5" borderId="15" xfId="0" applyNumberFormat="1" applyFont="1" applyFill="1" applyBorder="1" applyAlignment="1">
      <alignment horizontal="center" vertical="center"/>
    </xf>
    <xf numFmtId="4" fontId="9" fillId="5" borderId="16" xfId="0" applyNumberFormat="1" applyFont="1" applyFill="1" applyBorder="1" applyAlignment="1">
      <alignment horizontal="center" vertical="center"/>
    </xf>
    <xf numFmtId="164" fontId="10" fillId="4" borderId="15" xfId="0" applyNumberFormat="1" applyFont="1" applyFill="1" applyBorder="1" applyAlignment="1">
      <alignment horizontal="center" vertical="center"/>
    </xf>
    <xf numFmtId="164" fontId="10" fillId="4" borderId="17" xfId="0" applyNumberFormat="1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168" fontId="10" fillId="4" borderId="17" xfId="0" applyNumberFormat="1" applyFont="1" applyFill="1" applyBorder="1" applyAlignment="1">
      <alignment horizontal="center" vertical="center"/>
    </xf>
    <xf numFmtId="164" fontId="10" fillId="4" borderId="16" xfId="0" applyNumberFormat="1" applyFont="1" applyFill="1" applyBorder="1" applyAlignment="1">
      <alignment horizontal="center" vertical="center"/>
    </xf>
    <xf numFmtId="3" fontId="10" fillId="4" borderId="15" xfId="0" applyNumberFormat="1" applyFont="1" applyFill="1" applyBorder="1" applyAlignment="1">
      <alignment horizontal="center" vertical="center"/>
    </xf>
    <xf numFmtId="165" fontId="10" fillId="4" borderId="17" xfId="0" applyNumberFormat="1" applyFont="1" applyFill="1" applyBorder="1" applyAlignment="1">
      <alignment horizontal="center" vertical="center"/>
    </xf>
    <xf numFmtId="3" fontId="10" fillId="4" borderId="17" xfId="0" applyNumberFormat="1" applyFont="1" applyFill="1" applyBorder="1" applyAlignment="1">
      <alignment horizontal="center" vertical="center"/>
    </xf>
    <xf numFmtId="166" fontId="10" fillId="4" borderId="17" xfId="0" applyNumberFormat="1" applyFont="1" applyFill="1" applyBorder="1" applyAlignment="1">
      <alignment horizontal="center" vertical="center"/>
    </xf>
    <xf numFmtId="167" fontId="10" fillId="4" borderId="17" xfId="0" applyNumberFormat="1" applyFont="1" applyFill="1" applyBorder="1" applyAlignment="1">
      <alignment horizontal="center" vertical="center"/>
    </xf>
    <xf numFmtId="3" fontId="10" fillId="4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Border="1"/>
    <xf numFmtId="4" fontId="9" fillId="0" borderId="0" xfId="0" applyNumberFormat="1" applyFont="1" applyAlignment="1">
      <alignment horizontal="center"/>
    </xf>
    <xf numFmtId="4" fontId="0" fillId="0" borderId="0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0" fontId="0" fillId="0" borderId="18" xfId="0" applyFont="1" applyFill="1" applyBorder="1" applyAlignment="1">
      <alignment horizontal="left" vertical="center"/>
    </xf>
    <xf numFmtId="169" fontId="10" fillId="4" borderId="4" xfId="0" applyNumberFormat="1" applyFont="1" applyFill="1" applyBorder="1" applyAlignment="1">
      <alignment horizontal="center" vertical="center"/>
    </xf>
    <xf numFmtId="169" fontId="10" fillId="4" borderId="3" xfId="0" applyNumberFormat="1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center"/>
    </xf>
    <xf numFmtId="169" fontId="10" fillId="4" borderId="20" xfId="0" applyNumberFormat="1" applyFont="1" applyFill="1" applyBorder="1" applyAlignment="1">
      <alignment horizontal="center" vertical="center" wrapText="1"/>
    </xf>
    <xf numFmtId="172" fontId="10" fillId="4" borderId="21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 vertical="center"/>
    </xf>
    <xf numFmtId="169" fontId="10" fillId="4" borderId="6" xfId="0" applyNumberFormat="1" applyFont="1" applyFill="1" applyBorder="1" applyAlignment="1">
      <alignment horizontal="center" vertical="center"/>
    </xf>
    <xf numFmtId="169" fontId="10" fillId="4" borderId="7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73" fontId="10" fillId="4" borderId="20" xfId="0" applyNumberFormat="1" applyFont="1" applyFill="1" applyBorder="1" applyAlignment="1">
      <alignment horizontal="center" vertical="center"/>
    </xf>
    <xf numFmtId="173" fontId="10" fillId="4" borderId="2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4" borderId="23" xfId="0" applyFill="1" applyBorder="1" applyAlignment="1">
      <alignment horizontal="center" vertical="center"/>
    </xf>
    <xf numFmtId="166" fontId="0" fillId="4" borderId="24" xfId="0" applyNumberFormat="1" applyFill="1" applyBorder="1" applyAlignment="1">
      <alignment horizontal="center" vertical="center"/>
    </xf>
    <xf numFmtId="174" fontId="0" fillId="4" borderId="25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74" fontId="0" fillId="4" borderId="26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166" fontId="0" fillId="4" borderId="28" xfId="0" applyNumberFormat="1" applyFill="1" applyBorder="1" applyAlignment="1">
      <alignment horizontal="center" vertical="center"/>
    </xf>
    <xf numFmtId="174" fontId="0" fillId="4" borderId="29" xfId="0" applyNumberForma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12" fillId="0" borderId="0" xfId="0" applyFont="1"/>
    <xf numFmtId="169" fontId="10" fillId="4" borderId="30" xfId="0" applyNumberFormat="1" applyFont="1" applyFill="1" applyBorder="1" applyAlignment="1">
      <alignment horizontal="center" vertical="center"/>
    </xf>
    <xf numFmtId="169" fontId="10" fillId="4" borderId="31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4" fontId="9" fillId="4" borderId="2" xfId="0" applyNumberFormat="1" applyFont="1" applyFill="1" applyBorder="1" applyAlignment="1">
      <alignment horizontal="center" vertical="center"/>
    </xf>
    <xf numFmtId="172" fontId="10" fillId="4" borderId="6" xfId="0" applyNumberFormat="1" applyFont="1" applyFill="1" applyBorder="1" applyAlignment="1">
      <alignment horizontal="center" vertical="center"/>
    </xf>
    <xf numFmtId="172" fontId="10" fillId="4" borderId="7" xfId="0" applyNumberFormat="1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4" fontId="9" fillId="4" borderId="0" xfId="0" applyNumberFormat="1" applyFont="1" applyFill="1" applyBorder="1" applyAlignment="1">
      <alignment horizontal="center" vertical="center"/>
    </xf>
    <xf numFmtId="164" fontId="9" fillId="4" borderId="7" xfId="0" applyNumberFormat="1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left" vertical="center"/>
    </xf>
    <xf numFmtId="169" fontId="10" fillId="4" borderId="33" xfId="0" applyNumberFormat="1" applyFont="1" applyFill="1" applyBorder="1" applyAlignment="1">
      <alignment horizontal="center" vertical="center" wrapText="1"/>
    </xf>
    <xf numFmtId="172" fontId="9" fillId="4" borderId="34" xfId="0" applyNumberFormat="1" applyFont="1" applyFill="1" applyBorder="1" applyAlignment="1">
      <alignment horizontal="center" vertical="center"/>
    </xf>
    <xf numFmtId="168" fontId="9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64" fontId="9" fillId="4" borderId="15" xfId="0" applyNumberFormat="1" applyFont="1" applyFill="1" applyBorder="1" applyAlignment="1">
      <alignment horizontal="center" vertical="center"/>
    </xf>
    <xf numFmtId="164" fontId="9" fillId="4" borderId="17" xfId="0" applyNumberFormat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168" fontId="9" fillId="4" borderId="17" xfId="0" applyNumberFormat="1" applyFont="1" applyFill="1" applyBorder="1" applyAlignment="1">
      <alignment horizontal="center" vertical="center"/>
    </xf>
    <xf numFmtId="164" fontId="9" fillId="4" borderId="16" xfId="0" applyNumberFormat="1" applyFont="1" applyFill="1" applyBorder="1" applyAlignment="1">
      <alignment horizontal="center" vertical="center"/>
    </xf>
    <xf numFmtId="168" fontId="0" fillId="0" borderId="0" xfId="0" applyNumberForma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7" fontId="10" fillId="0" borderId="0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5" fontId="10" fillId="0" borderId="17" xfId="0" applyNumberFormat="1" applyFont="1" applyBorder="1" applyAlignment="1">
      <alignment horizontal="center" vertical="center"/>
    </xf>
    <xf numFmtId="167" fontId="10" fillId="0" borderId="17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0" fontId="0" fillId="0" borderId="6" xfId="0" applyBorder="1"/>
    <xf numFmtId="3" fontId="10" fillId="0" borderId="6" xfId="0" applyNumberFormat="1" applyFont="1" applyBorder="1" applyAlignment="1">
      <alignment horizontal="center" vertical="center"/>
    </xf>
    <xf numFmtId="164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164" fontId="10" fillId="0" borderId="17" xfId="0" applyNumberFormat="1" applyFont="1" applyBorder="1"/>
    <xf numFmtId="3" fontId="10" fillId="0" borderId="17" xfId="0" applyNumberFormat="1" applyFont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68" fontId="10" fillId="0" borderId="0" xfId="0" applyNumberFormat="1" applyFont="1" applyBorder="1" applyAlignment="1">
      <alignment horizontal="center" vertical="center"/>
    </xf>
    <xf numFmtId="168" fontId="10" fillId="0" borderId="17" xfId="0" applyNumberFormat="1" applyFont="1" applyBorder="1" applyAlignment="1">
      <alignment horizontal="center" vertical="center"/>
    </xf>
    <xf numFmtId="0" fontId="8" fillId="0" borderId="0" xfId="0" applyFont="1"/>
    <xf numFmtId="0" fontId="0" fillId="4" borderId="4" xfId="0" applyFill="1" applyBorder="1" applyAlignment="1">
      <alignment horizontal="left" vertical="center"/>
    </xf>
    <xf numFmtId="173" fontId="10" fillId="4" borderId="3" xfId="0" applyNumberFormat="1" applyFont="1" applyFill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0" fontId="0" fillId="4" borderId="6" xfId="0" applyFill="1" applyBorder="1" applyAlignment="1">
      <alignment horizontal="left" vertical="center"/>
    </xf>
    <xf numFmtId="173" fontId="10" fillId="4" borderId="7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169" fontId="10" fillId="4" borderId="16" xfId="0" applyNumberFormat="1" applyFont="1" applyFill="1" applyBorder="1" applyAlignment="1">
      <alignment horizontal="center" vertical="center"/>
    </xf>
    <xf numFmtId="173" fontId="10" fillId="4" borderId="1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4" borderId="18" xfId="0" applyFill="1" applyBorder="1" applyAlignment="1">
      <alignment horizontal="left" vertical="center"/>
    </xf>
    <xf numFmtId="169" fontId="10" fillId="4" borderId="35" xfId="0" applyNumberFormat="1" applyFont="1" applyFill="1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169" fontId="10" fillId="4" borderId="26" xfId="0" applyNumberFormat="1" applyFont="1" applyFill="1" applyBorder="1" applyAlignment="1">
      <alignment horizontal="center" vertical="center"/>
    </xf>
    <xf numFmtId="0" fontId="0" fillId="4" borderId="27" xfId="0" applyFill="1" applyBorder="1" applyAlignment="1">
      <alignment horizontal="left" vertical="center"/>
    </xf>
    <xf numFmtId="169" fontId="10" fillId="4" borderId="29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3" fontId="9" fillId="2" borderId="6" xfId="0" applyNumberFormat="1" applyFont="1" applyFill="1" applyBorder="1" applyAlignment="1">
      <alignment horizontal="center" vertical="center"/>
    </xf>
    <xf numFmtId="168" fontId="9" fillId="2" borderId="0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65" fontId="22" fillId="2" borderId="0" xfId="0" applyNumberFormat="1" applyFont="1" applyFill="1" applyBorder="1" applyAlignment="1">
      <alignment horizontal="center" vertical="center"/>
    </xf>
    <xf numFmtId="166" fontId="9" fillId="2" borderId="0" xfId="0" applyNumberFormat="1" applyFont="1" applyFill="1" applyBorder="1" applyAlignment="1">
      <alignment horizontal="center" vertical="center"/>
    </xf>
    <xf numFmtId="167" fontId="9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12" fillId="0" borderId="0" xfId="0" applyNumberFormat="1" applyFont="1" applyBorder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6" fontId="3" fillId="7" borderId="6" xfId="1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center"/>
    </xf>
    <xf numFmtId="169" fontId="10" fillId="4" borderId="37" xfId="0" applyNumberFormat="1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left" vertical="center"/>
    </xf>
    <xf numFmtId="169" fontId="10" fillId="4" borderId="39" xfId="0" applyNumberFormat="1" applyFont="1" applyFill="1" applyBorder="1" applyAlignment="1">
      <alignment horizontal="center" vertical="center"/>
    </xf>
    <xf numFmtId="169" fontId="3" fillId="7" borderId="20" xfId="0" applyNumberFormat="1" applyFont="1" applyFill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left" vertical="center"/>
    </xf>
    <xf numFmtId="166" fontId="3" fillId="7" borderId="4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10" fillId="4" borderId="4" xfId="0" applyNumberFormat="1" applyFont="1" applyFill="1" applyBorder="1" applyAlignment="1">
      <alignment horizontal="left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4" fontId="10" fillId="4" borderId="2" xfId="0" applyNumberFormat="1" applyFont="1" applyFill="1" applyBorder="1" applyAlignment="1">
      <alignment horizontal="center" vertical="center"/>
    </xf>
    <xf numFmtId="3" fontId="10" fillId="4" borderId="2" xfId="0" applyNumberFormat="1" applyFont="1" applyFill="1" applyBorder="1" applyAlignment="1">
      <alignment horizontal="center" vertical="center"/>
    </xf>
    <xf numFmtId="166" fontId="10" fillId="4" borderId="2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4" fontId="10" fillId="4" borderId="0" xfId="0" applyNumberFormat="1" applyFont="1" applyFill="1" applyBorder="1" applyAlignment="1">
      <alignment horizontal="center" vertical="center"/>
    </xf>
    <xf numFmtId="174" fontId="10" fillId="4" borderId="0" xfId="0" applyNumberFormat="1" applyFont="1" applyFill="1" applyBorder="1" applyAlignment="1">
      <alignment horizontal="center" vertical="center"/>
    </xf>
    <xf numFmtId="4" fontId="10" fillId="4" borderId="17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10" fillId="4" borderId="2" xfId="0" applyNumberFormat="1" applyFont="1" applyFill="1" applyBorder="1" applyAlignment="1">
      <alignment horizontal="center" vertical="center"/>
    </xf>
    <xf numFmtId="167" fontId="10" fillId="4" borderId="2" xfId="0" applyNumberFormat="1" applyFont="1" applyFill="1" applyBorder="1" applyAlignment="1">
      <alignment horizontal="center" vertical="center"/>
    </xf>
    <xf numFmtId="0" fontId="0" fillId="0" borderId="42" xfId="0" applyBorder="1"/>
    <xf numFmtId="0" fontId="24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2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43" xfId="0" applyNumberFormat="1" applyFill="1" applyBorder="1" applyAlignment="1">
      <alignment horizontal="left" vertical="center" wrapText="1"/>
    </xf>
    <xf numFmtId="4" fontId="9" fillId="5" borderId="44" xfId="0" applyNumberFormat="1" applyFont="1" applyFill="1" applyBorder="1" applyAlignment="1">
      <alignment horizontal="center" vertical="center"/>
    </xf>
    <xf numFmtId="4" fontId="9" fillId="5" borderId="45" xfId="0" applyNumberFormat="1" applyFont="1" applyFill="1" applyBorder="1" applyAlignment="1">
      <alignment horizontal="center" vertical="center"/>
    </xf>
    <xf numFmtId="0" fontId="9" fillId="0" borderId="8" xfId="0" applyFont="1" applyFill="1" applyBorder="1"/>
    <xf numFmtId="4" fontId="0" fillId="4" borderId="46" xfId="0" applyNumberFormat="1" applyFont="1" applyFill="1" applyBorder="1" applyAlignment="1">
      <alignment horizontal="center" vertical="center"/>
    </xf>
    <xf numFmtId="4" fontId="0" fillId="4" borderId="10" xfId="0" applyNumberFormat="1" applyFont="1" applyFill="1" applyBorder="1" applyAlignment="1">
      <alignment horizontal="center" vertical="center"/>
    </xf>
    <xf numFmtId="3" fontId="9" fillId="4" borderId="15" xfId="0" applyNumberFormat="1" applyFont="1" applyFill="1" applyBorder="1" applyAlignment="1">
      <alignment horizontal="center"/>
    </xf>
    <xf numFmtId="3" fontId="9" fillId="4" borderId="16" xfId="0" applyNumberFormat="1" applyFont="1" applyFill="1" applyBorder="1" applyAlignment="1">
      <alignment horizontal="center"/>
    </xf>
    <xf numFmtId="4" fontId="9" fillId="5" borderId="6" xfId="0" applyNumberFormat="1" applyFont="1" applyFill="1" applyBorder="1" applyAlignment="1">
      <alignment horizontal="center" vertical="center"/>
    </xf>
    <xf numFmtId="4" fontId="9" fillId="5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37</xdr:row>
      <xdr:rowOff>0</xdr:rowOff>
    </xdr:from>
    <xdr:to>
      <xdr:col>12</xdr:col>
      <xdr:colOff>514756</xdr:colOff>
      <xdr:row>40</xdr:row>
      <xdr:rowOff>76294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7115175"/>
          <a:ext cx="2905531" cy="67636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15</xdr:col>
      <xdr:colOff>143561</xdr:colOff>
      <xdr:row>46</xdr:row>
      <xdr:rowOff>133479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8096250"/>
          <a:ext cx="4915586" cy="9240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10</xdr:col>
      <xdr:colOff>533880</xdr:colOff>
      <xdr:row>22</xdr:row>
      <xdr:rowOff>85822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8900" y="3619500"/>
          <a:ext cx="3439005" cy="69542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15</xdr:col>
      <xdr:colOff>581773</xdr:colOff>
      <xdr:row>52</xdr:row>
      <xdr:rowOff>57291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5" y="9077325"/>
          <a:ext cx="5353798" cy="1009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39</xdr:row>
      <xdr:rowOff>0</xdr:rowOff>
    </xdr:from>
    <xdr:to>
      <xdr:col>16</xdr:col>
      <xdr:colOff>305423</xdr:colOff>
      <xdr:row>42</xdr:row>
      <xdr:rowOff>114401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0" y="7934325"/>
          <a:ext cx="4458323" cy="72400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22</xdr:col>
      <xdr:colOff>362813</xdr:colOff>
      <xdr:row>22</xdr:row>
      <xdr:rowOff>38190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63650" y="3990975"/>
          <a:ext cx="6182588" cy="64779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22</xdr:col>
      <xdr:colOff>305655</xdr:colOff>
      <xdr:row>30</xdr:row>
      <xdr:rowOff>181059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63650" y="5772150"/>
          <a:ext cx="6125430" cy="60015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16</xdr:col>
      <xdr:colOff>229212</xdr:colOff>
      <xdr:row>51</xdr:row>
      <xdr:rowOff>133432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58500" y="9906000"/>
          <a:ext cx="4382112" cy="5525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71</xdr:row>
      <xdr:rowOff>0</xdr:rowOff>
    </xdr:from>
    <xdr:to>
      <xdr:col>20</xdr:col>
      <xdr:colOff>86594</xdr:colOff>
      <xdr:row>79</xdr:row>
      <xdr:rowOff>85959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30125" y="14258925"/>
          <a:ext cx="6220694" cy="167663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61</xdr:row>
      <xdr:rowOff>0</xdr:rowOff>
    </xdr:from>
    <xdr:to>
      <xdr:col>15</xdr:col>
      <xdr:colOff>333636</xdr:colOff>
      <xdr:row>63</xdr:row>
      <xdr:rowOff>63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30125" y="12258675"/>
          <a:ext cx="1867161" cy="4477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11</xdr:col>
      <xdr:colOff>572135</xdr:colOff>
      <xdr:row>6</xdr:row>
      <xdr:rowOff>76274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86575" y="800100"/>
          <a:ext cx="4544060" cy="53347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14</xdr:col>
      <xdr:colOff>686766</xdr:colOff>
      <xdr:row>13</xdr:row>
      <xdr:rowOff>114412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86575" y="2095500"/>
          <a:ext cx="6916116" cy="8002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104</xdr:row>
      <xdr:rowOff>0</xdr:rowOff>
    </xdr:from>
    <xdr:to>
      <xdr:col>11</xdr:col>
      <xdr:colOff>905258</xdr:colOff>
      <xdr:row>108</xdr:row>
      <xdr:rowOff>9635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20175" y="20688300"/>
          <a:ext cx="2743583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16</xdr:row>
      <xdr:rowOff>20411</xdr:rowOff>
    </xdr:from>
    <xdr:to>
      <xdr:col>5</xdr:col>
      <xdr:colOff>54428</xdr:colOff>
      <xdr:row>25</xdr:row>
      <xdr:rowOff>9525</xdr:rowOff>
    </xdr:to>
    <xdr:sp macro="" textlink="">
      <xdr:nvSpPr>
        <xdr:cNvPr id="17" name="Freeform 16"/>
        <xdr:cNvSpPr/>
      </xdr:nvSpPr>
      <xdr:spPr>
        <a:xfrm>
          <a:off x="3638550" y="3144611"/>
          <a:ext cx="73478" cy="1703614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chemeClr val="tx2"/>
          </a:solidFill>
          <a:round/>
          <a:headEnd type="oval" w="sm" len="sm"/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600075</xdr:colOff>
      <xdr:row>16</xdr:row>
      <xdr:rowOff>13607</xdr:rowOff>
    </xdr:from>
    <xdr:to>
      <xdr:col>7</xdr:col>
      <xdr:colOff>117021</xdr:colOff>
      <xdr:row>21</xdr:row>
      <xdr:rowOff>38100</xdr:rowOff>
    </xdr:to>
    <xdr:sp macro="" textlink="">
      <xdr:nvSpPr>
        <xdr:cNvPr id="18" name="Freeform 17"/>
        <xdr:cNvSpPr/>
      </xdr:nvSpPr>
      <xdr:spPr>
        <a:xfrm>
          <a:off x="4867275" y="3137807"/>
          <a:ext cx="126546" cy="976993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chemeClr val="tx2"/>
          </a:solidFill>
          <a:round/>
          <a:headEnd type="oval" w="sm" len="sm"/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605517</xdr:colOff>
      <xdr:row>16</xdr:row>
      <xdr:rowOff>6804</xdr:rowOff>
    </xdr:from>
    <xdr:to>
      <xdr:col>9</xdr:col>
      <xdr:colOff>117020</xdr:colOff>
      <xdr:row>26</xdr:row>
      <xdr:rowOff>6805</xdr:rowOff>
    </xdr:to>
    <xdr:sp macro="" textlink="">
      <xdr:nvSpPr>
        <xdr:cNvPr id="19" name="Freeform 18"/>
        <xdr:cNvSpPr/>
      </xdr:nvSpPr>
      <xdr:spPr>
        <a:xfrm>
          <a:off x="6116410" y="2109108"/>
          <a:ext cx="123824" cy="1905001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chemeClr val="tx2"/>
          </a:solidFill>
          <a:round/>
          <a:headEnd type="oval" w="sm" len="sm"/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605518</xdr:colOff>
      <xdr:row>16</xdr:row>
      <xdr:rowOff>6803</xdr:rowOff>
    </xdr:from>
    <xdr:to>
      <xdr:col>11</xdr:col>
      <xdr:colOff>123824</xdr:colOff>
      <xdr:row>23</xdr:row>
      <xdr:rowOff>20410</xdr:rowOff>
    </xdr:to>
    <xdr:sp macro="" textlink="">
      <xdr:nvSpPr>
        <xdr:cNvPr id="20" name="Freeform 19"/>
        <xdr:cNvSpPr/>
      </xdr:nvSpPr>
      <xdr:spPr>
        <a:xfrm>
          <a:off x="7341054" y="2299607"/>
          <a:ext cx="130627" cy="1347107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chemeClr val="tx2"/>
          </a:solidFill>
          <a:round/>
          <a:headEnd type="oval" w="sm" len="sm"/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551090</xdr:colOff>
      <xdr:row>6</xdr:row>
      <xdr:rowOff>13608</xdr:rowOff>
    </xdr:from>
    <xdr:to>
      <xdr:col>5</xdr:col>
      <xdr:colOff>62592</xdr:colOff>
      <xdr:row>16</xdr:row>
      <xdr:rowOff>6805</xdr:rowOff>
    </xdr:to>
    <xdr:sp macro="" textlink="">
      <xdr:nvSpPr>
        <xdr:cNvPr id="22" name="Freeform 21"/>
        <xdr:cNvSpPr/>
      </xdr:nvSpPr>
      <xdr:spPr>
        <a:xfrm>
          <a:off x="3612697" y="394608"/>
          <a:ext cx="123824" cy="1905001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rgbClr val="C00000"/>
          </a:solidFill>
          <a:round/>
          <a:headEnd type="stealth" w="lg" len="lg"/>
          <a:tailEnd type="oval"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544286</xdr:colOff>
      <xdr:row>6</xdr:row>
      <xdr:rowOff>6803</xdr:rowOff>
    </xdr:from>
    <xdr:to>
      <xdr:col>9</xdr:col>
      <xdr:colOff>55789</xdr:colOff>
      <xdr:row>16</xdr:row>
      <xdr:rowOff>0</xdr:rowOff>
    </xdr:to>
    <xdr:sp macro="" textlink="">
      <xdr:nvSpPr>
        <xdr:cNvPr id="23" name="Freeform 22"/>
        <xdr:cNvSpPr/>
      </xdr:nvSpPr>
      <xdr:spPr>
        <a:xfrm>
          <a:off x="6055179" y="387803"/>
          <a:ext cx="123824" cy="1905001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rgbClr val="C00000"/>
          </a:solidFill>
          <a:round/>
          <a:headEnd type="stealth" w="lg" len="lg"/>
          <a:tailEnd type="oval"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551089</xdr:colOff>
      <xdr:row>8</xdr:row>
      <xdr:rowOff>27214</xdr:rowOff>
    </xdr:from>
    <xdr:to>
      <xdr:col>7</xdr:col>
      <xdr:colOff>61233</xdr:colOff>
      <xdr:row>16</xdr:row>
      <xdr:rowOff>13608</xdr:rowOff>
    </xdr:to>
    <xdr:sp macro="" textlink="">
      <xdr:nvSpPr>
        <xdr:cNvPr id="24" name="Freeform 23"/>
        <xdr:cNvSpPr/>
      </xdr:nvSpPr>
      <xdr:spPr>
        <a:xfrm>
          <a:off x="4837339" y="789214"/>
          <a:ext cx="122465" cy="1517198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rgbClr val="C00000"/>
          </a:solidFill>
          <a:round/>
          <a:headEnd type="stealth" w="lg" len="lg"/>
          <a:tailEnd type="oval"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523875</xdr:colOff>
      <xdr:row>11</xdr:row>
      <xdr:rowOff>19050</xdr:rowOff>
    </xdr:from>
    <xdr:to>
      <xdr:col>11</xdr:col>
      <xdr:colOff>6804</xdr:colOff>
      <xdr:row>15</xdr:row>
      <xdr:rowOff>190501</xdr:rowOff>
    </xdr:to>
    <xdr:sp macro="" textlink="">
      <xdr:nvSpPr>
        <xdr:cNvPr id="25" name="Freeform 24"/>
        <xdr:cNvSpPr/>
      </xdr:nvSpPr>
      <xdr:spPr>
        <a:xfrm>
          <a:off x="7229475" y="2114550"/>
          <a:ext cx="92529" cy="933451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rgbClr val="C00000"/>
          </a:solidFill>
          <a:round/>
          <a:headEnd type="stealth" w="lg" len="lg"/>
          <a:tailEnd type="oval"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537481</xdr:colOff>
      <xdr:row>2</xdr:row>
      <xdr:rowOff>72118</xdr:rowOff>
    </xdr:from>
    <xdr:to>
      <xdr:col>3</xdr:col>
      <xdr:colOff>387803</xdr:colOff>
      <xdr:row>15</xdr:row>
      <xdr:rowOff>221797</xdr:rowOff>
    </xdr:to>
    <xdr:sp macro="" textlink="">
      <xdr:nvSpPr>
        <xdr:cNvPr id="29" name="Rectangle 28"/>
        <xdr:cNvSpPr/>
      </xdr:nvSpPr>
      <xdr:spPr>
        <a:xfrm>
          <a:off x="1751919" y="453118"/>
          <a:ext cx="457540" cy="2626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190500</xdr:colOff>
      <xdr:row>16</xdr:row>
      <xdr:rowOff>20411</xdr:rowOff>
    </xdr:from>
    <xdr:to>
      <xdr:col>12</xdr:col>
      <xdr:colOff>40821</xdr:colOff>
      <xdr:row>29</xdr:row>
      <xdr:rowOff>170090</xdr:rowOff>
    </xdr:to>
    <xdr:sp macro="" textlink="">
      <xdr:nvSpPr>
        <xdr:cNvPr id="30" name="Rectangle 29"/>
        <xdr:cNvSpPr/>
      </xdr:nvSpPr>
      <xdr:spPr>
        <a:xfrm>
          <a:off x="7538357" y="3075215"/>
          <a:ext cx="462643" cy="2626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190500</xdr:colOff>
      <xdr:row>2</xdr:row>
      <xdr:rowOff>76200</xdr:rowOff>
    </xdr:from>
    <xdr:to>
      <xdr:col>12</xdr:col>
      <xdr:colOff>40822</xdr:colOff>
      <xdr:row>15</xdr:row>
      <xdr:rowOff>225879</xdr:rowOff>
    </xdr:to>
    <xdr:sp macro="" textlink="">
      <xdr:nvSpPr>
        <xdr:cNvPr id="32" name="Rectangle 31"/>
        <xdr:cNvSpPr/>
      </xdr:nvSpPr>
      <xdr:spPr>
        <a:xfrm>
          <a:off x="7505700" y="457200"/>
          <a:ext cx="459922" cy="2626179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552450</xdr:colOff>
      <xdr:row>16</xdr:row>
      <xdr:rowOff>19050</xdr:rowOff>
    </xdr:from>
    <xdr:to>
      <xdr:col>3</xdr:col>
      <xdr:colOff>402772</xdr:colOff>
      <xdr:row>29</xdr:row>
      <xdr:rowOff>168729</xdr:rowOff>
    </xdr:to>
    <xdr:sp macro="" textlink="">
      <xdr:nvSpPr>
        <xdr:cNvPr id="33" name="Rectangle 32"/>
        <xdr:cNvSpPr/>
      </xdr:nvSpPr>
      <xdr:spPr>
        <a:xfrm>
          <a:off x="1771650" y="3076575"/>
          <a:ext cx="459922" cy="2626179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77"/>
  <sheetViews>
    <sheetView showGridLines="0" tabSelected="1" zoomScaleNormal="100" workbookViewId="0"/>
  </sheetViews>
  <sheetFormatPr defaultRowHeight="15" outlineLevelCol="1" x14ac:dyDescent="0.25"/>
  <cols>
    <col min="2" max="2" width="21.28515625" customWidth="1"/>
    <col min="3" max="3" width="17.140625" customWidth="1"/>
    <col min="4" max="4" width="15.85546875" customWidth="1"/>
    <col min="5" max="5" width="9.140625" hidden="1" customWidth="1" outlineLevel="1"/>
    <col min="6" max="6" width="15.42578125" hidden="1" customWidth="1" outlineLevel="1"/>
    <col min="7" max="8" width="15.7109375" hidden="1" customWidth="1" outlineLevel="1"/>
    <col min="9" max="9" width="11.5703125" hidden="1" customWidth="1" outlineLevel="1"/>
    <col min="10" max="10" width="13.5703125" hidden="1" customWidth="1" outlineLevel="1"/>
    <col min="11" max="11" width="15.7109375" hidden="1" customWidth="1" outlineLevel="1"/>
    <col min="12" max="12" width="9.140625" customWidth="1" collapsed="1"/>
    <col min="13" max="13" width="12.140625" customWidth="1"/>
    <col min="14" max="14" width="15.7109375" bestFit="1" customWidth="1"/>
    <col min="15" max="15" width="13.140625" customWidth="1"/>
    <col min="16" max="16" width="17.28515625" bestFit="1" customWidth="1"/>
    <col min="17" max="17" width="13.42578125" bestFit="1" customWidth="1"/>
    <col min="18" max="18" width="10.28515625" bestFit="1" customWidth="1"/>
    <col min="19" max="19" width="13.85546875" customWidth="1"/>
    <col min="20" max="20" width="14.28515625" customWidth="1"/>
    <col min="21" max="22" width="12.7109375" customWidth="1"/>
    <col min="23" max="23" width="14.28515625" bestFit="1" customWidth="1"/>
    <col min="24" max="24" width="10.7109375" hidden="1" customWidth="1" outlineLevel="1"/>
    <col min="25" max="25" width="17.28515625" hidden="1" customWidth="1" outlineLevel="1"/>
    <col min="26" max="26" width="15.7109375" hidden="1" customWidth="1" outlineLevel="1"/>
    <col min="27" max="27" width="4.7109375" hidden="1" customWidth="1" outlineLevel="1"/>
    <col min="28" max="29" width="15.7109375" hidden="1" customWidth="1" outlineLevel="1"/>
    <col min="30" max="30" width="4.7109375" hidden="1" customWidth="1" outlineLevel="1"/>
    <col min="31" max="32" width="15.7109375" hidden="1" customWidth="1" outlineLevel="1"/>
    <col min="33" max="33" width="7" hidden="1" customWidth="1" outlineLevel="1"/>
    <col min="34" max="35" width="15.7109375" hidden="1" customWidth="1" outlineLevel="1"/>
    <col min="36" max="36" width="4.42578125" hidden="1" customWidth="1" outlineLevel="1"/>
    <col min="37" max="38" width="15.7109375" hidden="1" customWidth="1" outlineLevel="1"/>
    <col min="39" max="39" width="4.7109375" hidden="1" customWidth="1" outlineLevel="1"/>
    <col min="40" max="40" width="24.5703125" hidden="1" customWidth="1" outlineLevel="1"/>
    <col min="41" max="41" width="15.42578125" hidden="1" customWidth="1" outlineLevel="1"/>
    <col min="42" max="42" width="4.7109375" hidden="1" customWidth="1" outlineLevel="1"/>
    <col min="43" max="43" width="18.28515625" hidden="1" customWidth="1" outlineLevel="1"/>
    <col min="44" max="44" width="16" hidden="1" customWidth="1" outlineLevel="1"/>
    <col min="45" max="45" width="9.140625" customWidth="1" collapsed="1"/>
    <col min="46" max="46" width="10.28515625" bestFit="1" customWidth="1"/>
    <col min="47" max="47" width="10.42578125" bestFit="1" customWidth="1"/>
    <col min="48" max="48" width="11.5703125" bestFit="1" customWidth="1"/>
    <col min="50" max="50" width="11" bestFit="1" customWidth="1"/>
  </cols>
  <sheetData>
    <row r="1" spans="2:47" x14ac:dyDescent="0.25">
      <c r="B1" s="1"/>
      <c r="L1" s="2" t="s">
        <v>0</v>
      </c>
      <c r="M1" s="2"/>
      <c r="AS1" s="2" t="s">
        <v>1</v>
      </c>
    </row>
    <row r="2" spans="2:47" x14ac:dyDescent="0.25">
      <c r="P2" s="3"/>
    </row>
    <row r="3" spans="2:47" x14ac:dyDescent="0.25">
      <c r="B3" s="226" t="s">
        <v>207</v>
      </c>
      <c r="F3" s="4" t="s">
        <v>3</v>
      </c>
      <c r="M3" s="4" t="s">
        <v>4</v>
      </c>
      <c r="P3" s="3"/>
      <c r="Q3" s="3"/>
      <c r="Y3" s="5" t="s">
        <v>5</v>
      </c>
      <c r="Z3" s="6"/>
      <c r="AA3" s="7"/>
      <c r="AB3" s="5" t="s">
        <v>6</v>
      </c>
      <c r="AC3" s="6"/>
      <c r="AD3" s="7"/>
      <c r="AE3" s="5" t="s">
        <v>7</v>
      </c>
      <c r="AF3" s="7"/>
      <c r="AG3" s="7"/>
      <c r="AH3" s="8" t="s">
        <v>8</v>
      </c>
      <c r="AI3" s="6"/>
      <c r="AJ3" s="7"/>
      <c r="AK3" s="8" t="s">
        <v>9</v>
      </c>
      <c r="AL3" s="7"/>
      <c r="AM3" s="7"/>
      <c r="AN3" s="8" t="s">
        <v>10</v>
      </c>
      <c r="AO3" s="6"/>
      <c r="AP3" s="7"/>
      <c r="AQ3" s="8" t="s">
        <v>11</v>
      </c>
      <c r="AR3" s="7"/>
    </row>
    <row r="4" spans="2:47" x14ac:dyDescent="0.25">
      <c r="B4" s="9" t="s">
        <v>12</v>
      </c>
      <c r="C4" s="10">
        <v>43399</v>
      </c>
      <c r="D4" s="11"/>
      <c r="F4" s="12" t="s">
        <v>13</v>
      </c>
      <c r="G4" s="13" t="s">
        <v>14</v>
      </c>
      <c r="H4" s="13" t="s">
        <v>15</v>
      </c>
      <c r="I4" s="14" t="s">
        <v>16</v>
      </c>
      <c r="J4" s="15" t="s">
        <v>17</v>
      </c>
      <c r="K4" s="16" t="s">
        <v>18</v>
      </c>
      <c r="M4" s="17" t="s">
        <v>19</v>
      </c>
      <c r="N4" s="18" t="s">
        <v>20</v>
      </c>
      <c r="O4" s="19" t="s">
        <v>21</v>
      </c>
      <c r="P4" s="18" t="s">
        <v>22</v>
      </c>
      <c r="Q4" s="15" t="s">
        <v>23</v>
      </c>
      <c r="R4" s="20" t="str">
        <f>IF($C$17="FLOATING","FloatRate","FixedRate")</f>
        <v>FloatRate</v>
      </c>
      <c r="S4" s="18" t="s">
        <v>24</v>
      </c>
      <c r="T4" s="18" t="s">
        <v>25</v>
      </c>
      <c r="U4" s="14" t="s">
        <v>26</v>
      </c>
      <c r="V4" s="14" t="s">
        <v>27</v>
      </c>
      <c r="W4" s="21" t="s">
        <v>28</v>
      </c>
      <c r="AF4" s="22"/>
    </row>
    <row r="5" spans="2:47" x14ac:dyDescent="0.25">
      <c r="B5" s="23" t="s">
        <v>29</v>
      </c>
      <c r="C5" s="24" t="s">
        <v>30</v>
      </c>
      <c r="D5" s="25">
        <f ca="1">IF(ISNUMBER(MaturityYears),C5,C4+LEFT(MaturityYears,LEN(MaturityYears)-1)*365)</f>
        <v>45224</v>
      </c>
      <c r="E5" s="26">
        <v>0</v>
      </c>
      <c r="F5" s="27"/>
      <c r="G5" s="28" t="s">
        <v>31</v>
      </c>
      <c r="H5" s="28" t="s">
        <v>31</v>
      </c>
      <c r="I5" s="29" t="s">
        <v>31</v>
      </c>
      <c r="J5" s="30" t="s">
        <v>31</v>
      </c>
      <c r="K5" s="31">
        <f>G6</f>
        <v>43399</v>
      </c>
      <c r="L5" s="26">
        <v>0</v>
      </c>
      <c r="M5" s="32" t="s">
        <v>31</v>
      </c>
      <c r="N5" s="28" t="s">
        <v>31</v>
      </c>
      <c r="O5" s="33" t="s">
        <v>31</v>
      </c>
      <c r="P5" s="34">
        <f ca="1">IF(NotionalExchanges="YES",-IF(PayReceive1="PAY",-LegNotional1,LegNotional1),0)</f>
        <v>876962.20292905369</v>
      </c>
      <c r="Q5" s="35" t="s">
        <v>31</v>
      </c>
      <c r="R5" s="35" t="s">
        <v>31</v>
      </c>
      <c r="S5" s="34">
        <f>P5</f>
        <v>876962.20292905369</v>
      </c>
      <c r="T5" s="36">
        <f t="shared" ref="T5:T25" ca="1" si="0">IF($K5="","",VLOOKUP($K5,INDIRECT("EURDISCOUNTFACTORS_"&amp;CSACurrency&amp;"CSA"),2,FALSE))</f>
        <v>1</v>
      </c>
      <c r="U5" s="34">
        <f t="shared" ref="U5:U25" ca="1" si="1">IF($K5="","",S5*T5)</f>
        <v>876962.20292905369</v>
      </c>
      <c r="V5" s="37">
        <f t="shared" ref="V5:V25" ca="1" si="2">IF(U5="","",ValuationFXAdj1)</f>
        <v>1.1403000000000001</v>
      </c>
      <c r="W5" s="38">
        <f t="shared" ref="W5:W25" ca="1" si="3">IF(V5="","",V5*U5)</f>
        <v>1000000</v>
      </c>
      <c r="Y5" s="22" t="s">
        <v>13</v>
      </c>
      <c r="Z5" s="39" t="s">
        <v>32</v>
      </c>
      <c r="AA5" s="39"/>
      <c r="AB5" s="40" t="s">
        <v>13</v>
      </c>
      <c r="AC5" s="39" t="s">
        <v>32</v>
      </c>
      <c r="AD5" s="39"/>
      <c r="AE5" s="40" t="s">
        <v>13</v>
      </c>
      <c r="AF5" s="39" t="s">
        <v>21</v>
      </c>
      <c r="AG5" s="40"/>
      <c r="AH5" s="40" t="s">
        <v>18</v>
      </c>
      <c r="AI5" s="39" t="s">
        <v>25</v>
      </c>
      <c r="AJ5" s="39"/>
      <c r="AK5" s="40" t="s">
        <v>18</v>
      </c>
      <c r="AL5" s="39" t="s">
        <v>25</v>
      </c>
      <c r="AM5" s="40"/>
      <c r="AN5" s="40" t="s">
        <v>18</v>
      </c>
      <c r="AO5" s="39" t="s">
        <v>25</v>
      </c>
      <c r="AP5" s="39"/>
      <c r="AQ5" s="40" t="s">
        <v>18</v>
      </c>
      <c r="AR5" s="39" t="s">
        <v>25</v>
      </c>
      <c r="AU5" s="41"/>
    </row>
    <row r="6" spans="2:47" x14ac:dyDescent="0.25">
      <c r="B6" s="23" t="s">
        <v>33</v>
      </c>
      <c r="C6" s="42">
        <v>1000000</v>
      </c>
      <c r="D6" s="43"/>
      <c r="E6" s="26">
        <v>1</v>
      </c>
      <c r="F6" s="27">
        <f>G6</f>
        <v>43399</v>
      </c>
      <c r="G6" s="28">
        <f>$C$4</f>
        <v>43399</v>
      </c>
      <c r="H6" s="28">
        <f>G6+0.25*365</f>
        <v>43490.25</v>
      </c>
      <c r="I6" s="29">
        <f t="shared" ref="I6:I25" si="4">IF(H6="","",ROUND(H6-G6,0))</f>
        <v>91</v>
      </c>
      <c r="J6" s="37">
        <f ca="1">IF(I6="","",IF($C$57="YES",J58,I6/RIGHT(DayCountBasis1,3)))</f>
        <v>0.26111111111111102</v>
      </c>
      <c r="K6" s="31">
        <f>H6</f>
        <v>43490.25</v>
      </c>
      <c r="L6" s="26">
        <v>1</v>
      </c>
      <c r="M6" s="32">
        <f t="shared" ref="M6:M25" ca="1" si="5">IF($K6="","",IF(PayReceive1="PAY",-LegNotional1,LegNotional1)*IF(AND(MTM="YES",ResetCurrency=LegCurrency1),O6/LegSpotFX1,1))</f>
        <v>-876962.20292905369</v>
      </c>
      <c r="N6" s="28">
        <f t="shared" ref="N6:N25" si="6">F6</f>
        <v>43399</v>
      </c>
      <c r="O6" s="33">
        <f t="shared" ref="O6:O25" ca="1" si="7">IF($N6="","",IF(LegResetsRequired1="YES",VLOOKUP(N6,FORWARDFX,2,FALSE),1))</f>
        <v>1</v>
      </c>
      <c r="P6" s="34">
        <f t="shared" ref="P6:P25" ca="1" si="8">IF(K6="","",IF(K6=MaturityDate,IF(NotionalExchanges="YES",M6,0),IF(LegResetsRequired1="YES",M6-M7,0)))</f>
        <v>0</v>
      </c>
      <c r="Q6" s="35">
        <f t="shared" ref="Q6:Q25" ca="1" si="9">IF(P6="","",IF(LegType1="FLOATING",RateOrSpread1,0))</f>
        <v>0</v>
      </c>
      <c r="R6" s="35">
        <f t="shared" ref="R6:R25" ca="1" si="10">IF($F6="","",IF(LegType1="FIXED",RateOrSpread1,VLOOKUP($F6,EURIBOR3M,2,FALSE)))</f>
        <v>-3.1695013258222198E-3</v>
      </c>
      <c r="S6" s="34">
        <f t="shared" ref="S6:S25" ca="1" si="11">IF($K6="","",P6+M6*(R6+Q6)*J6)</f>
        <v>725.76691471856464</v>
      </c>
      <c r="T6" s="36">
        <f t="shared" ca="1" si="0"/>
        <v>1.00236535168462</v>
      </c>
      <c r="U6" s="34">
        <f t="shared" ca="1" si="1"/>
        <v>727.48360871293573</v>
      </c>
      <c r="V6" s="37">
        <f t="shared" ca="1" si="2"/>
        <v>1.1403000000000001</v>
      </c>
      <c r="W6" s="38">
        <f t="shared" ca="1" si="3"/>
        <v>829.54955901536073</v>
      </c>
      <c r="Y6" s="44">
        <f>$C$4</f>
        <v>43399</v>
      </c>
      <c r="Z6" s="45">
        <v>-3.1695013258222198E-3</v>
      </c>
      <c r="AA6" s="39"/>
      <c r="AB6" s="44">
        <f>$C$4</f>
        <v>43399</v>
      </c>
      <c r="AC6" s="45">
        <v>2.4747536910397799E-2</v>
      </c>
      <c r="AD6" s="39"/>
      <c r="AE6" s="44">
        <f>$C$4</f>
        <v>43399</v>
      </c>
      <c r="AF6" s="46">
        <v>0.87696220292905369</v>
      </c>
      <c r="AG6" s="47" t="s">
        <v>34</v>
      </c>
      <c r="AH6" s="44">
        <f>$C$4</f>
        <v>43399</v>
      </c>
      <c r="AI6" s="48">
        <v>1</v>
      </c>
      <c r="AJ6" s="39"/>
      <c r="AK6" s="44">
        <f>$C$4</f>
        <v>43399</v>
      </c>
      <c r="AL6" s="48">
        <v>1</v>
      </c>
      <c r="AM6" s="40"/>
      <c r="AN6" s="44">
        <f>$C$4</f>
        <v>43399</v>
      </c>
      <c r="AO6" s="48">
        <v>1</v>
      </c>
      <c r="AP6" s="39"/>
      <c r="AQ6" s="44">
        <f>$C$4</f>
        <v>43399</v>
      </c>
      <c r="AR6" s="48">
        <v>1</v>
      </c>
      <c r="AT6" s="49"/>
      <c r="AU6" s="41"/>
    </row>
    <row r="7" spans="2:47" x14ac:dyDescent="0.25">
      <c r="B7" s="23" t="s">
        <v>35</v>
      </c>
      <c r="C7" s="50" t="s">
        <v>36</v>
      </c>
      <c r="D7" s="43"/>
      <c r="E7" s="26">
        <v>2</v>
      </c>
      <c r="F7" s="51">
        <f t="shared" ref="F7:F25" si="12">G7</f>
        <v>43490.25</v>
      </c>
      <c r="G7" s="52">
        <f t="shared" ref="G7:G25" ca="1" si="13">IF(OR(H6="",H6&gt;=MaturityDate),"",H6)</f>
        <v>43490.25</v>
      </c>
      <c r="H7" s="52">
        <f t="shared" ref="H7:H25" si="14">IF(G7="","",G7+0.25*365)</f>
        <v>43581.5</v>
      </c>
      <c r="I7" s="53">
        <f t="shared" si="4"/>
        <v>91</v>
      </c>
      <c r="J7" s="54">
        <f ca="1">IF(I7="","",IF($C$57="YES",J59,I7/RIGHT(DayCountBasis1,3)))</f>
        <v>0.24444444444444399</v>
      </c>
      <c r="K7" s="25">
        <f>H7</f>
        <v>43581.5</v>
      </c>
      <c r="L7" s="26">
        <v>2</v>
      </c>
      <c r="M7" s="55">
        <f t="shared" ca="1" si="5"/>
        <v>-876962.20292905369</v>
      </c>
      <c r="N7" s="52">
        <f t="shared" si="6"/>
        <v>43490.25</v>
      </c>
      <c r="O7" s="56">
        <f t="shared" ca="1" si="7"/>
        <v>1</v>
      </c>
      <c r="P7" s="57">
        <f t="shared" ca="1" si="8"/>
        <v>0</v>
      </c>
      <c r="Q7" s="58">
        <f t="shared" ca="1" si="9"/>
        <v>0</v>
      </c>
      <c r="R7" s="58">
        <f t="shared" ca="1" si="10"/>
        <v>-3.1644180339047701E-3</v>
      </c>
      <c r="S7" s="57">
        <f t="shared" ca="1" si="11"/>
        <v>678.35166911148929</v>
      </c>
      <c r="T7" s="59">
        <f t="shared" ca="1" si="0"/>
        <v>1.0041822883354501</v>
      </c>
      <c r="U7" s="57">
        <f t="shared" ca="1" si="1"/>
        <v>681.1887313845474</v>
      </c>
      <c r="V7" s="54">
        <f t="shared" ca="1" si="2"/>
        <v>1.1403000000000001</v>
      </c>
      <c r="W7" s="60">
        <f t="shared" ca="1" si="3"/>
        <v>776.75951039779943</v>
      </c>
      <c r="Y7" s="51">
        <f t="shared" ref="Y7:Y45" si="15">Y6+0.25*365</f>
        <v>43490.25</v>
      </c>
      <c r="Z7" s="61">
        <v>-3.1644180339047701E-3</v>
      </c>
      <c r="AA7" s="39"/>
      <c r="AB7" s="51">
        <f t="shared" ref="AB7:AB45" si="16">AB6+0.25*365</f>
        <v>43490.25</v>
      </c>
      <c r="AC7" s="61">
        <v>2.7958065227277701E-2</v>
      </c>
      <c r="AD7" s="39"/>
      <c r="AE7" s="51">
        <f t="shared" ref="AE7:AE45" si="17">AE6+0.25*365</f>
        <v>43490.25</v>
      </c>
      <c r="AF7" s="62">
        <f t="shared" ref="AF7:AF45" si="18">$AF$6*AR7/AO7</f>
        <v>0.86980133315540076</v>
      </c>
      <c r="AG7" s="63"/>
      <c r="AH7" s="51">
        <f t="shared" ref="AH7:AH46" si="19">AH6+0.25*365</f>
        <v>43490.25</v>
      </c>
      <c r="AI7" s="64">
        <v>1.0009157266770501</v>
      </c>
      <c r="AJ7" s="39"/>
      <c r="AK7" s="51">
        <f t="shared" ref="AK7:AK46" si="20">AK6+0.25*365</f>
        <v>43490.25</v>
      </c>
      <c r="AL7" s="64">
        <v>0.99248914934994703</v>
      </c>
      <c r="AM7" s="40"/>
      <c r="AN7" s="51">
        <f t="shared" ref="AN7:AN46" si="21">AN6+0.25*365</f>
        <v>43490.25</v>
      </c>
      <c r="AO7" s="64">
        <v>1.00236535168462</v>
      </c>
      <c r="AP7" s="39"/>
      <c r="AQ7" s="51">
        <f t="shared" ref="AQ7:AQ46" si="22">AQ6+0.25*365</f>
        <v>43490.25</v>
      </c>
      <c r="AR7" s="64">
        <v>0.99418049750839499</v>
      </c>
      <c r="AT7" s="49"/>
    </row>
    <row r="8" spans="2:47" x14ac:dyDescent="0.25">
      <c r="B8" s="65" t="s">
        <v>37</v>
      </c>
      <c r="C8" s="66" t="s">
        <v>38</v>
      </c>
      <c r="D8" s="43"/>
      <c r="E8" s="26">
        <v>3</v>
      </c>
      <c r="F8" s="51">
        <f t="shared" si="12"/>
        <v>43581.5</v>
      </c>
      <c r="G8" s="52">
        <f t="shared" ca="1" si="13"/>
        <v>43581.5</v>
      </c>
      <c r="H8" s="52">
        <f t="shared" si="14"/>
        <v>43672.75</v>
      </c>
      <c r="I8" s="53">
        <f t="shared" si="4"/>
        <v>91</v>
      </c>
      <c r="J8" s="54">
        <f ca="1">IF(I8="","",IF($C$57="YES",J60,I8/RIGHT(DayCountBasis1,3)))</f>
        <v>0.25277777777777799</v>
      </c>
      <c r="K8" s="25">
        <f>H8</f>
        <v>43672.75</v>
      </c>
      <c r="L8" s="26">
        <v>3</v>
      </c>
      <c r="M8" s="55">
        <f t="shared" ca="1" si="5"/>
        <v>-876962.20292905369</v>
      </c>
      <c r="N8" s="52">
        <f t="shared" si="6"/>
        <v>43581.5</v>
      </c>
      <c r="O8" s="56">
        <f t="shared" ca="1" si="7"/>
        <v>1</v>
      </c>
      <c r="P8" s="57">
        <f t="shared" ca="1" si="8"/>
        <v>0</v>
      </c>
      <c r="Q8" s="58">
        <f t="shared" ca="1" si="9"/>
        <v>0</v>
      </c>
      <c r="R8" s="58">
        <f t="shared" ca="1" si="10"/>
        <v>-2.8930721879165499E-3</v>
      </c>
      <c r="S8" s="57">
        <f t="shared" ca="1" si="11"/>
        <v>641.32628134020831</v>
      </c>
      <c r="T8" s="59">
        <f t="shared" ca="1" si="0"/>
        <v>1.00592632387728</v>
      </c>
      <c r="U8" s="57">
        <f t="shared" ca="1" si="1"/>
        <v>645.12698859444197</v>
      </c>
      <c r="V8" s="54">
        <f t="shared" ca="1" si="2"/>
        <v>1.1403000000000001</v>
      </c>
      <c r="W8" s="60">
        <f t="shared" ca="1" si="3"/>
        <v>735.63830509424224</v>
      </c>
      <c r="Y8" s="51">
        <f t="shared" si="15"/>
        <v>43581.5</v>
      </c>
      <c r="Z8" s="61">
        <v>-2.8930721879165499E-3</v>
      </c>
      <c r="AA8" s="39"/>
      <c r="AB8" s="51">
        <f t="shared" si="16"/>
        <v>43581.5</v>
      </c>
      <c r="AC8" s="61">
        <v>2.9376405846927599E-2</v>
      </c>
      <c r="AD8" s="39"/>
      <c r="AE8" s="51">
        <f t="shared" si="17"/>
        <v>43581.5</v>
      </c>
      <c r="AF8" s="62">
        <f t="shared" si="18"/>
        <v>0.86286556533170844</v>
      </c>
      <c r="AG8" s="63"/>
      <c r="AH8" s="51">
        <f t="shared" si="19"/>
        <v>43581.5</v>
      </c>
      <c r="AI8" s="64">
        <v>1.00180809664643</v>
      </c>
      <c r="AJ8" s="39"/>
      <c r="AK8" s="51">
        <f t="shared" si="20"/>
        <v>43581.5</v>
      </c>
      <c r="AL8" s="64">
        <v>0.98542292660754005</v>
      </c>
      <c r="AM8" s="40"/>
      <c r="AN8" s="51">
        <f t="shared" si="21"/>
        <v>43581.5</v>
      </c>
      <c r="AO8" s="64">
        <v>1.0041822883354501</v>
      </c>
      <c r="AP8" s="39"/>
      <c r="AQ8" s="51">
        <f t="shared" si="22"/>
        <v>43581.5</v>
      </c>
      <c r="AR8" s="64">
        <v>0.98804066472492502</v>
      </c>
    </row>
    <row r="9" spans="2:47" x14ac:dyDescent="0.25">
      <c r="B9" s="65" t="s">
        <v>39</v>
      </c>
      <c r="C9" s="67" t="s">
        <v>38</v>
      </c>
      <c r="D9" s="43"/>
      <c r="E9" s="26">
        <v>4</v>
      </c>
      <c r="F9" s="51">
        <f t="shared" si="12"/>
        <v>43672.75</v>
      </c>
      <c r="G9" s="52">
        <f t="shared" ca="1" si="13"/>
        <v>43672.75</v>
      </c>
      <c r="H9" s="52">
        <f t="shared" si="14"/>
        <v>43764</v>
      </c>
      <c r="I9" s="53">
        <f t="shared" si="4"/>
        <v>91</v>
      </c>
      <c r="J9" s="54">
        <f ca="1">IF(I9="","",IF($C$57="YES",J61,I9/RIGHT(DayCountBasis1,3)))</f>
        <v>0.26111111111111102</v>
      </c>
      <c r="K9" s="25">
        <f>H9</f>
        <v>43764</v>
      </c>
      <c r="L9" s="26">
        <v>4</v>
      </c>
      <c r="M9" s="55">
        <f t="shared" ca="1" si="5"/>
        <v>-876962.20292905369</v>
      </c>
      <c r="N9" s="52">
        <f t="shared" si="6"/>
        <v>43672.75</v>
      </c>
      <c r="O9" s="56">
        <f t="shared" ca="1" si="7"/>
        <v>1</v>
      </c>
      <c r="P9" s="57">
        <f t="shared" ca="1" si="8"/>
        <v>0</v>
      </c>
      <c r="Q9" s="58">
        <f t="shared" ca="1" si="9"/>
        <v>0</v>
      </c>
      <c r="R9" s="58">
        <f t="shared" ca="1" si="10"/>
        <v>-2.2709270083431498E-3</v>
      </c>
      <c r="S9" s="57">
        <f t="shared" ca="1" si="11"/>
        <v>520.00725633667548</v>
      </c>
      <c r="T9" s="59">
        <f t="shared" ca="1" si="0"/>
        <v>1.0078070969733499</v>
      </c>
      <c r="U9" s="57">
        <f t="shared" ca="1" si="1"/>
        <v>524.06700341374153</v>
      </c>
      <c r="V9" s="54">
        <f t="shared" ca="1" si="2"/>
        <v>1.1403000000000001</v>
      </c>
      <c r="W9" s="60">
        <f t="shared" ca="1" si="3"/>
        <v>597.59360399268951</v>
      </c>
      <c r="Y9" s="51">
        <f t="shared" si="15"/>
        <v>43672.75</v>
      </c>
      <c r="Z9" s="61">
        <v>-2.2709270083431498E-3</v>
      </c>
      <c r="AA9" s="39"/>
      <c r="AB9" s="51">
        <f t="shared" si="16"/>
        <v>43672.75</v>
      </c>
      <c r="AC9" s="61">
        <v>3.0538343749320799E-2</v>
      </c>
      <c r="AD9" s="39"/>
      <c r="AE9" s="51">
        <f t="shared" si="17"/>
        <v>43672.75</v>
      </c>
      <c r="AF9" s="62">
        <f t="shared" si="18"/>
        <v>0.85559656983436139</v>
      </c>
      <c r="AG9" s="63"/>
      <c r="AH9" s="51">
        <f t="shared" si="19"/>
        <v>43672.75</v>
      </c>
      <c r="AI9" s="64">
        <v>1.00269935020904</v>
      </c>
      <c r="AJ9" s="39"/>
      <c r="AK9" s="51">
        <f t="shared" si="20"/>
        <v>43672.75</v>
      </c>
      <c r="AL9" s="64">
        <v>0.97795729950917498</v>
      </c>
      <c r="AM9" s="40"/>
      <c r="AN9" s="51">
        <f t="shared" si="21"/>
        <v>43672.75</v>
      </c>
      <c r="AO9" s="64">
        <v>1.00592632387728</v>
      </c>
      <c r="AP9" s="39"/>
      <c r="AQ9" s="51">
        <f t="shared" si="22"/>
        <v>43672.75</v>
      </c>
      <c r="AR9" s="64">
        <v>0.98141870805932296</v>
      </c>
      <c r="AT9" s="49"/>
    </row>
    <row r="10" spans="2:47" x14ac:dyDescent="0.25">
      <c r="B10" s="23" t="s">
        <v>40</v>
      </c>
      <c r="C10" s="50" t="s">
        <v>36</v>
      </c>
      <c r="D10" s="68" t="str">
        <f ca="1">IF(MTM="YES",ResetCurrency,"")</f>
        <v>USD</v>
      </c>
      <c r="E10" s="26">
        <v>5</v>
      </c>
      <c r="F10" s="51">
        <f t="shared" si="12"/>
        <v>43764</v>
      </c>
      <c r="G10" s="52">
        <f t="shared" ca="1" si="13"/>
        <v>43764</v>
      </c>
      <c r="H10" s="52">
        <f t="shared" si="14"/>
        <v>43855.25</v>
      </c>
      <c r="I10" s="53">
        <f t="shared" si="4"/>
        <v>91</v>
      </c>
      <c r="J10" s="54">
        <f ca="1">IF(I10="","",IF($C$57="YES",J62,I10/RIGHT(DayCountBasis1,3)))</f>
        <v>0.25277777777777799</v>
      </c>
      <c r="K10" s="25">
        <f t="shared" ref="K10:K25" si="23">H10</f>
        <v>43855.25</v>
      </c>
      <c r="L10" s="26">
        <v>5</v>
      </c>
      <c r="M10" s="55">
        <f t="shared" ca="1" si="5"/>
        <v>-876962.20292905369</v>
      </c>
      <c r="N10" s="52">
        <f t="shared" si="6"/>
        <v>43764</v>
      </c>
      <c r="O10" s="56">
        <f t="shared" ca="1" si="7"/>
        <v>1</v>
      </c>
      <c r="P10" s="57">
        <f t="shared" ca="1" si="8"/>
        <v>0</v>
      </c>
      <c r="Q10" s="58">
        <f t="shared" ca="1" si="9"/>
        <v>0</v>
      </c>
      <c r="R10" s="58">
        <f t="shared" ca="1" si="10"/>
        <v>-1.3633904148088599E-3</v>
      </c>
      <c r="S10" s="57">
        <f t="shared" ca="1" si="11"/>
        <v>302.23169279918136</v>
      </c>
      <c r="T10" s="59">
        <f t="shared" ca="1" si="0"/>
        <v>1.00946713999049</v>
      </c>
      <c r="U10" s="57">
        <f t="shared" ca="1" si="1"/>
        <v>305.09296254447395</v>
      </c>
      <c r="V10" s="54">
        <f t="shared" ca="1" si="2"/>
        <v>1.1403000000000001</v>
      </c>
      <c r="W10" s="60">
        <f t="shared" ca="1" si="3"/>
        <v>347.89750518946369</v>
      </c>
      <c r="Y10" s="51">
        <f t="shared" si="15"/>
        <v>43764</v>
      </c>
      <c r="Z10" s="61">
        <v>-1.3633904148088599E-3</v>
      </c>
      <c r="AA10" s="39"/>
      <c r="AB10" s="51">
        <f t="shared" si="16"/>
        <v>43764</v>
      </c>
      <c r="AC10" s="61">
        <v>3.1352922069901999E-2</v>
      </c>
      <c r="AD10" s="39"/>
      <c r="AE10" s="51">
        <f t="shared" si="17"/>
        <v>43764</v>
      </c>
      <c r="AF10" s="62">
        <f t="shared" si="18"/>
        <v>0.84824264413400086</v>
      </c>
      <c r="AG10" s="63"/>
      <c r="AH10" s="51">
        <f t="shared" si="19"/>
        <v>43764</v>
      </c>
      <c r="AI10" s="64">
        <v>1.00352040533304</v>
      </c>
      <c r="AJ10" s="39"/>
      <c r="AK10" s="51">
        <f t="shared" si="20"/>
        <v>43764</v>
      </c>
      <c r="AL10" s="64">
        <v>0.97035149731412096</v>
      </c>
      <c r="AM10" s="40"/>
      <c r="AN10" s="51">
        <f t="shared" si="21"/>
        <v>43764</v>
      </c>
      <c r="AO10" s="64">
        <v>1.0078070969733499</v>
      </c>
      <c r="AP10" s="39"/>
      <c r="AQ10" s="51">
        <f t="shared" si="22"/>
        <v>43764</v>
      </c>
      <c r="AR10" s="64">
        <v>0.97480251014061603</v>
      </c>
    </row>
    <row r="11" spans="2:47" ht="15.75" thickBot="1" x14ac:dyDescent="0.3">
      <c r="B11" s="65" t="s">
        <v>41</v>
      </c>
      <c r="C11" s="50" t="s">
        <v>36</v>
      </c>
      <c r="D11" s="43"/>
      <c r="E11" s="26">
        <v>6</v>
      </c>
      <c r="F11" s="51">
        <f t="shared" si="12"/>
        <v>43855.25</v>
      </c>
      <c r="G11" s="52">
        <f t="shared" ca="1" si="13"/>
        <v>43855.25</v>
      </c>
      <c r="H11" s="52">
        <f t="shared" si="14"/>
        <v>43946.5</v>
      </c>
      <c r="I11" s="53">
        <f t="shared" si="4"/>
        <v>91</v>
      </c>
      <c r="J11" s="54">
        <f ca="1">IF(I11="","",IF($C$57="YES",J63,I11/RIGHT(DayCountBasis1,3)))</f>
        <v>0.25277777777777799</v>
      </c>
      <c r="K11" s="25">
        <f t="shared" si="23"/>
        <v>43946.5</v>
      </c>
      <c r="L11" s="26">
        <v>6</v>
      </c>
      <c r="M11" s="55">
        <f t="shared" ca="1" si="5"/>
        <v>-876962.20292905369</v>
      </c>
      <c r="N11" s="52">
        <f t="shared" si="6"/>
        <v>43855.25</v>
      </c>
      <c r="O11" s="56">
        <f t="shared" ca="1" si="7"/>
        <v>1</v>
      </c>
      <c r="P11" s="57">
        <f t="shared" ca="1" si="8"/>
        <v>0</v>
      </c>
      <c r="Q11" s="58">
        <f t="shared" ca="1" si="9"/>
        <v>0</v>
      </c>
      <c r="R11" s="58">
        <f t="shared" ca="1" si="10"/>
        <v>-5.0212137048826497E-4</v>
      </c>
      <c r="S11" s="57">
        <f t="shared" ca="1" si="11"/>
        <v>111.30853653140048</v>
      </c>
      <c r="T11" s="59">
        <f t="shared" ca="1" si="0"/>
        <v>1.01083505437409</v>
      </c>
      <c r="U11" s="57">
        <f t="shared" ca="1" si="1"/>
        <v>112.51457057701859</v>
      </c>
      <c r="V11" s="54">
        <f t="shared" ca="1" si="2"/>
        <v>1.1403000000000001</v>
      </c>
      <c r="W11" s="60">
        <f t="shared" ca="1" si="3"/>
        <v>128.3003648289743</v>
      </c>
      <c r="Y11" s="51">
        <f t="shared" si="15"/>
        <v>43855.25</v>
      </c>
      <c r="Z11" s="61">
        <v>-5.0212137048826497E-4</v>
      </c>
      <c r="AA11" s="39"/>
      <c r="AB11" s="51">
        <f t="shared" si="16"/>
        <v>43855.25</v>
      </c>
      <c r="AC11" s="61">
        <v>3.17494350174755E-2</v>
      </c>
      <c r="AD11" s="39"/>
      <c r="AE11" s="51">
        <f t="shared" si="17"/>
        <v>43855.25</v>
      </c>
      <c r="AF11" s="62">
        <f t="shared" si="18"/>
        <v>0.84099780809355285</v>
      </c>
      <c r="AG11" s="63"/>
      <c r="AH11" s="51">
        <f t="shared" si="19"/>
        <v>43855.25</v>
      </c>
      <c r="AI11" s="64">
        <v>1.0041539103633501</v>
      </c>
      <c r="AJ11" s="39"/>
      <c r="AK11" s="51">
        <f t="shared" si="20"/>
        <v>43855.25</v>
      </c>
      <c r="AL11" s="64">
        <v>0.96270884993585304</v>
      </c>
      <c r="AM11" s="40"/>
      <c r="AN11" s="51">
        <f t="shared" si="21"/>
        <v>43855.25</v>
      </c>
      <c r="AO11" s="64">
        <v>1.00946713999049</v>
      </c>
      <c r="AP11" s="39"/>
      <c r="AQ11" s="51">
        <f t="shared" si="22"/>
        <v>43855.25</v>
      </c>
      <c r="AR11" s="64">
        <v>0.96806869126051798</v>
      </c>
    </row>
    <row r="12" spans="2:47" ht="15.75" thickTop="1" x14ac:dyDescent="0.25">
      <c r="B12" s="69" t="s">
        <v>42</v>
      </c>
      <c r="C12" s="70" t="s">
        <v>36</v>
      </c>
      <c r="D12" s="71"/>
      <c r="E12" s="26">
        <v>7</v>
      </c>
      <c r="F12" s="51">
        <f t="shared" si="12"/>
        <v>43946.5</v>
      </c>
      <c r="G12" s="52">
        <f t="shared" ca="1" si="13"/>
        <v>43946.5</v>
      </c>
      <c r="H12" s="52">
        <f t="shared" si="14"/>
        <v>44037.75</v>
      </c>
      <c r="I12" s="53">
        <f t="shared" si="4"/>
        <v>91</v>
      </c>
      <c r="J12" s="54">
        <f ca="1">IF(I12="","",IF($C$57="YES",J64,I12/RIGHT(DayCountBasis1,3)))</f>
        <v>0.25277777777777799</v>
      </c>
      <c r="K12" s="25">
        <f t="shared" si="23"/>
        <v>44037.75</v>
      </c>
      <c r="L12" s="26">
        <v>7</v>
      </c>
      <c r="M12" s="55">
        <f t="shared" ca="1" si="5"/>
        <v>-876962.20292905369</v>
      </c>
      <c r="N12" s="52">
        <f t="shared" si="6"/>
        <v>43946.5</v>
      </c>
      <c r="O12" s="56">
        <f t="shared" ca="1" si="7"/>
        <v>1</v>
      </c>
      <c r="P12" s="57">
        <f t="shared" ca="1" si="8"/>
        <v>0</v>
      </c>
      <c r="Q12" s="58">
        <f t="shared" ca="1" si="9"/>
        <v>0</v>
      </c>
      <c r="R12" s="58">
        <f t="shared" ca="1" si="10"/>
        <v>2.21602519978994E-4</v>
      </c>
      <c r="S12" s="57">
        <f t="shared" ca="1" si="11"/>
        <v>-49.124083618561556</v>
      </c>
      <c r="T12" s="59">
        <f t="shared" ca="1" si="0"/>
        <v>1.01199660498894</v>
      </c>
      <c r="U12" s="57">
        <f t="shared" ca="1" si="1"/>
        <v>-49.713405845177093</v>
      </c>
      <c r="V12" s="54">
        <f t="shared" ca="1" si="2"/>
        <v>1.1403000000000001</v>
      </c>
      <c r="W12" s="60">
        <f t="shared" ca="1" si="3"/>
        <v>-56.688196685255441</v>
      </c>
      <c r="Y12" s="51">
        <f t="shared" si="15"/>
        <v>43946.5</v>
      </c>
      <c r="Z12" s="61">
        <v>2.21602519978994E-4</v>
      </c>
      <c r="AA12" s="39"/>
      <c r="AB12" s="51">
        <f t="shared" si="16"/>
        <v>43946.5</v>
      </c>
      <c r="AC12" s="61">
        <v>3.1767438395896998E-2</v>
      </c>
      <c r="AD12" s="39"/>
      <c r="AE12" s="51">
        <f t="shared" si="17"/>
        <v>43946.5</v>
      </c>
      <c r="AF12" s="62">
        <f t="shared" si="18"/>
        <v>0.83393090157823224</v>
      </c>
      <c r="AG12" s="63"/>
      <c r="AH12" s="51">
        <f t="shared" si="19"/>
        <v>43946.5</v>
      </c>
      <c r="AI12" s="64">
        <v>1.00461403830851</v>
      </c>
      <c r="AJ12" s="39"/>
      <c r="AK12" s="51">
        <f t="shared" si="20"/>
        <v>43946.5</v>
      </c>
      <c r="AL12" s="64">
        <v>0.95511009578509698</v>
      </c>
      <c r="AM12" s="40"/>
      <c r="AN12" s="51">
        <f t="shared" si="21"/>
        <v>43946.5</v>
      </c>
      <c r="AO12" s="64">
        <v>1.01083505437409</v>
      </c>
      <c r="AP12" s="39"/>
      <c r="AQ12" s="51">
        <f t="shared" si="22"/>
        <v>43946.5</v>
      </c>
      <c r="AR12" s="64">
        <v>0.96123480057128796</v>
      </c>
      <c r="AT12" s="72"/>
    </row>
    <row r="13" spans="2:47" ht="15.75" thickBot="1" x14ac:dyDescent="0.3">
      <c r="B13" s="73" t="s">
        <v>27</v>
      </c>
      <c r="C13" s="74">
        <f ca="1">IF(ValuationCurrency="USD",1/SpotFX,SpotFX)</f>
        <v>1.1403000000000001</v>
      </c>
      <c r="D13" s="75" t="str">
        <f ca="1">IF($C$12="USD","USD/EUR","EUR/USD")</f>
        <v>USD/EUR</v>
      </c>
      <c r="E13" s="26">
        <v>8</v>
      </c>
      <c r="F13" s="51">
        <f t="shared" si="12"/>
        <v>44037.75</v>
      </c>
      <c r="G13" s="52">
        <f t="shared" ca="1" si="13"/>
        <v>44037.75</v>
      </c>
      <c r="H13" s="52">
        <f t="shared" si="14"/>
        <v>44129</v>
      </c>
      <c r="I13" s="53">
        <f t="shared" si="4"/>
        <v>91</v>
      </c>
      <c r="J13" s="54">
        <f ca="1">IF(I13="","",IF($C$57="YES",J65,I13/RIGHT(DayCountBasis1,3)))</f>
        <v>0.25277777777777799</v>
      </c>
      <c r="K13" s="25">
        <f t="shared" si="23"/>
        <v>44129</v>
      </c>
      <c r="L13" s="26">
        <v>8</v>
      </c>
      <c r="M13" s="55">
        <f t="shared" ca="1" si="5"/>
        <v>-876962.20292905369</v>
      </c>
      <c r="N13" s="52">
        <f t="shared" si="6"/>
        <v>44037.75</v>
      </c>
      <c r="O13" s="56">
        <f t="shared" ca="1" si="7"/>
        <v>1</v>
      </c>
      <c r="P13" s="57">
        <f t="shared" ca="1" si="8"/>
        <v>0</v>
      </c>
      <c r="Q13" s="58">
        <f t="shared" ca="1" si="9"/>
        <v>0</v>
      </c>
      <c r="R13" s="58">
        <f t="shared" ca="1" si="10"/>
        <v>8.2494566673071697E-4</v>
      </c>
      <c r="S13" s="57">
        <f t="shared" ca="1" si="11"/>
        <v>-182.87111499043942</v>
      </c>
      <c r="T13" s="59">
        <f t="shared" ca="1" si="0"/>
        <v>1.01304655132831</v>
      </c>
      <c r="U13" s="57">
        <f t="shared" ca="1" si="1"/>
        <v>-185.25695237862746</v>
      </c>
      <c r="V13" s="54">
        <f t="shared" ca="1" si="2"/>
        <v>1.1403000000000001</v>
      </c>
      <c r="W13" s="60">
        <f t="shared" ca="1" si="3"/>
        <v>-211.24850279734892</v>
      </c>
      <c r="Y13" s="51">
        <f t="shared" si="15"/>
        <v>44037.75</v>
      </c>
      <c r="Z13" s="61">
        <v>8.2494566673071697E-4</v>
      </c>
      <c r="AA13" s="39"/>
      <c r="AB13" s="51">
        <f t="shared" si="16"/>
        <v>44037.75</v>
      </c>
      <c r="AC13" s="61">
        <v>3.1642638428496399E-2</v>
      </c>
      <c r="AD13" s="39"/>
      <c r="AE13" s="51">
        <f t="shared" si="17"/>
        <v>44037.75</v>
      </c>
      <c r="AF13" s="62">
        <f t="shared" si="18"/>
        <v>0.82695172093193103</v>
      </c>
      <c r="AG13" s="63"/>
      <c r="AH13" s="51">
        <f t="shared" si="19"/>
        <v>44037.75</v>
      </c>
      <c r="AI13" s="64">
        <v>1.0048697030186799</v>
      </c>
      <c r="AJ13" s="39"/>
      <c r="AK13" s="51">
        <f t="shared" si="20"/>
        <v>44037.75</v>
      </c>
      <c r="AL13" s="64">
        <v>0.94744287849929498</v>
      </c>
      <c r="AM13" s="40"/>
      <c r="AN13" s="51">
        <f t="shared" si="21"/>
        <v>44037.75</v>
      </c>
      <c r="AO13" s="64">
        <v>1.01199660498894</v>
      </c>
      <c r="AP13" s="39"/>
      <c r="AQ13" s="51">
        <f t="shared" si="22"/>
        <v>44037.75</v>
      </c>
      <c r="AR13" s="64">
        <v>0.95428552254330001</v>
      </c>
    </row>
    <row r="14" spans="2:47" ht="15.75" thickTop="1" x14ac:dyDescent="0.25">
      <c r="B14" s="262" t="s">
        <v>43</v>
      </c>
      <c r="C14" s="263" t="s">
        <v>44</v>
      </c>
      <c r="D14" s="264" t="s">
        <v>36</v>
      </c>
      <c r="E14" s="26">
        <v>9</v>
      </c>
      <c r="F14" s="51">
        <f t="shared" si="12"/>
        <v>44129</v>
      </c>
      <c r="G14" s="52">
        <f t="shared" ca="1" si="13"/>
        <v>44129</v>
      </c>
      <c r="H14" s="52">
        <f t="shared" si="14"/>
        <v>44220.25</v>
      </c>
      <c r="I14" s="53">
        <f t="shared" si="4"/>
        <v>91</v>
      </c>
      <c r="J14" s="54">
        <f ca="1">IF(I14="","",IF($C$57="YES",J66,I14/RIGHT(DayCountBasis1,3)))</f>
        <v>0.25555555555555598</v>
      </c>
      <c r="K14" s="25">
        <f t="shared" si="23"/>
        <v>44220.25</v>
      </c>
      <c r="L14" s="26">
        <v>9</v>
      </c>
      <c r="M14" s="55">
        <f t="shared" ca="1" si="5"/>
        <v>-876962.20292905369</v>
      </c>
      <c r="N14" s="52">
        <f t="shared" si="6"/>
        <v>44129</v>
      </c>
      <c r="O14" s="56">
        <f t="shared" ca="1" si="7"/>
        <v>1</v>
      </c>
      <c r="P14" s="57">
        <f t="shared" ca="1" si="8"/>
        <v>0</v>
      </c>
      <c r="Q14" s="58">
        <f t="shared" ca="1" si="9"/>
        <v>0</v>
      </c>
      <c r="R14" s="58">
        <f t="shared" ca="1" si="10"/>
        <v>1.3501266124467701E-3</v>
      </c>
      <c r="S14" s="57">
        <f t="shared" ca="1" si="11"/>
        <v>-302.58033545047363</v>
      </c>
      <c r="T14" s="59">
        <f t="shared" ca="1" si="0"/>
        <v>1.0139619436537399</v>
      </c>
      <c r="U14" s="57">
        <f t="shared" ca="1" si="1"/>
        <v>-306.80494504476286</v>
      </c>
      <c r="V14" s="54">
        <f t="shared" ca="1" si="2"/>
        <v>1.1403000000000001</v>
      </c>
      <c r="W14" s="60">
        <f t="shared" ca="1" si="3"/>
        <v>-349.84967883454311</v>
      </c>
      <c r="Y14" s="51">
        <f t="shared" si="15"/>
        <v>44129</v>
      </c>
      <c r="Z14" s="61">
        <v>1.3501266124467701E-3</v>
      </c>
      <c r="AA14" s="39"/>
      <c r="AB14" s="51">
        <f t="shared" si="16"/>
        <v>44129</v>
      </c>
      <c r="AC14" s="61">
        <v>3.1523129709496799E-2</v>
      </c>
      <c r="AD14" s="39"/>
      <c r="AE14" s="51">
        <f t="shared" si="17"/>
        <v>44129</v>
      </c>
      <c r="AF14" s="62">
        <f t="shared" si="18"/>
        <v>0.81988293718365501</v>
      </c>
      <c r="AG14" s="63"/>
      <c r="AH14" s="51">
        <f t="shared" si="19"/>
        <v>44129</v>
      </c>
      <c r="AI14" s="64">
        <v>1.0049142817107699</v>
      </c>
      <c r="AJ14" s="39"/>
      <c r="AK14" s="51">
        <f t="shared" si="20"/>
        <v>44129</v>
      </c>
      <c r="AL14" s="64">
        <v>0.93969014156539299</v>
      </c>
      <c r="AM14" s="40"/>
      <c r="AN14" s="51">
        <f t="shared" si="21"/>
        <v>44129</v>
      </c>
      <c r="AO14" s="64">
        <v>1.01304655132831</v>
      </c>
      <c r="AP14" s="39"/>
      <c r="AQ14" s="51">
        <f t="shared" si="22"/>
        <v>44129</v>
      </c>
      <c r="AR14" s="64">
        <v>0.94710989736238504</v>
      </c>
    </row>
    <row r="15" spans="2:47" x14ac:dyDescent="0.25">
      <c r="B15" s="23" t="s">
        <v>45</v>
      </c>
      <c r="C15" s="55">
        <f ca="1">IF(TradeCurrency=LegCurrency1,TradeNotional,TradeNotional*IF(ValuationCurrency=LegCurrency1,$C$13,1/$C$13))</f>
        <v>876962.20292905369</v>
      </c>
      <c r="D15" s="60">
        <f ca="1">IF(TradeCurrency=LegCurrency2,TradeNotional,TradeNotional*IF(ValuationCurrency=LegCurrency2,$C$13,1/$C$13))</f>
        <v>1000000</v>
      </c>
      <c r="E15" s="26">
        <v>10</v>
      </c>
      <c r="F15" s="51">
        <f t="shared" si="12"/>
        <v>44220.25</v>
      </c>
      <c r="G15" s="52">
        <f t="shared" ca="1" si="13"/>
        <v>44220.25</v>
      </c>
      <c r="H15" s="52">
        <f t="shared" si="14"/>
        <v>44311.5</v>
      </c>
      <c r="I15" s="53">
        <f t="shared" si="4"/>
        <v>91</v>
      </c>
      <c r="J15" s="54">
        <f ca="1">IF(I15="","",IF($C$57="YES",J67,I15/RIGHT(DayCountBasis1,3)))</f>
        <v>0.25</v>
      </c>
      <c r="K15" s="25">
        <f t="shared" si="23"/>
        <v>44311.5</v>
      </c>
      <c r="L15" s="26">
        <v>10</v>
      </c>
      <c r="M15" s="55">
        <f t="shared" ca="1" si="5"/>
        <v>-876962.20292905369</v>
      </c>
      <c r="N15" s="52">
        <f t="shared" si="6"/>
        <v>44220.25</v>
      </c>
      <c r="O15" s="56">
        <f t="shared" ca="1" si="7"/>
        <v>1</v>
      </c>
      <c r="P15" s="57">
        <f t="shared" ca="1" si="8"/>
        <v>0</v>
      </c>
      <c r="Q15" s="58">
        <f t="shared" ca="1" si="9"/>
        <v>0</v>
      </c>
      <c r="R15" s="58">
        <f t="shared" ca="1" si="10"/>
        <v>1.98445197032037E-3</v>
      </c>
      <c r="S15" s="57">
        <f t="shared" ca="1" si="11"/>
        <v>-435.07234287476319</v>
      </c>
      <c r="T15" s="59">
        <f t="shared" ca="1" si="0"/>
        <v>1.0147342905602801</v>
      </c>
      <c r="U15" s="57">
        <f t="shared" ca="1" si="1"/>
        <v>-441.48282518942176</v>
      </c>
      <c r="V15" s="54">
        <f t="shared" ca="1" si="2"/>
        <v>1.1403000000000001</v>
      </c>
      <c r="W15" s="60">
        <f t="shared" ca="1" si="3"/>
        <v>-503.42286556349768</v>
      </c>
      <c r="Y15" s="51">
        <f t="shared" si="15"/>
        <v>44220.25</v>
      </c>
      <c r="Z15" s="61">
        <v>1.98445197032037E-3</v>
      </c>
      <c r="AA15" s="39"/>
      <c r="AB15" s="51">
        <f t="shared" si="16"/>
        <v>44220.25</v>
      </c>
      <c r="AC15" s="61">
        <v>3.1477658109462299E-2</v>
      </c>
      <c r="AD15" s="39"/>
      <c r="AE15" s="51">
        <f t="shared" si="17"/>
        <v>44220.25</v>
      </c>
      <c r="AF15" s="62">
        <f t="shared" si="18"/>
        <v>0.81325097473092967</v>
      </c>
      <c r="AG15" s="63"/>
      <c r="AH15" s="51">
        <f t="shared" si="19"/>
        <v>44220.25</v>
      </c>
      <c r="AI15" s="64">
        <v>1.0047458555286699</v>
      </c>
      <c r="AJ15" s="39"/>
      <c r="AK15" s="51">
        <f t="shared" si="20"/>
        <v>44220.25</v>
      </c>
      <c r="AL15" s="64">
        <v>0.93203488295500103</v>
      </c>
      <c r="AM15" s="40"/>
      <c r="AN15" s="51">
        <f t="shared" si="21"/>
        <v>44220.25</v>
      </c>
      <c r="AO15" s="64">
        <v>1.0139619436537399</v>
      </c>
      <c r="AP15" s="39"/>
      <c r="AQ15" s="51">
        <f t="shared" si="22"/>
        <v>44220.25</v>
      </c>
      <c r="AR15" s="64">
        <v>0.94029769614048297</v>
      </c>
    </row>
    <row r="16" spans="2:47" x14ac:dyDescent="0.25">
      <c r="B16" s="65" t="s">
        <v>46</v>
      </c>
      <c r="C16" s="78" t="s">
        <v>47</v>
      </c>
      <c r="D16" s="79" t="s">
        <v>48</v>
      </c>
      <c r="E16" s="26">
        <v>11</v>
      </c>
      <c r="F16" s="51">
        <f t="shared" si="12"/>
        <v>44311.5</v>
      </c>
      <c r="G16" s="52">
        <f t="shared" ca="1" si="13"/>
        <v>44311.5</v>
      </c>
      <c r="H16" s="52">
        <f t="shared" si="14"/>
        <v>44402.75</v>
      </c>
      <c r="I16" s="53">
        <f t="shared" si="4"/>
        <v>91</v>
      </c>
      <c r="J16" s="54">
        <f ca="1">IF(I16="","",IF($C$57="YES",J68,I16/RIGHT(DayCountBasis1,3)))</f>
        <v>0.25277777777777799</v>
      </c>
      <c r="K16" s="25">
        <f t="shared" si="23"/>
        <v>44402.75</v>
      </c>
      <c r="L16" s="26">
        <v>11</v>
      </c>
      <c r="M16" s="55">
        <f t="shared" ca="1" si="5"/>
        <v>-876962.20292905369</v>
      </c>
      <c r="N16" s="52">
        <f t="shared" si="6"/>
        <v>44311.5</v>
      </c>
      <c r="O16" s="56">
        <f t="shared" ca="1" si="7"/>
        <v>1</v>
      </c>
      <c r="P16" s="57">
        <f t="shared" ca="1" si="8"/>
        <v>0</v>
      </c>
      <c r="Q16" s="58">
        <f t="shared" ca="1" si="9"/>
        <v>0</v>
      </c>
      <c r="R16" s="58">
        <f t="shared" ca="1" si="10"/>
        <v>2.7911658479587999E-3</v>
      </c>
      <c r="S16" s="57">
        <f t="shared" ca="1" si="11"/>
        <v>-618.73603477703477</v>
      </c>
      <c r="T16" s="59">
        <f t="shared" ca="1" si="0"/>
        <v>1.01529502897226</v>
      </c>
      <c r="U16" s="57">
        <f t="shared" ca="1" si="1"/>
        <v>-628.19962035513083</v>
      </c>
      <c r="V16" s="54">
        <f t="shared" ca="1" si="2"/>
        <v>1.1403000000000001</v>
      </c>
      <c r="W16" s="60">
        <f t="shared" ca="1" si="3"/>
        <v>-716.33602709095578</v>
      </c>
      <c r="Y16" s="51">
        <f t="shared" si="15"/>
        <v>44311.5</v>
      </c>
      <c r="Z16" s="61">
        <v>2.7911658479587999E-3</v>
      </c>
      <c r="AA16" s="39"/>
      <c r="AB16" s="51">
        <f t="shared" si="16"/>
        <v>44311.5</v>
      </c>
      <c r="AC16" s="61">
        <v>3.1275872470739298E-2</v>
      </c>
      <c r="AD16" s="39"/>
      <c r="AE16" s="51">
        <f t="shared" si="17"/>
        <v>44311.5</v>
      </c>
      <c r="AF16" s="62">
        <f t="shared" si="18"/>
        <v>0.80688353953948222</v>
      </c>
      <c r="AG16" s="63"/>
      <c r="AH16" s="51">
        <f t="shared" si="19"/>
        <v>44311.5</v>
      </c>
      <c r="AI16" s="64">
        <v>1.00437493317202</v>
      </c>
      <c r="AJ16" s="39"/>
      <c r="AK16" s="51">
        <f t="shared" si="20"/>
        <v>44311.5</v>
      </c>
      <c r="AL16" s="64">
        <v>0.92467734010196001</v>
      </c>
      <c r="AM16" s="40"/>
      <c r="AN16" s="51">
        <f t="shared" si="21"/>
        <v>44311.5</v>
      </c>
      <c r="AO16" s="64">
        <v>1.0147342905602801</v>
      </c>
      <c r="AP16" s="39"/>
      <c r="AQ16" s="51">
        <f t="shared" si="22"/>
        <v>44311.5</v>
      </c>
      <c r="AR16" s="64">
        <v>0.93364616322649296</v>
      </c>
    </row>
    <row r="17" spans="2:46" x14ac:dyDescent="0.25">
      <c r="B17" s="65" t="s">
        <v>49</v>
      </c>
      <c r="C17" s="267" t="s">
        <v>50</v>
      </c>
      <c r="D17" s="268" t="s">
        <v>50</v>
      </c>
      <c r="E17" s="26">
        <v>12</v>
      </c>
      <c r="F17" s="51">
        <f t="shared" si="12"/>
        <v>44402.75</v>
      </c>
      <c r="G17" s="52">
        <f t="shared" ca="1" si="13"/>
        <v>44402.75</v>
      </c>
      <c r="H17" s="52">
        <f t="shared" si="14"/>
        <v>44494</v>
      </c>
      <c r="I17" s="53">
        <f t="shared" si="4"/>
        <v>91</v>
      </c>
      <c r="J17" s="54">
        <f ca="1">IF(I17="","",IF($C$57="YES",J69,I17/RIGHT(DayCountBasis1,3)))</f>
        <v>0.25555555555555598</v>
      </c>
      <c r="K17" s="25">
        <f t="shared" si="23"/>
        <v>44494</v>
      </c>
      <c r="L17" s="26">
        <v>12</v>
      </c>
      <c r="M17" s="55">
        <f t="shared" ca="1" si="5"/>
        <v>-876962.20292905369</v>
      </c>
      <c r="N17" s="52">
        <f t="shared" si="6"/>
        <v>44402.75</v>
      </c>
      <c r="O17" s="56">
        <f t="shared" ca="1" si="7"/>
        <v>1</v>
      </c>
      <c r="P17" s="57">
        <f t="shared" ca="1" si="8"/>
        <v>0</v>
      </c>
      <c r="Q17" s="58">
        <f t="shared" ca="1" si="9"/>
        <v>0</v>
      </c>
      <c r="R17" s="58">
        <f t="shared" ca="1" si="10"/>
        <v>3.7753504544506401E-3</v>
      </c>
      <c r="S17" s="57">
        <f t="shared" ca="1" si="11"/>
        <v>-846.10346645975096</v>
      </c>
      <c r="T17" s="59">
        <f t="shared" ca="1" si="0"/>
        <v>1.01557747566834</v>
      </c>
      <c r="U17" s="57">
        <f t="shared" ca="1" si="1"/>
        <v>-859.28362262142582</v>
      </c>
      <c r="V17" s="54">
        <f t="shared" ca="1" si="2"/>
        <v>1.1403000000000001</v>
      </c>
      <c r="W17" s="60">
        <f t="shared" ca="1" si="3"/>
        <v>-979.84111487521193</v>
      </c>
      <c r="Y17" s="51">
        <f t="shared" si="15"/>
        <v>44402.75</v>
      </c>
      <c r="Z17" s="61">
        <v>3.7753504544506401E-3</v>
      </c>
      <c r="AA17" s="39"/>
      <c r="AB17" s="51">
        <f t="shared" si="16"/>
        <v>44402.75</v>
      </c>
      <c r="AC17" s="61">
        <v>3.0977376039435699E-2</v>
      </c>
      <c r="AD17" s="39"/>
      <c r="AE17" s="51">
        <f t="shared" si="17"/>
        <v>44402.75</v>
      </c>
      <c r="AF17" s="62">
        <f t="shared" si="18"/>
        <v>0.80082756651116771</v>
      </c>
      <c r="AG17" s="63"/>
      <c r="AH17" s="51">
        <f t="shared" si="19"/>
        <v>44402.75</v>
      </c>
      <c r="AI17" s="64">
        <v>1.00379335060677</v>
      </c>
      <c r="AJ17" s="39"/>
      <c r="AK17" s="51">
        <f t="shared" si="20"/>
        <v>44402.75</v>
      </c>
      <c r="AL17" s="64">
        <v>0.91738452398155401</v>
      </c>
      <c r="AM17" s="40"/>
      <c r="AN17" s="51">
        <f t="shared" si="21"/>
        <v>44402.75</v>
      </c>
      <c r="AO17" s="64">
        <v>1.01529502897226</v>
      </c>
      <c r="AP17" s="39"/>
      <c r="AQ17" s="51">
        <f t="shared" si="22"/>
        <v>44402.75</v>
      </c>
      <c r="AR17" s="64">
        <v>0.92715084484492705</v>
      </c>
    </row>
    <row r="18" spans="2:46" x14ac:dyDescent="0.25">
      <c r="B18" s="65" t="s">
        <v>51</v>
      </c>
      <c r="C18" s="80">
        <v>0</v>
      </c>
      <c r="D18" s="81">
        <v>0</v>
      </c>
      <c r="E18" s="26">
        <v>13</v>
      </c>
      <c r="F18" s="51">
        <f t="shared" si="12"/>
        <v>44494</v>
      </c>
      <c r="G18" s="52">
        <f t="shared" ca="1" si="13"/>
        <v>44494</v>
      </c>
      <c r="H18" s="52">
        <f t="shared" si="14"/>
        <v>44585.25</v>
      </c>
      <c r="I18" s="53">
        <f t="shared" si="4"/>
        <v>91</v>
      </c>
      <c r="J18" s="54">
        <f ca="1">IF(I18="","",IF($C$57="YES",J70,I18/RIGHT(DayCountBasis1,3)))</f>
        <v>0.25555555555555598</v>
      </c>
      <c r="K18" s="25">
        <f t="shared" si="23"/>
        <v>44585.25</v>
      </c>
      <c r="L18" s="26">
        <v>13</v>
      </c>
      <c r="M18" s="55">
        <f t="shared" ca="1" si="5"/>
        <v>-876962.20292905369</v>
      </c>
      <c r="N18" s="52">
        <f t="shared" si="6"/>
        <v>44494</v>
      </c>
      <c r="O18" s="56">
        <f t="shared" ca="1" si="7"/>
        <v>1</v>
      </c>
      <c r="P18" s="57">
        <f t="shared" ca="1" si="8"/>
        <v>0</v>
      </c>
      <c r="Q18" s="58">
        <f t="shared" ca="1" si="9"/>
        <v>0</v>
      </c>
      <c r="R18" s="58">
        <f t="shared" ca="1" si="10"/>
        <v>4.8748400374856796E-3</v>
      </c>
      <c r="S18" s="57">
        <f t="shared" ca="1" si="11"/>
        <v>-1092.5128948733843</v>
      </c>
      <c r="T18" s="59">
        <f t="shared" ca="1" si="0"/>
        <v>1.0155358016764899</v>
      </c>
      <c r="U18" s="57">
        <f t="shared" ca="1" si="1"/>
        <v>-1109.4859585371451</v>
      </c>
      <c r="V18" s="54">
        <f t="shared" ca="1" si="2"/>
        <v>1.1403000000000001</v>
      </c>
      <c r="W18" s="60">
        <f t="shared" ca="1" si="3"/>
        <v>-1265.1468385199066</v>
      </c>
      <c r="Y18" s="51">
        <f t="shared" si="15"/>
        <v>44494</v>
      </c>
      <c r="Z18" s="61">
        <v>4.8748400374856796E-3</v>
      </c>
      <c r="AA18" s="39"/>
      <c r="AB18" s="51">
        <f t="shared" si="16"/>
        <v>44494</v>
      </c>
      <c r="AC18" s="61">
        <v>3.06229154863778E-2</v>
      </c>
      <c r="AD18" s="39"/>
      <c r="AE18" s="51">
        <f t="shared" si="17"/>
        <v>44494</v>
      </c>
      <c r="AF18" s="62">
        <f t="shared" si="18"/>
        <v>0.79509036687679135</v>
      </c>
      <c r="AG18" s="63"/>
      <c r="AH18" s="51">
        <f t="shared" si="19"/>
        <v>44494</v>
      </c>
      <c r="AI18" s="64">
        <v>1.0029949255233599</v>
      </c>
      <c r="AJ18" s="39"/>
      <c r="AK18" s="51">
        <f t="shared" si="20"/>
        <v>44494</v>
      </c>
      <c r="AL18" s="64">
        <v>0.91013057526743701</v>
      </c>
      <c r="AM18" s="40"/>
      <c r="AN18" s="51">
        <f t="shared" si="21"/>
        <v>44494</v>
      </c>
      <c r="AO18" s="64">
        <v>1.01557747566834</v>
      </c>
      <c r="AP18" s="39"/>
      <c r="AQ18" s="51">
        <f t="shared" si="22"/>
        <v>44494</v>
      </c>
      <c r="AR18" s="64">
        <v>0.92076473196219499</v>
      </c>
    </row>
    <row r="19" spans="2:46" x14ac:dyDescent="0.25">
      <c r="B19" s="65" t="s">
        <v>52</v>
      </c>
      <c r="C19" s="82" t="str">
        <f>IF(C17="FLOATING","EUR EURIBOR 3M","")</f>
        <v>EUR EURIBOR 3M</v>
      </c>
      <c r="D19" s="83" t="str">
        <f>IF(D17="FLOATING","USD LIBOR 3M","")</f>
        <v>USD LIBOR 3M</v>
      </c>
      <c r="E19" s="26">
        <v>14</v>
      </c>
      <c r="F19" s="51">
        <f t="shared" si="12"/>
        <v>44585.25</v>
      </c>
      <c r="G19" s="52">
        <f t="shared" ca="1" si="13"/>
        <v>44585.25</v>
      </c>
      <c r="H19" s="52">
        <f t="shared" si="14"/>
        <v>44676.5</v>
      </c>
      <c r="I19" s="53">
        <f t="shared" si="4"/>
        <v>91</v>
      </c>
      <c r="J19" s="54">
        <f ca="1">IF(I19="","",IF($C$57="YES",J71,I19/RIGHT(DayCountBasis1,3)))</f>
        <v>0.25</v>
      </c>
      <c r="K19" s="25">
        <f t="shared" si="23"/>
        <v>44676.5</v>
      </c>
      <c r="L19" s="26">
        <v>14</v>
      </c>
      <c r="M19" s="55">
        <f t="shared" ca="1" si="5"/>
        <v>-876962.20292905369</v>
      </c>
      <c r="N19" s="52">
        <f t="shared" si="6"/>
        <v>44585.25</v>
      </c>
      <c r="O19" s="56">
        <f t="shared" ca="1" si="7"/>
        <v>1</v>
      </c>
      <c r="P19" s="57">
        <f t="shared" ca="1" si="8"/>
        <v>0</v>
      </c>
      <c r="Q19" s="58">
        <f t="shared" ca="1" si="9"/>
        <v>0</v>
      </c>
      <c r="R19" s="58">
        <f t="shared" ca="1" si="10"/>
        <v>5.8831839704654399E-3</v>
      </c>
      <c r="S19" s="57">
        <f t="shared" ca="1" si="11"/>
        <v>-1289.8324937440673</v>
      </c>
      <c r="T19" s="59">
        <f t="shared" ca="1" si="0"/>
        <v>1.01521014329397</v>
      </c>
      <c r="U19" s="57">
        <f t="shared" ca="1" si="1"/>
        <v>-1309.4510307991332</v>
      </c>
      <c r="V19" s="54">
        <f t="shared" ca="1" si="2"/>
        <v>1.1403000000000001</v>
      </c>
      <c r="W19" s="60">
        <f t="shared" ca="1" si="3"/>
        <v>-1493.1670104202517</v>
      </c>
      <c r="Y19" s="51">
        <f t="shared" si="15"/>
        <v>44585.25</v>
      </c>
      <c r="Z19" s="61">
        <v>5.8831839704654399E-3</v>
      </c>
      <c r="AA19" s="39"/>
      <c r="AB19" s="51">
        <f t="shared" si="16"/>
        <v>44585.25</v>
      </c>
      <c r="AC19" s="61">
        <v>3.03730026243039E-2</v>
      </c>
      <c r="AD19" s="39"/>
      <c r="AE19" s="51">
        <f t="shared" si="17"/>
        <v>44585.25</v>
      </c>
      <c r="AF19" s="62">
        <f t="shared" si="18"/>
        <v>0.78965217716925906</v>
      </c>
      <c r="AG19" s="63"/>
      <c r="AH19" s="51">
        <f t="shared" si="19"/>
        <v>44585.25</v>
      </c>
      <c r="AI19" s="64">
        <v>1.0019640516719801</v>
      </c>
      <c r="AJ19" s="39"/>
      <c r="AK19" s="51">
        <f t="shared" si="20"/>
        <v>44585.25</v>
      </c>
      <c r="AL19" s="64">
        <v>0.90279328368452605</v>
      </c>
      <c r="AM19" s="40"/>
      <c r="AN19" s="51">
        <f t="shared" si="21"/>
        <v>44585.25</v>
      </c>
      <c r="AO19" s="64">
        <v>1.0155358016764899</v>
      </c>
      <c r="AP19" s="39"/>
      <c r="AQ19" s="51">
        <f t="shared" si="22"/>
        <v>44585.25</v>
      </c>
      <c r="AR19" s="64">
        <v>0.91442944075440902</v>
      </c>
    </row>
    <row r="20" spans="2:46" x14ac:dyDescent="0.25">
      <c r="B20" s="65" t="s">
        <v>53</v>
      </c>
      <c r="C20" s="84" t="s">
        <v>54</v>
      </c>
      <c r="D20" s="85" t="s">
        <v>54</v>
      </c>
      <c r="E20" s="26">
        <v>15</v>
      </c>
      <c r="F20" s="51">
        <f t="shared" si="12"/>
        <v>44676.5</v>
      </c>
      <c r="G20" s="52">
        <f t="shared" ca="1" si="13"/>
        <v>44676.5</v>
      </c>
      <c r="H20" s="52">
        <f t="shared" si="14"/>
        <v>44767.75</v>
      </c>
      <c r="I20" s="53">
        <f t="shared" si="4"/>
        <v>91</v>
      </c>
      <c r="J20" s="54">
        <f ca="1">IF(I20="","",IF($C$57="YES",J72,I20/RIGHT(DayCountBasis1,3)))</f>
        <v>0.25277777777777799</v>
      </c>
      <c r="K20" s="25">
        <f t="shared" si="23"/>
        <v>44767.75</v>
      </c>
      <c r="L20" s="26">
        <v>15</v>
      </c>
      <c r="M20" s="55">
        <f t="shared" ca="1" si="5"/>
        <v>-876962.20292905369</v>
      </c>
      <c r="N20" s="52">
        <f t="shared" si="6"/>
        <v>44676.5</v>
      </c>
      <c r="O20" s="56">
        <f t="shared" ca="1" si="7"/>
        <v>1</v>
      </c>
      <c r="P20" s="57">
        <f t="shared" ca="1" si="8"/>
        <v>0</v>
      </c>
      <c r="Q20" s="58">
        <f t="shared" ca="1" si="9"/>
        <v>0</v>
      </c>
      <c r="R20" s="58">
        <f t="shared" ca="1" si="10"/>
        <v>6.7583507095683101E-3</v>
      </c>
      <c r="S20" s="57">
        <f t="shared" ca="1" si="11"/>
        <v>-1498.167915292069</v>
      </c>
      <c r="T20" s="59">
        <f t="shared" ca="1" si="0"/>
        <v>1.01466297245788</v>
      </c>
      <c r="U20" s="57">
        <f t="shared" ca="1" si="1"/>
        <v>-1520.1355101712761</v>
      </c>
      <c r="V20" s="54">
        <f t="shared" ca="1" si="2"/>
        <v>1.1403000000000001</v>
      </c>
      <c r="W20" s="60">
        <f t="shared" ca="1" si="3"/>
        <v>-1733.4105222483063</v>
      </c>
      <c r="Y20" s="51">
        <f t="shared" si="15"/>
        <v>44676.5</v>
      </c>
      <c r="Z20" s="61">
        <v>6.7583507095683101E-3</v>
      </c>
      <c r="AA20" s="39"/>
      <c r="AB20" s="51">
        <f t="shared" si="16"/>
        <v>44676.5</v>
      </c>
      <c r="AC20" s="61">
        <v>3.02689825537556E-2</v>
      </c>
      <c r="AD20" s="39"/>
      <c r="AE20" s="51">
        <f t="shared" si="17"/>
        <v>44676.5</v>
      </c>
      <c r="AF20" s="62">
        <f t="shared" si="18"/>
        <v>0.78446805792650498</v>
      </c>
      <c r="AG20" s="63"/>
      <c r="AH20" s="51">
        <f t="shared" si="19"/>
        <v>44676.5</v>
      </c>
      <c r="AI20" s="64">
        <v>1.0008147406307599</v>
      </c>
      <c r="AJ20" s="39"/>
      <c r="AK20" s="51">
        <f t="shared" si="20"/>
        <v>44676.5</v>
      </c>
      <c r="AL20" s="64">
        <v>0.89598143389922102</v>
      </c>
      <c r="AM20" s="40"/>
      <c r="AN20" s="51">
        <f t="shared" si="21"/>
        <v>44676.5</v>
      </c>
      <c r="AO20" s="64">
        <v>1.01521014329397</v>
      </c>
      <c r="AP20" s="39"/>
      <c r="AQ20" s="51">
        <f t="shared" si="22"/>
        <v>44676.5</v>
      </c>
      <c r="AR20" s="64">
        <v>0.90813483960555397</v>
      </c>
    </row>
    <row r="21" spans="2:46" x14ac:dyDescent="0.25">
      <c r="B21" s="65" t="s">
        <v>55</v>
      </c>
      <c r="C21" s="86" t="str">
        <f>IF($D$10=$C$14,"YES","NO")</f>
        <v>NO</v>
      </c>
      <c r="D21" s="87" t="str">
        <f>IF($D$10=$D$14,"YES","NO")</f>
        <v>YES</v>
      </c>
      <c r="E21" s="26">
        <v>16</v>
      </c>
      <c r="F21" s="51">
        <f t="shared" si="12"/>
        <v>44767.75</v>
      </c>
      <c r="G21" s="52">
        <f t="shared" ca="1" si="13"/>
        <v>44767.75</v>
      </c>
      <c r="H21" s="52">
        <f t="shared" si="14"/>
        <v>44859</v>
      </c>
      <c r="I21" s="53">
        <f t="shared" si="4"/>
        <v>91</v>
      </c>
      <c r="J21" s="54">
        <f ca="1">IF(I21="","",IF($C$57="YES",J73,I21/RIGHT(DayCountBasis1,3)))</f>
        <v>0.25555555555555598</v>
      </c>
      <c r="K21" s="25">
        <f t="shared" si="23"/>
        <v>44859</v>
      </c>
      <c r="L21" s="26">
        <v>16</v>
      </c>
      <c r="M21" s="55">
        <f t="shared" ca="1" si="5"/>
        <v>-876962.20292905369</v>
      </c>
      <c r="N21" s="52">
        <f t="shared" si="6"/>
        <v>44767.75</v>
      </c>
      <c r="O21" s="56">
        <f t="shared" ca="1" si="7"/>
        <v>1</v>
      </c>
      <c r="P21" s="57">
        <f t="shared" ca="1" si="8"/>
        <v>0</v>
      </c>
      <c r="Q21" s="58">
        <f t="shared" ca="1" si="9"/>
        <v>0</v>
      </c>
      <c r="R21" s="58">
        <f t="shared" ca="1" si="10"/>
        <v>7.4980004618836601E-3</v>
      </c>
      <c r="S21" s="57">
        <f t="shared" ca="1" si="11"/>
        <v>-1680.3961006686784</v>
      </c>
      <c r="T21" s="59">
        <f t="shared" ca="1" si="0"/>
        <v>1.0139568032320301</v>
      </c>
      <c r="U21" s="57">
        <f t="shared" ca="1" si="1"/>
        <v>-1703.8490583975818</v>
      </c>
      <c r="V21" s="54">
        <f t="shared" ca="1" si="2"/>
        <v>1.1403000000000001</v>
      </c>
      <c r="W21" s="60">
        <f t="shared" ca="1" si="3"/>
        <v>-1942.8990812907625</v>
      </c>
      <c r="Y21" s="51">
        <f t="shared" si="15"/>
        <v>44767.75</v>
      </c>
      <c r="Z21" s="61">
        <v>7.4980004618836601E-3</v>
      </c>
      <c r="AA21" s="39"/>
      <c r="AB21" s="51">
        <f t="shared" si="16"/>
        <v>44767.75</v>
      </c>
      <c r="AC21" s="61">
        <v>3.0313224452308399E-2</v>
      </c>
      <c r="AD21" s="39"/>
      <c r="AE21" s="51">
        <f t="shared" si="17"/>
        <v>44767.75</v>
      </c>
      <c r="AF21" s="62">
        <f t="shared" si="18"/>
        <v>0.77949032847932886</v>
      </c>
      <c r="AG21" s="63"/>
      <c r="AH21" s="51">
        <f t="shared" si="19"/>
        <v>44767.75</v>
      </c>
      <c r="AI21" s="64">
        <v>0.999454289509631</v>
      </c>
      <c r="AJ21" s="39"/>
      <c r="AK21" s="51">
        <f t="shared" si="20"/>
        <v>44767.75</v>
      </c>
      <c r="AL21" s="64">
        <v>0.88899747188136402</v>
      </c>
      <c r="AM21" s="40"/>
      <c r="AN21" s="51">
        <f t="shared" si="21"/>
        <v>44767.75</v>
      </c>
      <c r="AO21" s="64">
        <v>1.01466297245788</v>
      </c>
      <c r="AP21" s="39"/>
      <c r="AQ21" s="51">
        <f t="shared" si="22"/>
        <v>44767.75</v>
      </c>
      <c r="AR21" s="64">
        <v>0.90188604600669497</v>
      </c>
    </row>
    <row r="22" spans="2:46" x14ac:dyDescent="0.25">
      <c r="B22" s="65" t="s">
        <v>56</v>
      </c>
      <c r="C22" s="88">
        <f>IF($C$12=$C$14,$C$13,1/$C$13)</f>
        <v>0.87696220292905369</v>
      </c>
      <c r="D22" s="89">
        <f>IF($C$12=$D$14,$C$13,1/$C$13)</f>
        <v>1.1403000000000001</v>
      </c>
      <c r="E22" s="26">
        <v>17</v>
      </c>
      <c r="F22" s="51">
        <f t="shared" si="12"/>
        <v>44859</v>
      </c>
      <c r="G22" s="52">
        <f t="shared" ca="1" si="13"/>
        <v>44859</v>
      </c>
      <c r="H22" s="52">
        <f t="shared" si="14"/>
        <v>44950.25</v>
      </c>
      <c r="I22" s="53">
        <f t="shared" si="4"/>
        <v>91</v>
      </c>
      <c r="J22" s="54">
        <f ca="1">IF(I22="","",IF($C$57="YES",J74,I22/RIGHT(DayCountBasis1,3)))</f>
        <v>0.25555555555555598</v>
      </c>
      <c r="K22" s="25">
        <f t="shared" si="23"/>
        <v>44950.25</v>
      </c>
      <c r="L22" s="26">
        <v>17</v>
      </c>
      <c r="M22" s="55">
        <f t="shared" ca="1" si="5"/>
        <v>-876962.20292905369</v>
      </c>
      <c r="N22" s="52">
        <f t="shared" si="6"/>
        <v>44859</v>
      </c>
      <c r="O22" s="56">
        <f t="shared" ca="1" si="7"/>
        <v>1</v>
      </c>
      <c r="P22" s="57">
        <f t="shared" ca="1" si="8"/>
        <v>0</v>
      </c>
      <c r="Q22" s="58">
        <f t="shared" ca="1" si="9"/>
        <v>0</v>
      </c>
      <c r="R22" s="58">
        <f t="shared" ca="1" si="10"/>
        <v>8.1170900629396608E-3</v>
      </c>
      <c r="S22" s="57">
        <f t="shared" ca="1" si="11"/>
        <v>-1819.1418578698831</v>
      </c>
      <c r="T22" s="59">
        <f t="shared" ca="1" si="0"/>
        <v>1.0131320788505001</v>
      </c>
      <c r="U22" s="57">
        <f t="shared" ca="1" si="1"/>
        <v>-1843.0309721876756</v>
      </c>
      <c r="V22" s="54">
        <f t="shared" ca="1" si="2"/>
        <v>1.1403000000000001</v>
      </c>
      <c r="W22" s="60">
        <f t="shared" ca="1" si="3"/>
        <v>-2101.6082175856068</v>
      </c>
      <c r="Y22" s="51">
        <f t="shared" si="15"/>
        <v>44859</v>
      </c>
      <c r="Z22" s="61">
        <v>8.1170900629396608E-3</v>
      </c>
      <c r="AA22" s="39"/>
      <c r="AB22" s="51">
        <f t="shared" si="16"/>
        <v>44859</v>
      </c>
      <c r="AC22" s="61">
        <v>3.0473141277419201E-2</v>
      </c>
      <c r="AD22" s="39"/>
      <c r="AE22" s="51">
        <f t="shared" si="17"/>
        <v>44859</v>
      </c>
      <c r="AF22" s="62">
        <f t="shared" si="18"/>
        <v>0.77467362193012967</v>
      </c>
      <c r="AG22" s="63"/>
      <c r="AH22" s="51">
        <f t="shared" si="19"/>
        <v>44859</v>
      </c>
      <c r="AI22" s="64">
        <v>0.99788186757916297</v>
      </c>
      <c r="AJ22" s="39"/>
      <c r="AK22" s="51">
        <f t="shared" si="20"/>
        <v>44859</v>
      </c>
      <c r="AL22" s="64">
        <v>0.88185249397088705</v>
      </c>
      <c r="AM22" s="40"/>
      <c r="AN22" s="51">
        <f t="shared" si="21"/>
        <v>44859</v>
      </c>
      <c r="AO22" s="64">
        <v>1.0139568032320301</v>
      </c>
      <c r="AP22" s="39"/>
      <c r="AQ22" s="51">
        <f t="shared" si="22"/>
        <v>44859</v>
      </c>
      <c r="AR22" s="64">
        <v>0.89568921741088803</v>
      </c>
    </row>
    <row r="23" spans="2:46" x14ac:dyDescent="0.25">
      <c r="B23" s="65" t="s">
        <v>57</v>
      </c>
      <c r="C23" s="88">
        <f>IF($C$14=$C$12,1,$C$13)</f>
        <v>1.1403000000000001</v>
      </c>
      <c r="D23" s="89">
        <f>IF($D$14=$C$12,1,$C$13)</f>
        <v>1</v>
      </c>
      <c r="E23" s="26">
        <v>18</v>
      </c>
      <c r="F23" s="51">
        <f t="shared" si="12"/>
        <v>44950.25</v>
      </c>
      <c r="G23" s="52">
        <f t="shared" ca="1" si="13"/>
        <v>44950.25</v>
      </c>
      <c r="H23" s="52">
        <f t="shared" si="14"/>
        <v>45041.5</v>
      </c>
      <c r="I23" s="53">
        <f t="shared" si="4"/>
        <v>91</v>
      </c>
      <c r="J23" s="54">
        <f ca="1">IF(I23="","",IF($C$57="YES",J75,I23/RIGHT(DayCountBasis1,3)))</f>
        <v>0.25</v>
      </c>
      <c r="K23" s="25">
        <f t="shared" si="23"/>
        <v>45041.5</v>
      </c>
      <c r="L23" s="26">
        <v>18</v>
      </c>
      <c r="M23" s="55">
        <f t="shared" ca="1" si="5"/>
        <v>-876962.20292905369</v>
      </c>
      <c r="N23" s="52">
        <f t="shared" si="6"/>
        <v>44950.25</v>
      </c>
      <c r="O23" s="56">
        <f t="shared" ca="1" si="7"/>
        <v>1</v>
      </c>
      <c r="P23" s="57">
        <f t="shared" ca="1" si="8"/>
        <v>0</v>
      </c>
      <c r="Q23" s="58">
        <f t="shared" ca="1" si="9"/>
        <v>0</v>
      </c>
      <c r="R23" s="58">
        <f t="shared" ca="1" si="10"/>
        <v>8.71557655023825E-3</v>
      </c>
      <c r="S23" s="57">
        <f t="shared" ca="1" si="11"/>
        <v>-1910.8078028234345</v>
      </c>
      <c r="T23" s="59">
        <f t="shared" ca="1" si="0"/>
        <v>1.01221420059261</v>
      </c>
      <c r="U23" s="57">
        <f t="shared" ca="1" si="1"/>
        <v>-1934.1467926210444</v>
      </c>
      <c r="V23" s="54">
        <f t="shared" ca="1" si="2"/>
        <v>1.1403000000000001</v>
      </c>
      <c r="W23" s="60">
        <f t="shared" ca="1" si="3"/>
        <v>-2205.507587625777</v>
      </c>
      <c r="Y23" s="51">
        <f t="shared" si="15"/>
        <v>44950.25</v>
      </c>
      <c r="Z23" s="61">
        <v>8.71557655023825E-3</v>
      </c>
      <c r="AA23" s="39"/>
      <c r="AB23" s="51">
        <f t="shared" si="16"/>
        <v>44950.25</v>
      </c>
      <c r="AC23" s="61">
        <v>3.06252773892908E-2</v>
      </c>
      <c r="AD23" s="39"/>
      <c r="AE23" s="51">
        <f t="shared" si="17"/>
        <v>44950.25</v>
      </c>
      <c r="AF23" s="62">
        <f t="shared" si="18"/>
        <v>0.76993098123118453</v>
      </c>
      <c r="AG23" s="63"/>
      <c r="AH23" s="51">
        <f t="shared" si="19"/>
        <v>44950.25</v>
      </c>
      <c r="AI23" s="64">
        <v>0.99621002584388396</v>
      </c>
      <c r="AJ23" s="39"/>
      <c r="AK23" s="51">
        <f t="shared" si="20"/>
        <v>44950.25</v>
      </c>
      <c r="AL23" s="64">
        <v>0.87500609523216299</v>
      </c>
      <c r="AM23" s="40"/>
      <c r="AN23" s="51">
        <f t="shared" si="21"/>
        <v>44950.25</v>
      </c>
      <c r="AO23" s="64">
        <v>1.0131320788505001</v>
      </c>
      <c r="AP23" s="39"/>
      <c r="AQ23" s="51">
        <f t="shared" si="22"/>
        <v>44950.25</v>
      </c>
      <c r="AR23" s="64">
        <v>0.88948163670089297</v>
      </c>
    </row>
    <row r="24" spans="2:46" x14ac:dyDescent="0.25">
      <c r="B24" s="92" t="s">
        <v>58</v>
      </c>
      <c r="C24" s="265" t="s">
        <v>59</v>
      </c>
      <c r="D24" s="266" t="s">
        <v>59</v>
      </c>
      <c r="E24" s="26">
        <v>19</v>
      </c>
      <c r="F24" s="51">
        <f t="shared" si="12"/>
        <v>45041.5</v>
      </c>
      <c r="G24" s="52">
        <f t="shared" ca="1" si="13"/>
        <v>45041.5</v>
      </c>
      <c r="H24" s="52">
        <f t="shared" si="14"/>
        <v>45132.75</v>
      </c>
      <c r="I24" s="53">
        <f t="shared" si="4"/>
        <v>91</v>
      </c>
      <c r="J24" s="54">
        <f ca="1">IF(I24="","",IF($C$57="YES",J76,I24/RIGHT(DayCountBasis1,3)))</f>
        <v>0.25277777777777799</v>
      </c>
      <c r="K24" s="25">
        <f t="shared" si="23"/>
        <v>45132.75</v>
      </c>
      <c r="L24" s="26">
        <v>19</v>
      </c>
      <c r="M24" s="55">
        <f t="shared" ca="1" si="5"/>
        <v>-876962.20292905369</v>
      </c>
      <c r="N24" s="52">
        <f t="shared" si="6"/>
        <v>45041.5</v>
      </c>
      <c r="O24" s="56">
        <f t="shared" ca="1" si="7"/>
        <v>1</v>
      </c>
      <c r="P24" s="57">
        <f t="shared" ca="1" si="8"/>
        <v>0</v>
      </c>
      <c r="Q24" s="58">
        <f t="shared" ca="1" si="9"/>
        <v>0</v>
      </c>
      <c r="R24" s="58">
        <f t="shared" ca="1" si="10"/>
        <v>9.3160455288624003E-3</v>
      </c>
      <c r="S24" s="57">
        <f t="shared" ca="1" si="11"/>
        <v>-2065.1488963101306</v>
      </c>
      <c r="T24" s="59">
        <f t="shared" ca="1" si="0"/>
        <v>1.01115714909585</v>
      </c>
      <c r="U24" s="57">
        <f t="shared" ca="1" si="1"/>
        <v>-2088.1900704513928</v>
      </c>
      <c r="V24" s="54">
        <f t="shared" ca="1" si="2"/>
        <v>1.1403000000000001</v>
      </c>
      <c r="W24" s="60">
        <f t="shared" ca="1" si="3"/>
        <v>-2381.1631373357236</v>
      </c>
      <c r="Y24" s="51">
        <f t="shared" si="15"/>
        <v>45041.5</v>
      </c>
      <c r="Z24" s="61">
        <v>9.3160455288624003E-3</v>
      </c>
      <c r="AA24" s="39"/>
      <c r="AB24" s="51">
        <f t="shared" si="16"/>
        <v>45041.5</v>
      </c>
      <c r="AC24" s="61">
        <v>3.0743046047523401E-2</v>
      </c>
      <c r="AD24" s="39"/>
      <c r="AE24" s="51">
        <f t="shared" si="17"/>
        <v>45041.5</v>
      </c>
      <c r="AF24" s="62">
        <f t="shared" si="18"/>
        <v>0.76541073029672957</v>
      </c>
      <c r="AG24" s="63"/>
      <c r="AH24" s="51">
        <f t="shared" si="19"/>
        <v>45041.5</v>
      </c>
      <c r="AI24" s="64">
        <v>0.99444974036312195</v>
      </c>
      <c r="AJ24" s="39"/>
      <c r="AK24" s="51">
        <f t="shared" si="20"/>
        <v>45041.5</v>
      </c>
      <c r="AL24" s="64">
        <v>0.86844022632262696</v>
      </c>
      <c r="AM24" s="40"/>
      <c r="AN24" s="51">
        <f t="shared" si="21"/>
        <v>45041.5</v>
      </c>
      <c r="AO24" s="64">
        <v>1.01221420059261</v>
      </c>
      <c r="AP24" s="39"/>
      <c r="AQ24" s="51">
        <f t="shared" si="22"/>
        <v>45041.5</v>
      </c>
      <c r="AR24" s="64">
        <v>0.88345838384438102</v>
      </c>
    </row>
    <row r="25" spans="2:46" x14ac:dyDescent="0.25">
      <c r="E25" s="26">
        <v>20</v>
      </c>
      <c r="F25" s="95">
        <f t="shared" si="12"/>
        <v>45132.75</v>
      </c>
      <c r="G25" s="96">
        <f t="shared" ca="1" si="13"/>
        <v>45132.75</v>
      </c>
      <c r="H25" s="96">
        <f t="shared" si="14"/>
        <v>45224</v>
      </c>
      <c r="I25" s="97">
        <f t="shared" si="4"/>
        <v>91</v>
      </c>
      <c r="J25" s="98">
        <f ca="1">IF(I25="","",IF($C$57="YES",J77,I25/RIGHT(DayCountBasis1,3)))</f>
        <v>0.25555555555555598</v>
      </c>
      <c r="K25" s="99">
        <f t="shared" si="23"/>
        <v>45224</v>
      </c>
      <c r="L25" s="26">
        <v>20</v>
      </c>
      <c r="M25" s="100">
        <f t="shared" ca="1" si="5"/>
        <v>-876962.20292905369</v>
      </c>
      <c r="N25" s="96">
        <f t="shared" si="6"/>
        <v>45132.75</v>
      </c>
      <c r="O25" s="101">
        <f t="shared" ca="1" si="7"/>
        <v>1</v>
      </c>
      <c r="P25" s="102">
        <f t="shared" ca="1" si="8"/>
        <v>-876962.20292905369</v>
      </c>
      <c r="Q25" s="103">
        <f t="shared" ca="1" si="9"/>
        <v>0</v>
      </c>
      <c r="R25" s="103">
        <f t="shared" ca="1" si="10"/>
        <v>9.9282063827370003E-3</v>
      </c>
      <c r="S25" s="102">
        <f t="shared" ca="1" si="11"/>
        <v>-879187.23870719154</v>
      </c>
      <c r="T25" s="104">
        <f t="shared" ca="1" si="0"/>
        <v>1.00993911318385</v>
      </c>
      <c r="U25" s="102">
        <f t="shared" ca="1" si="1"/>
        <v>-887925.5801824989</v>
      </c>
      <c r="V25" s="98">
        <f t="shared" ca="1" si="2"/>
        <v>1.1403000000000001</v>
      </c>
      <c r="W25" s="105">
        <f t="shared" ca="1" si="3"/>
        <v>-1012501.5390821035</v>
      </c>
      <c r="Y25" s="51">
        <f t="shared" si="15"/>
        <v>45132.75</v>
      </c>
      <c r="Z25" s="61">
        <v>9.9282063827370003E-3</v>
      </c>
      <c r="AA25" s="39"/>
      <c r="AB25" s="51">
        <f t="shared" si="16"/>
        <v>45132.75</v>
      </c>
      <c r="AC25" s="61">
        <v>3.08243015936541E-2</v>
      </c>
      <c r="AD25" s="39"/>
      <c r="AE25" s="51">
        <f t="shared" si="17"/>
        <v>45132.75</v>
      </c>
      <c r="AF25" s="62">
        <f t="shared" si="18"/>
        <v>0.76096233483426645</v>
      </c>
      <c r="AG25" s="63"/>
      <c r="AH25" s="51">
        <f t="shared" si="19"/>
        <v>45132.75</v>
      </c>
      <c r="AI25" s="64">
        <v>0.992405371142695</v>
      </c>
      <c r="AJ25" s="39"/>
      <c r="AK25" s="51">
        <f t="shared" si="20"/>
        <v>45132.75</v>
      </c>
      <c r="AL25" s="64">
        <v>0.86146824915796905</v>
      </c>
      <c r="AM25" s="40"/>
      <c r="AN25" s="51">
        <f t="shared" si="21"/>
        <v>45132.75</v>
      </c>
      <c r="AO25" s="64">
        <v>1.01115714909585</v>
      </c>
      <c r="AP25" s="39"/>
      <c r="AQ25" s="51">
        <f t="shared" si="22"/>
        <v>45132.75</v>
      </c>
      <c r="AR25" s="64">
        <v>0.87740669152030404</v>
      </c>
    </row>
    <row r="26" spans="2:46" x14ac:dyDescent="0.25">
      <c r="M26" s="106"/>
      <c r="N26" s="107"/>
      <c r="O26" s="107"/>
      <c r="Y26" s="51">
        <f t="shared" si="15"/>
        <v>45224</v>
      </c>
      <c r="Z26" s="61">
        <v>1.0537867773398E-2</v>
      </c>
      <c r="AA26" s="39"/>
      <c r="AB26" s="51">
        <f t="shared" si="16"/>
        <v>45224</v>
      </c>
      <c r="AC26" s="61">
        <v>3.08571323123456E-2</v>
      </c>
      <c r="AD26" s="39"/>
      <c r="AE26" s="51">
        <f t="shared" si="17"/>
        <v>45224</v>
      </c>
      <c r="AF26" s="62">
        <f t="shared" si="18"/>
        <v>0.75658971087119609</v>
      </c>
      <c r="AG26" s="63"/>
      <c r="AH26" s="51">
        <f t="shared" si="19"/>
        <v>45224</v>
      </c>
      <c r="AI26" s="64">
        <v>0.99025678486421298</v>
      </c>
      <c r="AJ26" s="39"/>
      <c r="AK26" s="51">
        <f t="shared" si="20"/>
        <v>45224</v>
      </c>
      <c r="AL26" s="64">
        <v>0.85474034092604401</v>
      </c>
      <c r="AM26" s="40"/>
      <c r="AN26" s="51">
        <f t="shared" si="21"/>
        <v>45224</v>
      </c>
      <c r="AO26" s="64">
        <v>1.00993911318385</v>
      </c>
      <c r="AP26" s="39"/>
      <c r="AQ26" s="51">
        <f t="shared" si="22"/>
        <v>45224</v>
      </c>
      <c r="AR26" s="64">
        <v>0.87131411033355299</v>
      </c>
    </row>
    <row r="27" spans="2:46" x14ac:dyDescent="0.25">
      <c r="B27" s="4" t="s">
        <v>62</v>
      </c>
      <c r="C27" s="108" t="str">
        <f ca="1">"LEG1: "&amp;$C$14</f>
        <v>LEG1: EUR</v>
      </c>
      <c r="D27" s="108" t="str">
        <f ca="1">"LEG2: "&amp;$D$14</f>
        <v>LEG2: USD</v>
      </c>
      <c r="F27" s="4" t="s">
        <v>63</v>
      </c>
      <c r="M27" s="4" t="s">
        <v>64</v>
      </c>
      <c r="N27" s="107"/>
      <c r="O27" s="109"/>
      <c r="P27" s="110"/>
      <c r="Q27" s="111"/>
      <c r="Y27" s="51">
        <f t="shared" si="15"/>
        <v>45315.25</v>
      </c>
      <c r="Z27" s="61">
        <v>1.1116783460213E-2</v>
      </c>
      <c r="AA27" s="39"/>
      <c r="AB27" s="51">
        <f t="shared" si="16"/>
        <v>45315.25</v>
      </c>
      <c r="AC27" s="61">
        <v>3.0876494757100598E-2</v>
      </c>
      <c r="AD27" s="39"/>
      <c r="AE27" s="51">
        <f t="shared" si="17"/>
        <v>45315.25</v>
      </c>
      <c r="AF27" s="62">
        <f t="shared" si="18"/>
        <v>0.7523423949646848</v>
      </c>
      <c r="AG27" s="63"/>
      <c r="AH27" s="51">
        <f t="shared" si="19"/>
        <v>45315.25</v>
      </c>
      <c r="AI27" s="64">
        <v>0.98793973485280995</v>
      </c>
      <c r="AJ27" s="39"/>
      <c r="AK27" s="51">
        <f t="shared" si="20"/>
        <v>45315.25</v>
      </c>
      <c r="AL27" s="64">
        <v>0.84802456821912497</v>
      </c>
      <c r="AM27" s="40"/>
      <c r="AN27" s="51">
        <f t="shared" si="21"/>
        <v>45315.25</v>
      </c>
      <c r="AO27" s="64">
        <v>1.0085585089779501</v>
      </c>
      <c r="AP27" s="39"/>
      <c r="AQ27" s="51">
        <f t="shared" si="22"/>
        <v>45315.25</v>
      </c>
      <c r="AR27" s="64">
        <v>0.86523834387862197</v>
      </c>
    </row>
    <row r="28" spans="2:46" x14ac:dyDescent="0.25">
      <c r="B28" s="112" t="s">
        <v>65</v>
      </c>
      <c r="C28" s="113">
        <f ca="1">SUM(W5:W25)</f>
        <v>-25026.089014458237</v>
      </c>
      <c r="D28" s="114">
        <f ca="1">SUM(W29:W49)</f>
        <v>16171.283150927047</v>
      </c>
      <c r="F28" s="12" t="s">
        <v>13</v>
      </c>
      <c r="G28" s="13" t="s">
        <v>14</v>
      </c>
      <c r="H28" s="13" t="s">
        <v>15</v>
      </c>
      <c r="I28" s="14" t="s">
        <v>16</v>
      </c>
      <c r="J28" s="15" t="s">
        <v>17</v>
      </c>
      <c r="K28" s="16" t="s">
        <v>18</v>
      </c>
      <c r="M28" s="17" t="s">
        <v>19</v>
      </c>
      <c r="N28" s="18" t="s">
        <v>20</v>
      </c>
      <c r="O28" s="19" t="s">
        <v>21</v>
      </c>
      <c r="P28" s="18" t="s">
        <v>22</v>
      </c>
      <c r="Q28" s="15" t="s">
        <v>23</v>
      </c>
      <c r="R28" s="20" t="str">
        <f>IF($D$17="FLOATING","FloatRate","FixedRate")</f>
        <v>FloatRate</v>
      </c>
      <c r="S28" s="18" t="s">
        <v>24</v>
      </c>
      <c r="T28" s="18" t="s">
        <v>25</v>
      </c>
      <c r="U28" s="14" t="s">
        <v>26</v>
      </c>
      <c r="V28" s="14" t="s">
        <v>27</v>
      </c>
      <c r="W28" s="21" t="s">
        <v>28</v>
      </c>
      <c r="Y28" s="51">
        <f t="shared" si="15"/>
        <v>45406.5</v>
      </c>
      <c r="Z28" s="61">
        <v>1.1699064592895899E-2</v>
      </c>
      <c r="AA28" s="39"/>
      <c r="AB28" s="51">
        <f t="shared" si="16"/>
        <v>45406.5</v>
      </c>
      <c r="AC28" s="61">
        <v>3.1002172397080901E-2</v>
      </c>
      <c r="AD28" s="39"/>
      <c r="AE28" s="51">
        <f t="shared" si="17"/>
        <v>45406.5</v>
      </c>
      <c r="AF28" s="62">
        <f t="shared" si="18"/>
        <v>0.74826216672003021</v>
      </c>
      <c r="AG28" s="63"/>
      <c r="AH28" s="51">
        <f t="shared" si="19"/>
        <v>45406.5</v>
      </c>
      <c r="AI28" s="64">
        <v>0.98546992065644501</v>
      </c>
      <c r="AJ28" s="39"/>
      <c r="AK28" s="51">
        <f t="shared" si="20"/>
        <v>45406.5</v>
      </c>
      <c r="AL28" s="64">
        <v>0.84133535270981197</v>
      </c>
      <c r="AM28" s="40"/>
      <c r="AN28" s="51">
        <f t="shared" si="21"/>
        <v>45406.5</v>
      </c>
      <c r="AO28" s="64">
        <v>1.00703980228308</v>
      </c>
      <c r="AP28" s="39"/>
      <c r="AQ28" s="51">
        <f t="shared" si="22"/>
        <v>45406.5</v>
      </c>
      <c r="AR28" s="64">
        <v>0.85925001318512795</v>
      </c>
    </row>
    <row r="29" spans="2:46" ht="15.75" thickBot="1" x14ac:dyDescent="0.3">
      <c r="B29" s="115" t="s">
        <v>66</v>
      </c>
      <c r="C29" s="116">
        <f ca="1">C28+D28</f>
        <v>-8854.80586353119</v>
      </c>
      <c r="D29" s="117" t="str">
        <f ca="1">ValuationCurrency</f>
        <v>USD</v>
      </c>
      <c r="E29" s="26">
        <v>0</v>
      </c>
      <c r="F29" s="27"/>
      <c r="G29" s="28" t="s">
        <v>31</v>
      </c>
      <c r="H29" s="28" t="s">
        <v>31</v>
      </c>
      <c r="I29" s="29" t="s">
        <v>31</v>
      </c>
      <c r="J29" s="30" t="s">
        <v>31</v>
      </c>
      <c r="K29" s="31">
        <f>G30</f>
        <v>43399</v>
      </c>
      <c r="L29" s="26">
        <v>0</v>
      </c>
      <c r="M29" s="32" t="s">
        <v>31</v>
      </c>
      <c r="N29" s="28" t="s">
        <v>31</v>
      </c>
      <c r="O29" s="33" t="s">
        <v>31</v>
      </c>
      <c r="P29" s="34">
        <f ca="1">IF(NotionalExchanges="YES",-IF(PayReceive2="PAY",-LegNotional2,LegNotional2),0)</f>
        <v>-1000000</v>
      </c>
      <c r="Q29" s="35" t="s">
        <v>31</v>
      </c>
      <c r="R29" s="35" t="s">
        <v>31</v>
      </c>
      <c r="S29" s="34">
        <f>P29</f>
        <v>-1000000</v>
      </c>
      <c r="T29" s="36">
        <f t="shared" ref="T29:T49" ca="1" si="24">IF($K29="","",VLOOKUP($K29,INDIRECT("USDDISCOUNTFACTORS_"&amp;CSACurrency&amp;"CSA"),2,FALSE))</f>
        <v>1</v>
      </c>
      <c r="U29" s="34">
        <f t="shared" ref="U29:U49" ca="1" si="25">IF($K29="","",S29*T29)</f>
        <v>-1000000</v>
      </c>
      <c r="V29" s="37">
        <f t="shared" ref="V29:V49" ca="1" si="26">IF(U29="","",ValuationFXAdj2)</f>
        <v>1</v>
      </c>
      <c r="W29" s="38">
        <f t="shared" ref="W29:W49" ca="1" si="27">IF(V29="","",V29*U29)</f>
        <v>-1000000</v>
      </c>
      <c r="Y29" s="51">
        <f t="shared" si="15"/>
        <v>45497.75</v>
      </c>
      <c r="Z29" s="61">
        <v>1.2270454660498699E-2</v>
      </c>
      <c r="AA29" s="39"/>
      <c r="AB29" s="51">
        <f t="shared" si="16"/>
        <v>45497.75</v>
      </c>
      <c r="AC29" s="61">
        <v>3.1173034264163801E-2</v>
      </c>
      <c r="AD29" s="39"/>
      <c r="AE29" s="51">
        <f t="shared" si="17"/>
        <v>45497.75</v>
      </c>
      <c r="AF29" s="62">
        <f t="shared" si="18"/>
        <v>0.74428583194483511</v>
      </c>
      <c r="AG29" s="63"/>
      <c r="AH29" s="51">
        <f t="shared" si="19"/>
        <v>45497.75</v>
      </c>
      <c r="AI29" s="64">
        <v>0.98285996145519305</v>
      </c>
      <c r="AJ29" s="39"/>
      <c r="AK29" s="51">
        <f t="shared" si="20"/>
        <v>45497.75</v>
      </c>
      <c r="AL29" s="64">
        <v>0.83467354454981402</v>
      </c>
      <c r="AM29" s="40"/>
      <c r="AN29" s="51">
        <f t="shared" si="21"/>
        <v>45497.75</v>
      </c>
      <c r="AO29" s="64">
        <v>1.0053752153217601</v>
      </c>
      <c r="AP29" s="39"/>
      <c r="AQ29" s="51">
        <f t="shared" si="22"/>
        <v>45497.75</v>
      </c>
      <c r="AR29" s="64">
        <v>0.85327112850838605</v>
      </c>
    </row>
    <row r="30" spans="2:46" ht="15.75" thickTop="1" x14ac:dyDescent="0.25">
      <c r="B30" s="118" t="s">
        <v>67</v>
      </c>
      <c r="C30" s="119">
        <f ca="1">SUMPRODUCT($M$6:$M$25,$J$6:$J$25,$R$6:$R$25,$T$6:$T$25,$V$6:$V$25)+SUMPRODUCT($P$5:$P$25,$T$5:$T$25,$V$5:$V$25)</f>
        <v>-25026.089014458204</v>
      </c>
      <c r="D30" s="120">
        <f ca="1">SUMPRODUCT($M$30:$M$49,$J$30:$J$49,$R$30:$R$49,$T$30:$T$49,$V$30:$V$49)+SUMPRODUCT($P$29:$P$49,$T$29:$T$49,$V$29:$V$49)</f>
        <v>16171.283150927193</v>
      </c>
      <c r="E30" s="26">
        <v>1</v>
      </c>
      <c r="F30" s="27">
        <f>G30</f>
        <v>43399</v>
      </c>
      <c r="G30" s="28">
        <f>$C$4</f>
        <v>43399</v>
      </c>
      <c r="H30" s="28">
        <f>G30+0.25*365</f>
        <v>43490.25</v>
      </c>
      <c r="I30" s="29">
        <f t="shared" ref="I30:I49" si="28">IF(H30="","",ROUND(H30-G30,0))</f>
        <v>91</v>
      </c>
      <c r="J30" s="37">
        <f ca="1">IF(I30="","",IF($D$57="YES",J58,I30/RIGHT(DayCountBasis2,3)))</f>
        <v>0.26111111111111102</v>
      </c>
      <c r="K30" s="31">
        <f>H30</f>
        <v>43490.25</v>
      </c>
      <c r="L30" s="26">
        <v>1</v>
      </c>
      <c r="M30" s="32">
        <f t="shared" ref="M30:M49" ca="1" si="29">IF($K30="","",IF(PayReceive2="PAY",-LegNotional2,LegNotional2)*IF(AND(MTM="YES",ResetCurrency=LegCurrency2),O30/LegSpotFX2,1))</f>
        <v>1000000</v>
      </c>
      <c r="N30" s="28">
        <f t="shared" ref="N30:N49" si="30">F30</f>
        <v>43399</v>
      </c>
      <c r="O30" s="33">
        <f t="shared" ref="O30:O49" ca="1" si="31">IF($N30="","",IF(LegResetsRequired2="YES",1/VLOOKUP(N30,FORWARDFX,2,FALSE),1))</f>
        <v>1.1403000000000001</v>
      </c>
      <c r="P30" s="34">
        <f t="shared" ref="P30:P49" ca="1" si="32">IF(K30="","",IF(K30=MaturityDate,IF(NotionalExchanges="YES",M30,0),IF(LegResetsRequired2="YES",M30-M31,0)))</f>
        <v>-8232.764771324466</v>
      </c>
      <c r="Q30" s="35">
        <f t="shared" ref="Q30:Q49" ca="1" si="33">IF(P30="","",IF(LegType2="FLOATING",RateOrSpread2,0))</f>
        <v>0</v>
      </c>
      <c r="R30" s="35">
        <f t="shared" ref="R30:R49" ca="1" si="34">IF($F30="","",IF(LegType2="FIXED",RateOrSpread2,VLOOKUP($F30,USDLIBOR3M,2,FALSE)))</f>
        <v>2.4747536910397799E-2</v>
      </c>
      <c r="S30" s="34">
        <f t="shared" ref="S30:S49" ca="1" si="35">IF($K30="","",P30+M30*(R30+Q30)*J30)</f>
        <v>-1770.9079113872649</v>
      </c>
      <c r="T30" s="36">
        <f t="shared" ca="1" si="24"/>
        <v>0.99418049750839499</v>
      </c>
      <c r="U30" s="34">
        <f t="shared" ca="1" si="25"/>
        <v>-1760.6021083845437</v>
      </c>
      <c r="V30" s="37">
        <f t="shared" ca="1" si="26"/>
        <v>1</v>
      </c>
      <c r="W30" s="38">
        <f t="shared" ca="1" si="27"/>
        <v>-1760.6021083845437</v>
      </c>
      <c r="Y30" s="51">
        <f t="shared" si="15"/>
        <v>45589</v>
      </c>
      <c r="Z30" s="61">
        <v>1.28387412162642E-2</v>
      </c>
      <c r="AA30" s="39"/>
      <c r="AB30" s="51">
        <f t="shared" si="16"/>
        <v>45589</v>
      </c>
      <c r="AC30" s="61">
        <v>3.1398501507842499E-2</v>
      </c>
      <c r="AD30" s="39"/>
      <c r="AE30" s="51">
        <f t="shared" si="17"/>
        <v>45589</v>
      </c>
      <c r="AF30" s="62">
        <f t="shared" si="18"/>
        <v>0.74036421061365587</v>
      </c>
      <c r="AG30" s="63"/>
      <c r="AH30" s="51">
        <f t="shared" si="19"/>
        <v>45589</v>
      </c>
      <c r="AI30" s="64">
        <v>0.98009597718777697</v>
      </c>
      <c r="AJ30" s="39"/>
      <c r="AK30" s="51">
        <f t="shared" si="20"/>
        <v>45589</v>
      </c>
      <c r="AL30" s="64">
        <v>0.82797986671962798</v>
      </c>
      <c r="AM30" s="40"/>
      <c r="AN30" s="51">
        <f t="shared" si="21"/>
        <v>45589</v>
      </c>
      <c r="AO30" s="64">
        <v>1.00355317562694</v>
      </c>
      <c r="AP30" s="39"/>
      <c r="AQ30" s="51">
        <f t="shared" si="22"/>
        <v>45589</v>
      </c>
      <c r="AR30" s="64">
        <v>0.84723703279373297</v>
      </c>
      <c r="AS30" s="3"/>
    </row>
    <row r="31" spans="2:46" x14ac:dyDescent="0.25">
      <c r="B31" s="118" t="s">
        <v>39</v>
      </c>
      <c r="C31" s="119">
        <f ca="1">SUMPRODUCT($P$5:$P$25,$T$5:$T$25,$V$5:$V$25)</f>
        <v>-9939.1131838500733</v>
      </c>
      <c r="D31" s="120">
        <f ca="1">SUMPRODUCT($P$29:$P$49,$T$29:$T$49,$V$29:$V$49)</f>
        <v>-138816.90082289465</v>
      </c>
      <c r="E31" s="26">
        <v>2</v>
      </c>
      <c r="F31" s="51">
        <f t="shared" ref="F31:F49" si="36">G31</f>
        <v>43490.25</v>
      </c>
      <c r="G31" s="52">
        <f t="shared" ref="G31:G49" ca="1" si="37">IF(OR(H30="",H30&gt;=MaturityDate),"",H30)</f>
        <v>43490.25</v>
      </c>
      <c r="H31" s="52">
        <f t="shared" ref="H31:H49" si="38">IF(G31="","",G31+0.25*365)</f>
        <v>43581.5</v>
      </c>
      <c r="I31" s="53">
        <f t="shared" si="28"/>
        <v>91</v>
      </c>
      <c r="J31" s="54">
        <f ca="1">IF(I31="","",IF($D$57="YES",J59,I31/RIGHT(DayCountBasis2,3)))</f>
        <v>0.24444444444444399</v>
      </c>
      <c r="K31" s="25">
        <f>H31</f>
        <v>43581.5</v>
      </c>
      <c r="L31" s="26">
        <v>2</v>
      </c>
      <c r="M31" s="55">
        <f t="shared" ca="1" si="29"/>
        <v>1008232.7647713245</v>
      </c>
      <c r="N31" s="52">
        <f t="shared" si="30"/>
        <v>43490.25</v>
      </c>
      <c r="O31" s="56">
        <f t="shared" ca="1" si="31"/>
        <v>1.1496878216687414</v>
      </c>
      <c r="P31" s="57">
        <f t="shared" ca="1" si="32"/>
        <v>-8104.2385391809512</v>
      </c>
      <c r="Q31" s="58">
        <f t="shared" ca="1" si="33"/>
        <v>0</v>
      </c>
      <c r="R31" s="58">
        <f t="shared" ca="1" si="34"/>
        <v>2.7958065227277701E-2</v>
      </c>
      <c r="S31" s="57">
        <f t="shared" ca="1" si="35"/>
        <v>-1213.7805076407976</v>
      </c>
      <c r="T31" s="59">
        <f t="shared" ca="1" si="24"/>
        <v>0.98804066472492502</v>
      </c>
      <c r="U31" s="57">
        <f t="shared" ca="1" si="25"/>
        <v>-1199.2644995995706</v>
      </c>
      <c r="V31" s="54">
        <f t="shared" ca="1" si="26"/>
        <v>1</v>
      </c>
      <c r="W31" s="60">
        <f t="shared" ca="1" si="27"/>
        <v>-1199.2644995995706</v>
      </c>
      <c r="Y31" s="51">
        <f t="shared" si="15"/>
        <v>45680.25</v>
      </c>
      <c r="Z31" s="61">
        <v>1.33998868344483E-2</v>
      </c>
      <c r="AA31" s="39"/>
      <c r="AB31" s="51">
        <f t="shared" si="16"/>
        <v>45680.25</v>
      </c>
      <c r="AC31" s="61">
        <v>3.1643320050188002E-2</v>
      </c>
      <c r="AD31" s="39"/>
      <c r="AE31" s="51">
        <f t="shared" si="17"/>
        <v>45680.25</v>
      </c>
      <c r="AF31" s="62">
        <f t="shared" si="18"/>
        <v>0.73653292582736285</v>
      </c>
      <c r="AG31" s="63"/>
      <c r="AH31" s="51">
        <f t="shared" si="19"/>
        <v>45680.25</v>
      </c>
      <c r="AI31" s="64">
        <v>0.97721744259073096</v>
      </c>
      <c r="AJ31" s="39"/>
      <c r="AK31" s="51">
        <f t="shared" si="20"/>
        <v>45680.25</v>
      </c>
      <c r="AL31" s="64">
        <v>0.82133086721732296</v>
      </c>
      <c r="AM31" s="40"/>
      <c r="AN31" s="51">
        <f t="shared" si="21"/>
        <v>45680.25</v>
      </c>
      <c r="AO31" s="64">
        <v>1.00159810606177</v>
      </c>
      <c r="AP31" s="39"/>
      <c r="AQ31" s="51">
        <f t="shared" si="22"/>
        <v>45680.25</v>
      </c>
      <c r="AR31" s="64">
        <v>0.84121069425440398</v>
      </c>
      <c r="AS31" s="3"/>
      <c r="AT31" s="121"/>
    </row>
    <row r="32" spans="2:46" x14ac:dyDescent="0.25">
      <c r="B32" s="118" t="s">
        <v>68</v>
      </c>
      <c r="C32" s="119">
        <f ca="1">SUMPRODUCT($M$6:$M$25,$J$6:$J$25,$T$6:$T$25,$V$6:$V$25)</f>
        <v>-5130775.6267408533</v>
      </c>
      <c r="D32" s="120">
        <f ca="1">SUMPRODUCT($M$30:$M$49,$J$30:$J$49,$T$30:$T$49,$V$30:$V$49)</f>
        <v>5093043.7969573317</v>
      </c>
      <c r="E32" s="26">
        <v>3</v>
      </c>
      <c r="F32" s="51">
        <f t="shared" si="36"/>
        <v>43581.5</v>
      </c>
      <c r="G32" s="52">
        <f t="shared" ca="1" si="37"/>
        <v>43581.5</v>
      </c>
      <c r="H32" s="52">
        <f t="shared" si="38"/>
        <v>43672.75</v>
      </c>
      <c r="I32" s="53">
        <f t="shared" si="28"/>
        <v>91</v>
      </c>
      <c r="J32" s="54">
        <f ca="1">IF(I32="","",IF($D$57="YES",J60,I32/RIGHT(DayCountBasis2,3)))</f>
        <v>0.25277777777777799</v>
      </c>
      <c r="K32" s="25">
        <f>H32</f>
        <v>43672.75</v>
      </c>
      <c r="L32" s="26">
        <v>3</v>
      </c>
      <c r="M32" s="55">
        <f t="shared" ca="1" si="29"/>
        <v>1016337.0033105054</v>
      </c>
      <c r="N32" s="52">
        <f t="shared" si="30"/>
        <v>43581.5</v>
      </c>
      <c r="O32" s="56">
        <f t="shared" ca="1" si="31"/>
        <v>1.1589290848749694</v>
      </c>
      <c r="P32" s="57">
        <f t="shared" ca="1" si="32"/>
        <v>-8634.6174836598802</v>
      </c>
      <c r="Q32" s="58">
        <f t="shared" ca="1" si="33"/>
        <v>0</v>
      </c>
      <c r="R32" s="58">
        <f t="shared" ca="1" si="34"/>
        <v>2.9376405846927599E-2</v>
      </c>
      <c r="S32" s="57">
        <f t="shared" ca="1" si="35"/>
        <v>-1087.601166794695</v>
      </c>
      <c r="T32" s="59">
        <f t="shared" ca="1" si="24"/>
        <v>0.98141870805932296</v>
      </c>
      <c r="U32" s="57">
        <f t="shared" ca="1" si="25"/>
        <v>-1067.3921319994618</v>
      </c>
      <c r="V32" s="54">
        <f t="shared" ca="1" si="26"/>
        <v>1</v>
      </c>
      <c r="W32" s="60">
        <f t="shared" ca="1" si="27"/>
        <v>-1067.3921319994618</v>
      </c>
      <c r="Y32" s="51">
        <f t="shared" si="15"/>
        <v>45771.5</v>
      </c>
      <c r="Z32" s="61">
        <v>1.3912542428905701E-2</v>
      </c>
      <c r="AA32" s="39"/>
      <c r="AB32" s="51">
        <f t="shared" si="16"/>
        <v>45771.5</v>
      </c>
      <c r="AC32" s="61">
        <v>3.1795785515552497E-2</v>
      </c>
      <c r="AD32" s="39"/>
      <c r="AE32" s="51">
        <f t="shared" si="17"/>
        <v>45771.5</v>
      </c>
      <c r="AF32" s="62">
        <f t="shared" si="18"/>
        <v>0.73286553922455544</v>
      </c>
      <c r="AG32" s="63"/>
      <c r="AH32" s="51">
        <f t="shared" si="19"/>
        <v>45771.5</v>
      </c>
      <c r="AI32" s="64">
        <v>0.97428831735016397</v>
      </c>
      <c r="AJ32" s="39"/>
      <c r="AK32" s="51">
        <f t="shared" si="20"/>
        <v>45771.5</v>
      </c>
      <c r="AL32" s="64">
        <v>0.81485357228381206</v>
      </c>
      <c r="AM32" s="40"/>
      <c r="AN32" s="51">
        <f t="shared" si="21"/>
        <v>45771.5</v>
      </c>
      <c r="AO32" s="64">
        <v>0.999557980096202</v>
      </c>
      <c r="AP32" s="39"/>
      <c r="AQ32" s="51">
        <f t="shared" si="22"/>
        <v>45771.5</v>
      </c>
      <c r="AR32" s="64">
        <v>0.83531718427854895</v>
      </c>
      <c r="AS32" s="3"/>
      <c r="AT32" s="121"/>
    </row>
    <row r="33" spans="2:46" ht="15.75" thickBot="1" x14ac:dyDescent="0.3">
      <c r="B33" s="115" t="s">
        <v>69</v>
      </c>
      <c r="C33" s="122">
        <f ca="1">IF(LegType1="FIXED",-(LegPV2+NotionalExchanges1)/Annuity1,-(LegPVNoSpread1+LegPV2)/Annuity1)</f>
        <v>-1.725822079878372E-3</v>
      </c>
      <c r="D33" s="123">
        <f ca="1">IF(LegType2="FIXED",-(LegPV1+NotionalExchanges2)/Annuity2,-(LegPV1+LegPVNoSpread2)/Annuity2)</f>
        <v>1.7386078377769009E-3</v>
      </c>
      <c r="E33" s="26">
        <v>4</v>
      </c>
      <c r="F33" s="51">
        <f t="shared" si="36"/>
        <v>43672.75</v>
      </c>
      <c r="G33" s="52">
        <f t="shared" ca="1" si="37"/>
        <v>43672.75</v>
      </c>
      <c r="H33" s="52">
        <f t="shared" si="38"/>
        <v>43764</v>
      </c>
      <c r="I33" s="53">
        <f t="shared" si="28"/>
        <v>91</v>
      </c>
      <c r="J33" s="54">
        <f ca="1">IF(I33="","",IF($D$57="YES",J61,I33/RIGHT(DayCountBasis2,3)))</f>
        <v>0.26111111111111102</v>
      </c>
      <c r="K33" s="25">
        <f>H33</f>
        <v>43764</v>
      </c>
      <c r="L33" s="26">
        <v>4</v>
      </c>
      <c r="M33" s="55">
        <f t="shared" ca="1" si="29"/>
        <v>1024971.6207941653</v>
      </c>
      <c r="N33" s="52">
        <f t="shared" si="30"/>
        <v>43672.75</v>
      </c>
      <c r="O33" s="56">
        <f t="shared" ca="1" si="31"/>
        <v>1.1687751391915868</v>
      </c>
      <c r="P33" s="57">
        <f t="shared" ca="1" si="32"/>
        <v>-8886.0955015929649</v>
      </c>
      <c r="Q33" s="58">
        <f t="shared" ca="1" si="33"/>
        <v>0</v>
      </c>
      <c r="R33" s="58">
        <f t="shared" ca="1" si="34"/>
        <v>3.0538343749320799E-2</v>
      </c>
      <c r="S33" s="57">
        <f t="shared" ca="1" si="35"/>
        <v>-713.0734049918392</v>
      </c>
      <c r="T33" s="59">
        <f t="shared" ca="1" si="24"/>
        <v>0.97480251014061603</v>
      </c>
      <c r="U33" s="57">
        <f t="shared" ca="1" si="25"/>
        <v>-695.10574510056097</v>
      </c>
      <c r="V33" s="54">
        <f t="shared" ca="1" si="26"/>
        <v>1</v>
      </c>
      <c r="W33" s="60">
        <f t="shared" ca="1" si="27"/>
        <v>-695.10574510056097</v>
      </c>
      <c r="Y33" s="51">
        <f t="shared" si="15"/>
        <v>45862.75</v>
      </c>
      <c r="Z33" s="61">
        <v>1.44098501642256E-2</v>
      </c>
      <c r="AA33" s="39"/>
      <c r="AB33" s="51">
        <f t="shared" si="16"/>
        <v>45862.75</v>
      </c>
      <c r="AC33" s="61">
        <v>3.1917684089295101E-2</v>
      </c>
      <c r="AD33" s="39"/>
      <c r="AE33" s="51">
        <f t="shared" si="17"/>
        <v>45862.75</v>
      </c>
      <c r="AF33" s="62">
        <f t="shared" si="18"/>
        <v>0.72924533057317453</v>
      </c>
      <c r="AG33" s="63"/>
      <c r="AH33" s="51">
        <f t="shared" si="19"/>
        <v>45862.75</v>
      </c>
      <c r="AI33" s="64">
        <v>0.97121586883224897</v>
      </c>
      <c r="AJ33" s="39"/>
      <c r="AK33" s="51">
        <f t="shared" si="20"/>
        <v>45862.75</v>
      </c>
      <c r="AL33" s="64">
        <v>0.80832999164776498</v>
      </c>
      <c r="AM33" s="40"/>
      <c r="AN33" s="51">
        <f t="shared" si="21"/>
        <v>45862.75</v>
      </c>
      <c r="AO33" s="64">
        <v>0.99737381393589297</v>
      </c>
      <c r="AP33" s="39"/>
      <c r="AQ33" s="51">
        <f t="shared" si="22"/>
        <v>45862.75</v>
      </c>
      <c r="AR33" s="64">
        <v>0.82937462323852196</v>
      </c>
      <c r="AS33" s="3"/>
      <c r="AT33" s="121"/>
    </row>
    <row r="34" spans="2:46" ht="15.75" thickTop="1" x14ac:dyDescent="0.25">
      <c r="E34" s="26">
        <v>5</v>
      </c>
      <c r="F34" s="51">
        <f t="shared" si="36"/>
        <v>43764</v>
      </c>
      <c r="G34" s="52">
        <f t="shared" ca="1" si="37"/>
        <v>43764</v>
      </c>
      <c r="H34" s="52">
        <f t="shared" si="38"/>
        <v>43855.25</v>
      </c>
      <c r="I34" s="53">
        <f t="shared" si="28"/>
        <v>91</v>
      </c>
      <c r="J34" s="54">
        <f ca="1">IF(I34="","",IF($D$57="YES",J62,I34/RIGHT(DayCountBasis2,3)))</f>
        <v>0.25277777777777799</v>
      </c>
      <c r="K34" s="25">
        <f t="shared" ref="K34:K49" si="39">H34</f>
        <v>43855.25</v>
      </c>
      <c r="L34" s="26">
        <v>5</v>
      </c>
      <c r="M34" s="55">
        <f t="shared" ca="1" si="29"/>
        <v>1033857.7162957583</v>
      </c>
      <c r="N34" s="52">
        <f t="shared" si="30"/>
        <v>43764</v>
      </c>
      <c r="O34" s="56">
        <f t="shared" ca="1" si="31"/>
        <v>1.1789079538920533</v>
      </c>
      <c r="P34" s="57">
        <f t="shared" ca="1" si="32"/>
        <v>-8906.2415759371361</v>
      </c>
      <c r="Q34" s="58">
        <f t="shared" ca="1" si="33"/>
        <v>0</v>
      </c>
      <c r="R34" s="58">
        <f t="shared" ca="1" si="34"/>
        <v>3.1352922069901999E-2</v>
      </c>
      <c r="S34" s="57">
        <f t="shared" ca="1" si="35"/>
        <v>-712.58630553355761</v>
      </c>
      <c r="T34" s="59">
        <f t="shared" ca="1" si="24"/>
        <v>0.96806869126051798</v>
      </c>
      <c r="U34" s="57">
        <f t="shared" ca="1" si="25"/>
        <v>-689.83249220803873</v>
      </c>
      <c r="V34" s="54">
        <f t="shared" ca="1" si="26"/>
        <v>1</v>
      </c>
      <c r="W34" s="60">
        <f t="shared" ca="1" si="27"/>
        <v>-689.83249220803873</v>
      </c>
      <c r="Y34" s="51">
        <f t="shared" si="15"/>
        <v>45954</v>
      </c>
      <c r="Z34" s="61">
        <v>1.4891572487155599E-2</v>
      </c>
      <c r="AA34" s="39"/>
      <c r="AB34" s="51">
        <f t="shared" si="16"/>
        <v>45954</v>
      </c>
      <c r="AC34" s="61">
        <v>3.2013528328565098E-2</v>
      </c>
      <c r="AD34" s="39"/>
      <c r="AE34" s="51">
        <f t="shared" si="17"/>
        <v>45954</v>
      </c>
      <c r="AF34" s="62">
        <f t="shared" si="18"/>
        <v>0.72567491336454881</v>
      </c>
      <c r="AG34" s="63"/>
      <c r="AH34" s="51">
        <f t="shared" si="19"/>
        <v>45954</v>
      </c>
      <c r="AI34" s="64">
        <v>0.96799418861639996</v>
      </c>
      <c r="AJ34" s="39"/>
      <c r="AK34" s="51">
        <f t="shared" si="20"/>
        <v>45954</v>
      </c>
      <c r="AL34" s="64">
        <v>0.80174729245373</v>
      </c>
      <c r="AM34" s="40"/>
      <c r="AN34" s="51">
        <f t="shared" si="21"/>
        <v>45954</v>
      </c>
      <c r="AO34" s="64">
        <v>0.99504481054907401</v>
      </c>
      <c r="AP34" s="39"/>
      <c r="AQ34" s="51">
        <f t="shared" si="22"/>
        <v>45954</v>
      </c>
      <c r="AR34" s="64">
        <v>0.82338674834251602</v>
      </c>
    </row>
    <row r="35" spans="2:46" x14ac:dyDescent="0.25">
      <c r="B35" s="124" t="s">
        <v>70</v>
      </c>
      <c r="E35" s="26">
        <v>6</v>
      </c>
      <c r="F35" s="51">
        <f t="shared" si="36"/>
        <v>43855.25</v>
      </c>
      <c r="G35" s="52">
        <f t="shared" ca="1" si="37"/>
        <v>43855.25</v>
      </c>
      <c r="H35" s="52">
        <f t="shared" si="38"/>
        <v>43946.5</v>
      </c>
      <c r="I35" s="53">
        <f t="shared" si="28"/>
        <v>91</v>
      </c>
      <c r="J35" s="54">
        <f ca="1">IF(I35="","",IF($D$57="YES",J63,I35/RIGHT(DayCountBasis2,3)))</f>
        <v>0.25277777777777799</v>
      </c>
      <c r="K35" s="25">
        <f t="shared" si="39"/>
        <v>43946.5</v>
      </c>
      <c r="L35" s="26">
        <v>6</v>
      </c>
      <c r="M35" s="55">
        <f t="shared" ca="1" si="29"/>
        <v>1042763.9578716954</v>
      </c>
      <c r="N35" s="52">
        <f t="shared" si="30"/>
        <v>43855.25</v>
      </c>
      <c r="O35" s="56">
        <f t="shared" ca="1" si="31"/>
        <v>1.1890637411610943</v>
      </c>
      <c r="P35" s="57">
        <f t="shared" ca="1" si="32"/>
        <v>-8836.6019221482566</v>
      </c>
      <c r="Q35" s="58">
        <f t="shared" ca="1" si="33"/>
        <v>0</v>
      </c>
      <c r="R35" s="58">
        <f t="shared" ca="1" si="34"/>
        <v>3.17494350174755E-2</v>
      </c>
      <c r="S35" s="57">
        <f t="shared" ca="1" si="35"/>
        <v>-467.84594095330976</v>
      </c>
      <c r="T35" s="59">
        <f t="shared" ca="1" si="24"/>
        <v>0.96123480057128796</v>
      </c>
      <c r="U35" s="57">
        <f t="shared" ca="1" si="25"/>
        <v>-449.70979975034129</v>
      </c>
      <c r="V35" s="54">
        <f t="shared" ca="1" si="26"/>
        <v>1</v>
      </c>
      <c r="W35" s="60">
        <f t="shared" ca="1" si="27"/>
        <v>-449.70979975034129</v>
      </c>
      <c r="Y35" s="51">
        <f t="shared" si="15"/>
        <v>46045.25</v>
      </c>
      <c r="Z35" s="61">
        <v>1.53351617770378E-2</v>
      </c>
      <c r="AA35" s="39"/>
      <c r="AB35" s="51">
        <f t="shared" si="16"/>
        <v>46045.25</v>
      </c>
      <c r="AC35" s="61">
        <v>3.20886004469789E-2</v>
      </c>
      <c r="AD35" s="39"/>
      <c r="AE35" s="51">
        <f t="shared" si="17"/>
        <v>46045.25</v>
      </c>
      <c r="AF35" s="62">
        <f t="shared" si="18"/>
        <v>0.72211949424864874</v>
      </c>
      <c r="AG35" s="63"/>
      <c r="AH35" s="51">
        <f t="shared" si="19"/>
        <v>46045.25</v>
      </c>
      <c r="AI35" s="64">
        <v>0.96465603316654802</v>
      </c>
      <c r="AJ35" s="39"/>
      <c r="AK35" s="51">
        <f t="shared" si="20"/>
        <v>46045.25</v>
      </c>
      <c r="AL35" s="64">
        <v>0.79516816390304002</v>
      </c>
      <c r="AM35" s="40"/>
      <c r="AN35" s="51">
        <f t="shared" si="21"/>
        <v>46045.25</v>
      </c>
      <c r="AO35" s="64">
        <v>0.99254314388848097</v>
      </c>
      <c r="AP35" s="39"/>
      <c r="AQ35" s="51">
        <f t="shared" si="22"/>
        <v>46045.25</v>
      </c>
      <c r="AR35" s="64">
        <v>0.81729263894249904</v>
      </c>
    </row>
    <row r="36" spans="2:46" x14ac:dyDescent="0.25">
      <c r="B36" s="22" t="s">
        <v>71</v>
      </c>
      <c r="C36" s="22" t="s">
        <v>72</v>
      </c>
      <c r="D36" s="22" t="s">
        <v>73</v>
      </c>
      <c r="E36" s="26">
        <v>7</v>
      </c>
      <c r="F36" s="51">
        <f t="shared" si="36"/>
        <v>43946.5</v>
      </c>
      <c r="G36" s="52">
        <f t="shared" ca="1" si="37"/>
        <v>43946.5</v>
      </c>
      <c r="H36" s="52">
        <f t="shared" si="38"/>
        <v>44037.75</v>
      </c>
      <c r="I36" s="53">
        <f t="shared" si="28"/>
        <v>91</v>
      </c>
      <c r="J36" s="54">
        <f ca="1">IF(I36="","",IF($D$57="YES",J64,I36/RIGHT(DayCountBasis2,3)))</f>
        <v>0.25277777777777799</v>
      </c>
      <c r="K36" s="25">
        <f t="shared" si="39"/>
        <v>44037.75</v>
      </c>
      <c r="L36" s="26">
        <v>7</v>
      </c>
      <c r="M36" s="55">
        <f t="shared" ca="1" si="29"/>
        <v>1051600.5597938437</v>
      </c>
      <c r="N36" s="52">
        <f t="shared" si="30"/>
        <v>43946.5</v>
      </c>
      <c r="O36" s="56">
        <f t="shared" ca="1" si="31"/>
        <v>1.19914011833292</v>
      </c>
      <c r="P36" s="57">
        <f t="shared" ca="1" si="32"/>
        <v>-8875.1375549249351</v>
      </c>
      <c r="Q36" s="58">
        <f t="shared" ca="1" si="33"/>
        <v>0</v>
      </c>
      <c r="R36" s="58">
        <f t="shared" ca="1" si="34"/>
        <v>3.1767438395896998E-2</v>
      </c>
      <c r="S36" s="57">
        <f t="shared" ca="1" si="35"/>
        <v>-430.67728817188072</v>
      </c>
      <c r="T36" s="59">
        <f t="shared" ca="1" si="24"/>
        <v>0.95428552254330001</v>
      </c>
      <c r="U36" s="57">
        <f t="shared" ca="1" si="25"/>
        <v>-410.9891009906346</v>
      </c>
      <c r="V36" s="54">
        <f t="shared" ca="1" si="26"/>
        <v>1</v>
      </c>
      <c r="W36" s="60">
        <f t="shared" ca="1" si="27"/>
        <v>-410.9891009906346</v>
      </c>
      <c r="Y36" s="51">
        <f t="shared" si="15"/>
        <v>46136.5</v>
      </c>
      <c r="Z36" s="61">
        <v>1.5723795141304901E-2</v>
      </c>
      <c r="AA36" s="39"/>
      <c r="AB36" s="51">
        <f t="shared" si="16"/>
        <v>46136.5</v>
      </c>
      <c r="AC36" s="61">
        <v>3.2155897331830399E-2</v>
      </c>
      <c r="AD36" s="39"/>
      <c r="AE36" s="51">
        <f t="shared" si="17"/>
        <v>46136.5</v>
      </c>
      <c r="AF36" s="62">
        <f t="shared" si="18"/>
        <v>0.7188735035255267</v>
      </c>
      <c r="AG36" s="63"/>
      <c r="AH36" s="51">
        <f t="shared" si="19"/>
        <v>46136.5</v>
      </c>
      <c r="AI36" s="64">
        <v>0.96128461875728799</v>
      </c>
      <c r="AJ36" s="39"/>
      <c r="AK36" s="51">
        <f t="shared" si="20"/>
        <v>46136.5</v>
      </c>
      <c r="AL36" s="64">
        <v>0.78874400066892403</v>
      </c>
      <c r="AM36" s="40"/>
      <c r="AN36" s="51">
        <f t="shared" si="21"/>
        <v>46136.5</v>
      </c>
      <c r="AO36" s="64">
        <v>0.99009263687016402</v>
      </c>
      <c r="AP36" s="39"/>
      <c r="AQ36" s="51">
        <f t="shared" si="22"/>
        <v>46136.5</v>
      </c>
      <c r="AR36" s="64">
        <v>0.81161007886592196</v>
      </c>
    </row>
    <row r="37" spans="2:46" x14ac:dyDescent="0.25">
      <c r="B37" s="125" t="s">
        <v>74</v>
      </c>
      <c r="C37" s="126">
        <v>-1.8749999999999999E-3</v>
      </c>
      <c r="D37" s="127">
        <v>-18.75</v>
      </c>
      <c r="E37" s="26">
        <v>8</v>
      </c>
      <c r="F37" s="51">
        <f t="shared" si="36"/>
        <v>44037.75</v>
      </c>
      <c r="G37" s="52">
        <f t="shared" ca="1" si="37"/>
        <v>44037.75</v>
      </c>
      <c r="H37" s="52">
        <f t="shared" si="38"/>
        <v>44129</v>
      </c>
      <c r="I37" s="53">
        <f t="shared" si="28"/>
        <v>91</v>
      </c>
      <c r="J37" s="54">
        <f ca="1">IF(I37="","",IF($D$57="YES",J65,I37/RIGHT(DayCountBasis2,3)))</f>
        <v>0.25277777777777799</v>
      </c>
      <c r="K37" s="25">
        <f t="shared" si="39"/>
        <v>44129</v>
      </c>
      <c r="L37" s="26">
        <v>8</v>
      </c>
      <c r="M37" s="55">
        <f t="shared" ca="1" si="29"/>
        <v>1060475.6973487686</v>
      </c>
      <c r="N37" s="52">
        <f t="shared" si="30"/>
        <v>44037.75</v>
      </c>
      <c r="O37" s="56">
        <f t="shared" ca="1" si="31"/>
        <v>1.2092604376868008</v>
      </c>
      <c r="P37" s="57">
        <f t="shared" ca="1" si="32"/>
        <v>-9143.1020635832101</v>
      </c>
      <c r="Q37" s="58">
        <f t="shared" ca="1" si="33"/>
        <v>0</v>
      </c>
      <c r="R37" s="58">
        <f t="shared" ca="1" si="34"/>
        <v>3.1642638428496399E-2</v>
      </c>
      <c r="S37" s="57">
        <f t="shared" ca="1" si="35"/>
        <v>-660.82799730338593</v>
      </c>
      <c r="T37" s="59">
        <f t="shared" ca="1" si="24"/>
        <v>0.94710989736238504</v>
      </c>
      <c r="U37" s="57">
        <f t="shared" ca="1" si="25"/>
        <v>-625.87673670020035</v>
      </c>
      <c r="V37" s="54">
        <f t="shared" ca="1" si="26"/>
        <v>1</v>
      </c>
      <c r="W37" s="60">
        <f t="shared" ca="1" si="27"/>
        <v>-625.87673670020035</v>
      </c>
      <c r="Y37" s="51">
        <f t="shared" si="15"/>
        <v>46227.75</v>
      </c>
      <c r="Z37" s="61">
        <v>1.6097363534904399E-2</v>
      </c>
      <c r="AA37" s="39"/>
      <c r="AB37" s="51">
        <f t="shared" si="16"/>
        <v>46227.75</v>
      </c>
      <c r="AC37" s="61">
        <v>3.2222355814368303E-2</v>
      </c>
      <c r="AD37" s="39"/>
      <c r="AE37" s="51">
        <f t="shared" si="17"/>
        <v>46227.75</v>
      </c>
      <c r="AF37" s="62">
        <f t="shared" si="18"/>
        <v>0.71559789808794061</v>
      </c>
      <c r="AG37" s="63"/>
      <c r="AH37" s="51">
        <f t="shared" si="19"/>
        <v>46227.75</v>
      </c>
      <c r="AI37" s="64">
        <v>0.95777805025393903</v>
      </c>
      <c r="AJ37" s="39"/>
      <c r="AK37" s="51">
        <f t="shared" si="20"/>
        <v>46227.75</v>
      </c>
      <c r="AL37" s="64">
        <v>0.78227341858312704</v>
      </c>
      <c r="AM37" s="40"/>
      <c r="AN37" s="51">
        <f t="shared" si="21"/>
        <v>46227.75</v>
      </c>
      <c r="AO37" s="64">
        <v>0.98745157389379601</v>
      </c>
      <c r="AP37" s="39"/>
      <c r="AQ37" s="51">
        <f t="shared" si="22"/>
        <v>46227.75</v>
      </c>
      <c r="AR37" s="64">
        <v>0.80575681412713596</v>
      </c>
    </row>
    <row r="38" spans="2:46" x14ac:dyDescent="0.25">
      <c r="B38" s="128" t="s">
        <v>75</v>
      </c>
      <c r="C38" s="129">
        <v>-1.725E-3</v>
      </c>
      <c r="D38" s="130">
        <v>-17.25</v>
      </c>
      <c r="E38" s="26">
        <v>9</v>
      </c>
      <c r="F38" s="51">
        <f t="shared" si="36"/>
        <v>44129</v>
      </c>
      <c r="G38" s="52">
        <f t="shared" ca="1" si="37"/>
        <v>44129</v>
      </c>
      <c r="H38" s="52">
        <f t="shared" si="38"/>
        <v>44220.25</v>
      </c>
      <c r="I38" s="53">
        <f t="shared" si="28"/>
        <v>91</v>
      </c>
      <c r="J38" s="54">
        <f ca="1">IF(I38="","",IF($D$57="YES",J66,I38/RIGHT(DayCountBasis2,3)))</f>
        <v>0.25555555555555598</v>
      </c>
      <c r="K38" s="25">
        <f t="shared" si="39"/>
        <v>44220.25</v>
      </c>
      <c r="L38" s="26">
        <v>9</v>
      </c>
      <c r="M38" s="55">
        <f t="shared" ca="1" si="29"/>
        <v>1069618.7994123518</v>
      </c>
      <c r="N38" s="52">
        <f t="shared" si="30"/>
        <v>44129</v>
      </c>
      <c r="O38" s="56">
        <f t="shared" ca="1" si="31"/>
        <v>1.2196863169699048</v>
      </c>
      <c r="P38" s="57">
        <f t="shared" ca="1" si="32"/>
        <v>-8722.6107768011279</v>
      </c>
      <c r="Q38" s="58">
        <f t="shared" ca="1" si="33"/>
        <v>0</v>
      </c>
      <c r="R38" s="58">
        <f t="shared" ca="1" si="34"/>
        <v>3.1523129709496799E-2</v>
      </c>
      <c r="S38" s="57">
        <f t="shared" ca="1" si="35"/>
        <v>-105.85700421654292</v>
      </c>
      <c r="T38" s="59">
        <f t="shared" ca="1" si="24"/>
        <v>0.94029769614048297</v>
      </c>
      <c r="U38" s="57">
        <f t="shared" ca="1" si="25"/>
        <v>-99.537097185148696</v>
      </c>
      <c r="V38" s="54">
        <f t="shared" ca="1" si="26"/>
        <v>1</v>
      </c>
      <c r="W38" s="60">
        <f t="shared" ca="1" si="27"/>
        <v>-99.537097185148696</v>
      </c>
      <c r="Y38" s="51">
        <f t="shared" si="15"/>
        <v>46319</v>
      </c>
      <c r="Z38" s="61">
        <v>1.6443228843503601E-2</v>
      </c>
      <c r="AA38" s="39"/>
      <c r="AB38" s="51">
        <f t="shared" si="16"/>
        <v>46319</v>
      </c>
      <c r="AC38" s="61">
        <v>3.2281003883601299E-2</v>
      </c>
      <c r="AD38" s="39"/>
      <c r="AE38" s="51">
        <f t="shared" si="17"/>
        <v>46319</v>
      </c>
      <c r="AF38" s="62">
        <f t="shared" si="18"/>
        <v>0.71229789421054723</v>
      </c>
      <c r="AG38" s="63"/>
      <c r="AH38" s="51">
        <f t="shared" si="19"/>
        <v>46319</v>
      </c>
      <c r="AI38" s="64">
        <v>0.95414200400758897</v>
      </c>
      <c r="AJ38" s="39"/>
      <c r="AK38" s="51">
        <f t="shared" si="20"/>
        <v>46319</v>
      </c>
      <c r="AL38" s="64">
        <v>0.77577043600207995</v>
      </c>
      <c r="AM38" s="40"/>
      <c r="AN38" s="51">
        <f t="shared" si="21"/>
        <v>46319</v>
      </c>
      <c r="AO38" s="64">
        <v>0.98461278527912999</v>
      </c>
      <c r="AP38" s="39"/>
      <c r="AQ38" s="51">
        <f t="shared" si="22"/>
        <v>46319</v>
      </c>
      <c r="AR38" s="64">
        <v>0.79973528075057099</v>
      </c>
    </row>
    <row r="39" spans="2:46" x14ac:dyDescent="0.25">
      <c r="B39" s="128" t="s">
        <v>76</v>
      </c>
      <c r="C39" s="129">
        <v>-1.6999999999999999E-3</v>
      </c>
      <c r="D39" s="130">
        <v>-17</v>
      </c>
      <c r="E39" s="26">
        <v>10</v>
      </c>
      <c r="F39" s="51">
        <f t="shared" si="36"/>
        <v>44220.25</v>
      </c>
      <c r="G39" s="52">
        <f t="shared" ca="1" si="37"/>
        <v>44220.25</v>
      </c>
      <c r="H39" s="52">
        <f t="shared" si="38"/>
        <v>44311.5</v>
      </c>
      <c r="I39" s="53">
        <f t="shared" si="28"/>
        <v>91</v>
      </c>
      <c r="J39" s="54">
        <f ca="1">IF(I39="","",IF($D$57="YES",J67,I39/RIGHT(DayCountBasis2,3)))</f>
        <v>0.25</v>
      </c>
      <c r="K39" s="25">
        <f t="shared" si="39"/>
        <v>44311.5</v>
      </c>
      <c r="L39" s="26">
        <v>10</v>
      </c>
      <c r="M39" s="55">
        <f t="shared" ca="1" si="29"/>
        <v>1078341.4101891529</v>
      </c>
      <c r="N39" s="52">
        <f t="shared" si="30"/>
        <v>44220.25</v>
      </c>
      <c r="O39" s="56">
        <f t="shared" ca="1" si="31"/>
        <v>1.229632710038691</v>
      </c>
      <c r="P39" s="57">
        <f t="shared" ca="1" si="32"/>
        <v>-8509.6159571579192</v>
      </c>
      <c r="Q39" s="58">
        <f t="shared" ca="1" si="33"/>
        <v>0</v>
      </c>
      <c r="R39" s="58">
        <f t="shared" ca="1" si="34"/>
        <v>3.1477658109462299E-2</v>
      </c>
      <c r="S39" s="57">
        <f t="shared" ca="1" si="35"/>
        <v>-23.700398355518701</v>
      </c>
      <c r="T39" s="59">
        <f t="shared" ca="1" si="24"/>
        <v>0.93364616322649296</v>
      </c>
      <c r="U39" s="57">
        <f t="shared" ca="1" si="25"/>
        <v>-22.127785991569517</v>
      </c>
      <c r="V39" s="54">
        <f t="shared" ca="1" si="26"/>
        <v>1</v>
      </c>
      <c r="W39" s="60">
        <f t="shared" ca="1" si="27"/>
        <v>-22.127785991569517</v>
      </c>
      <c r="Y39" s="51">
        <f t="shared" si="15"/>
        <v>46410.25</v>
      </c>
      <c r="Z39" s="61">
        <v>1.67883099784947E-2</v>
      </c>
      <c r="AA39" s="39"/>
      <c r="AB39" s="51">
        <f t="shared" si="16"/>
        <v>46410.25</v>
      </c>
      <c r="AC39" s="61">
        <v>3.2369176930621003E-2</v>
      </c>
      <c r="AD39" s="39"/>
      <c r="AE39" s="51">
        <f t="shared" si="17"/>
        <v>46410.25</v>
      </c>
      <c r="AF39" s="62">
        <f t="shared" si="18"/>
        <v>0.70918088525671008</v>
      </c>
      <c r="AG39" s="63"/>
      <c r="AH39" s="51">
        <f t="shared" si="19"/>
        <v>46410.25</v>
      </c>
      <c r="AI39" s="64">
        <v>0.95042381677031296</v>
      </c>
      <c r="AJ39" s="39"/>
      <c r="AK39" s="51">
        <f t="shared" si="20"/>
        <v>46410.25</v>
      </c>
      <c r="AL39" s="64">
        <v>0.76931787040421495</v>
      </c>
      <c r="AM39" s="40"/>
      <c r="AN39" s="51">
        <f t="shared" si="21"/>
        <v>46410.25</v>
      </c>
      <c r="AO39" s="64">
        <v>0.98176164981199798</v>
      </c>
      <c r="AP39" s="39"/>
      <c r="AQ39" s="51">
        <f t="shared" si="22"/>
        <v>46410.25</v>
      </c>
      <c r="AR39" s="64">
        <v>0.79392999333300496</v>
      </c>
    </row>
    <row r="40" spans="2:46" x14ac:dyDescent="0.25">
      <c r="B40" s="128" t="s">
        <v>77</v>
      </c>
      <c r="C40" s="129">
        <v>-1.6999999999999999E-3</v>
      </c>
      <c r="D40" s="130">
        <v>-17</v>
      </c>
      <c r="E40" s="26">
        <v>11</v>
      </c>
      <c r="F40" s="51">
        <f t="shared" si="36"/>
        <v>44311.5</v>
      </c>
      <c r="G40" s="52">
        <f t="shared" ca="1" si="37"/>
        <v>44311.5</v>
      </c>
      <c r="H40" s="52">
        <f t="shared" si="38"/>
        <v>44402.75</v>
      </c>
      <c r="I40" s="53">
        <f t="shared" si="28"/>
        <v>91</v>
      </c>
      <c r="J40" s="54">
        <f ca="1">IF(I40="","",IF($D$57="YES",J68,I40/RIGHT(DayCountBasis2,3)))</f>
        <v>0.25277777777777799</v>
      </c>
      <c r="K40" s="25">
        <f t="shared" si="39"/>
        <v>44402.75</v>
      </c>
      <c r="L40" s="26">
        <v>11</v>
      </c>
      <c r="M40" s="55">
        <f t="shared" ca="1" si="29"/>
        <v>1086851.0261463108</v>
      </c>
      <c r="N40" s="52">
        <f t="shared" si="30"/>
        <v>44311.5</v>
      </c>
      <c r="O40" s="56">
        <f t="shared" ca="1" si="31"/>
        <v>1.2393362251146385</v>
      </c>
      <c r="P40" s="57">
        <f t="shared" ca="1" si="32"/>
        <v>-8218.9234928719234</v>
      </c>
      <c r="Q40" s="58">
        <f t="shared" ca="1" si="33"/>
        <v>0</v>
      </c>
      <c r="R40" s="58">
        <f t="shared" ca="1" si="34"/>
        <v>3.1275872470739298E-2</v>
      </c>
      <c r="S40" s="57">
        <f t="shared" ca="1" si="35"/>
        <v>373.55284615146957</v>
      </c>
      <c r="T40" s="59">
        <f t="shared" ca="1" si="24"/>
        <v>0.92715084484492705</v>
      </c>
      <c r="U40" s="57">
        <f t="shared" ca="1" si="25"/>
        <v>346.33983690356206</v>
      </c>
      <c r="V40" s="54">
        <f t="shared" ca="1" si="26"/>
        <v>1</v>
      </c>
      <c r="W40" s="60">
        <f t="shared" ca="1" si="27"/>
        <v>346.33983690356206</v>
      </c>
      <c r="Y40" s="51">
        <f t="shared" si="15"/>
        <v>46501.5</v>
      </c>
      <c r="Z40" s="61">
        <v>1.7152951344241201E-2</v>
      </c>
      <c r="AA40" s="39"/>
      <c r="AB40" s="51">
        <f t="shared" si="16"/>
        <v>46501.5</v>
      </c>
      <c r="AC40" s="61">
        <v>3.2496815569038301E-2</v>
      </c>
      <c r="AD40" s="39"/>
      <c r="AE40" s="51">
        <f t="shared" si="17"/>
        <v>46501.5</v>
      </c>
      <c r="AF40" s="62">
        <f t="shared" si="18"/>
        <v>0.70613529659869567</v>
      </c>
      <c r="AG40" s="63"/>
      <c r="AH40" s="51">
        <f t="shared" si="19"/>
        <v>46501.5</v>
      </c>
      <c r="AI40" s="64">
        <v>0.946716981657448</v>
      </c>
      <c r="AJ40" s="39"/>
      <c r="AK40" s="51">
        <f t="shared" si="20"/>
        <v>46501.5</v>
      </c>
      <c r="AL40" s="64">
        <v>0.76305834210914003</v>
      </c>
      <c r="AM40" s="40"/>
      <c r="AN40" s="51">
        <f t="shared" si="21"/>
        <v>46501.5</v>
      </c>
      <c r="AO40" s="64">
        <v>0.97881598925157198</v>
      </c>
      <c r="AP40" s="39"/>
      <c r="AQ40" s="51">
        <f t="shared" si="22"/>
        <v>46501.5</v>
      </c>
      <c r="AR40" s="64">
        <v>0.78814858448536895</v>
      </c>
    </row>
    <row r="41" spans="2:46" x14ac:dyDescent="0.25">
      <c r="B41" s="128" t="s">
        <v>30</v>
      </c>
      <c r="C41" s="129">
        <v>-1.7125E-3</v>
      </c>
      <c r="D41" s="130">
        <v>-17.125</v>
      </c>
      <c r="E41" s="26">
        <v>12</v>
      </c>
      <c r="F41" s="51">
        <f t="shared" si="36"/>
        <v>44402.75</v>
      </c>
      <c r="G41" s="52">
        <f t="shared" ca="1" si="37"/>
        <v>44402.75</v>
      </c>
      <c r="H41" s="52">
        <f t="shared" si="38"/>
        <v>44494</v>
      </c>
      <c r="I41" s="53">
        <f t="shared" si="28"/>
        <v>91</v>
      </c>
      <c r="J41" s="54">
        <f ca="1">IF(I41="","",IF($D$57="YES",J69,I41/RIGHT(DayCountBasis2,3)))</f>
        <v>0.25555555555555598</v>
      </c>
      <c r="K41" s="25">
        <f t="shared" si="39"/>
        <v>44494</v>
      </c>
      <c r="L41" s="26">
        <v>12</v>
      </c>
      <c r="M41" s="55">
        <f t="shared" ca="1" si="29"/>
        <v>1095069.9496391828</v>
      </c>
      <c r="N41" s="52">
        <f t="shared" si="30"/>
        <v>44402.75</v>
      </c>
      <c r="O41" s="56">
        <f t="shared" ca="1" si="31"/>
        <v>1.2487082635735602</v>
      </c>
      <c r="P41" s="57">
        <f t="shared" ca="1" si="32"/>
        <v>-7901.7872388081159</v>
      </c>
      <c r="Q41" s="58">
        <f t="shared" ca="1" si="33"/>
        <v>0</v>
      </c>
      <c r="R41" s="58">
        <f t="shared" ca="1" si="34"/>
        <v>3.0977376039435699E-2</v>
      </c>
      <c r="S41" s="57">
        <f t="shared" ca="1" si="35"/>
        <v>767.26890838694453</v>
      </c>
      <c r="T41" s="59">
        <f t="shared" ca="1" si="24"/>
        <v>0.92076473196219499</v>
      </c>
      <c r="U41" s="57">
        <f t="shared" ca="1" si="25"/>
        <v>706.47415077383096</v>
      </c>
      <c r="V41" s="54">
        <f t="shared" ca="1" si="26"/>
        <v>1</v>
      </c>
      <c r="W41" s="60">
        <f t="shared" ca="1" si="27"/>
        <v>706.47415077383096</v>
      </c>
      <c r="Y41" s="51">
        <f t="shared" si="15"/>
        <v>46592.75</v>
      </c>
      <c r="Z41" s="61">
        <v>1.7537494583614401E-2</v>
      </c>
      <c r="AA41" s="39"/>
      <c r="AB41" s="51">
        <f t="shared" si="16"/>
        <v>46592.75</v>
      </c>
      <c r="AC41" s="61">
        <v>3.26645774165037E-2</v>
      </c>
      <c r="AD41" s="39"/>
      <c r="AE41" s="51">
        <f t="shared" si="17"/>
        <v>46592.75</v>
      </c>
      <c r="AF41" s="62">
        <f t="shared" si="18"/>
        <v>0.70315582984428004</v>
      </c>
      <c r="AG41" s="63"/>
      <c r="AH41" s="51">
        <f t="shared" si="19"/>
        <v>46592.75</v>
      </c>
      <c r="AI41" s="64">
        <v>0.94290938070270403</v>
      </c>
      <c r="AJ41" s="39"/>
      <c r="AK41" s="51">
        <f t="shared" si="20"/>
        <v>46592.75</v>
      </c>
      <c r="AL41" s="64">
        <v>0.75678471272208103</v>
      </c>
      <c r="AM41" s="40"/>
      <c r="AN41" s="51">
        <f t="shared" si="21"/>
        <v>46592.75</v>
      </c>
      <c r="AO41" s="64">
        <v>0.97578311994130895</v>
      </c>
      <c r="AP41" s="39"/>
      <c r="AQ41" s="51">
        <f t="shared" si="22"/>
        <v>46592.75</v>
      </c>
      <c r="AR41" s="64">
        <v>0.782391290250259</v>
      </c>
    </row>
    <row r="42" spans="2:46" x14ac:dyDescent="0.25">
      <c r="B42" s="128" t="s">
        <v>78</v>
      </c>
      <c r="C42" s="129">
        <v>-1.7374999999999999E-3</v>
      </c>
      <c r="D42" s="130">
        <v>-17.375</v>
      </c>
      <c r="E42" s="26">
        <v>13</v>
      </c>
      <c r="F42" s="51">
        <f t="shared" si="36"/>
        <v>44494</v>
      </c>
      <c r="G42" s="52">
        <f t="shared" ca="1" si="37"/>
        <v>44494</v>
      </c>
      <c r="H42" s="52">
        <f t="shared" si="38"/>
        <v>44585.25</v>
      </c>
      <c r="I42" s="53">
        <f t="shared" si="28"/>
        <v>91</v>
      </c>
      <c r="J42" s="54">
        <f ca="1">IF(I42="","",IF($D$57="YES",J70,I42/RIGHT(DayCountBasis2,3)))</f>
        <v>0.25555555555555598</v>
      </c>
      <c r="K42" s="25">
        <f t="shared" si="39"/>
        <v>44585.25</v>
      </c>
      <c r="L42" s="26">
        <v>13</v>
      </c>
      <c r="M42" s="55">
        <f t="shared" ca="1" si="29"/>
        <v>1102971.7368779909</v>
      </c>
      <c r="N42" s="52">
        <f t="shared" si="30"/>
        <v>44494</v>
      </c>
      <c r="O42" s="56">
        <f t="shared" ca="1" si="31"/>
        <v>1.2577186715619733</v>
      </c>
      <c r="P42" s="57">
        <f t="shared" ca="1" si="32"/>
        <v>-7595.9640467164572</v>
      </c>
      <c r="Q42" s="58">
        <f t="shared" ca="1" si="33"/>
        <v>0</v>
      </c>
      <c r="R42" s="58">
        <f t="shared" ca="1" si="34"/>
        <v>3.06229154863778E-2</v>
      </c>
      <c r="S42" s="57">
        <f t="shared" ca="1" si="35"/>
        <v>1035.73413653239</v>
      </c>
      <c r="T42" s="59">
        <f t="shared" ca="1" si="24"/>
        <v>0.91442944075440902</v>
      </c>
      <c r="U42" s="57">
        <f t="shared" ca="1" si="25"/>
        <v>947.10578723956417</v>
      </c>
      <c r="V42" s="54">
        <f t="shared" ca="1" si="26"/>
        <v>1</v>
      </c>
      <c r="W42" s="60">
        <f t="shared" ca="1" si="27"/>
        <v>947.10578723956417</v>
      </c>
      <c r="Y42" s="51">
        <f t="shared" si="15"/>
        <v>46684</v>
      </c>
      <c r="Z42" s="61">
        <v>1.7906046866227598E-2</v>
      </c>
      <c r="AA42" s="39"/>
      <c r="AB42" s="51">
        <f t="shared" si="16"/>
        <v>46684</v>
      </c>
      <c r="AC42" s="61">
        <v>3.2828833820653901E-2</v>
      </c>
      <c r="AD42" s="39"/>
      <c r="AE42" s="51">
        <f t="shared" si="17"/>
        <v>46684</v>
      </c>
      <c r="AF42" s="62">
        <f t="shared" si="18"/>
        <v>0.7002373208341357</v>
      </c>
      <c r="AG42" s="63"/>
      <c r="AH42" s="51">
        <f t="shared" si="19"/>
        <v>46684</v>
      </c>
      <c r="AI42" s="64">
        <v>0.93900955207814996</v>
      </c>
      <c r="AJ42" s="39"/>
      <c r="AK42" s="51">
        <f t="shared" si="20"/>
        <v>46684</v>
      </c>
      <c r="AL42" s="64">
        <v>0.75050158732223005</v>
      </c>
      <c r="AM42" s="40"/>
      <c r="AN42" s="51">
        <f t="shared" si="21"/>
        <v>46684</v>
      </c>
      <c r="AO42" s="64">
        <v>0.97267030280831601</v>
      </c>
      <c r="AP42" s="39"/>
      <c r="AQ42" s="51">
        <f t="shared" si="22"/>
        <v>46684</v>
      </c>
      <c r="AR42" s="64">
        <v>0.77665838347256999</v>
      </c>
    </row>
    <row r="43" spans="2:46" x14ac:dyDescent="0.25">
      <c r="B43" s="128" t="s">
        <v>79</v>
      </c>
      <c r="C43" s="129">
        <v>-1.75E-3</v>
      </c>
      <c r="D43" s="130">
        <v>-17.5</v>
      </c>
      <c r="E43" s="26">
        <v>14</v>
      </c>
      <c r="F43" s="51">
        <f t="shared" si="36"/>
        <v>44585.25</v>
      </c>
      <c r="G43" s="52">
        <f t="shared" ca="1" si="37"/>
        <v>44585.25</v>
      </c>
      <c r="H43" s="52">
        <f t="shared" si="38"/>
        <v>44676.5</v>
      </c>
      <c r="I43" s="53">
        <f t="shared" si="28"/>
        <v>91</v>
      </c>
      <c r="J43" s="54">
        <f ca="1">IF(I43="","",IF($D$57="YES",J71,I43/RIGHT(DayCountBasis2,3)))</f>
        <v>0.25</v>
      </c>
      <c r="K43" s="25">
        <f t="shared" si="39"/>
        <v>44676.5</v>
      </c>
      <c r="L43" s="26">
        <v>14</v>
      </c>
      <c r="M43" s="55">
        <f t="shared" ca="1" si="29"/>
        <v>1110567.7009247073</v>
      </c>
      <c r="N43" s="52">
        <f t="shared" si="30"/>
        <v>44585.25</v>
      </c>
      <c r="O43" s="56">
        <f t="shared" ca="1" si="31"/>
        <v>1.2663803493644439</v>
      </c>
      <c r="P43" s="57">
        <f t="shared" ca="1" si="32"/>
        <v>-7339.1329711531289</v>
      </c>
      <c r="Q43" s="58">
        <f t="shared" ca="1" si="33"/>
        <v>0</v>
      </c>
      <c r="R43" s="58">
        <f t="shared" ca="1" si="34"/>
        <v>3.03730026243039E-2</v>
      </c>
      <c r="S43" s="57">
        <f t="shared" ca="1" si="35"/>
        <v>1093.6859525101918</v>
      </c>
      <c r="T43" s="59">
        <f t="shared" ca="1" si="24"/>
        <v>0.90813483960555397</v>
      </c>
      <c r="U43" s="57">
        <f t="shared" ca="1" si="25"/>
        <v>993.21431706169051</v>
      </c>
      <c r="V43" s="54">
        <f t="shared" ca="1" si="26"/>
        <v>1</v>
      </c>
      <c r="W43" s="60">
        <f t="shared" ca="1" si="27"/>
        <v>993.21431706169051</v>
      </c>
      <c r="Y43" s="51">
        <f t="shared" si="15"/>
        <v>46775.25</v>
      </c>
      <c r="Z43" s="61">
        <v>1.8179100619820698E-2</v>
      </c>
      <c r="AA43" s="39"/>
      <c r="AB43" s="51">
        <f t="shared" si="16"/>
        <v>46775.25</v>
      </c>
      <c r="AC43" s="61">
        <v>3.29150997806055E-2</v>
      </c>
      <c r="AD43" s="39"/>
      <c r="AE43" s="51">
        <f t="shared" si="17"/>
        <v>46775.25</v>
      </c>
      <c r="AF43" s="62">
        <f t="shared" si="18"/>
        <v>0.69737726297605351</v>
      </c>
      <c r="AG43" s="63"/>
      <c r="AH43" s="51">
        <f t="shared" si="19"/>
        <v>46775.25</v>
      </c>
      <c r="AI43" s="64">
        <v>0.93498399618896999</v>
      </c>
      <c r="AJ43" s="39"/>
      <c r="AK43" s="51">
        <f t="shared" si="20"/>
        <v>46775.25</v>
      </c>
      <c r="AL43" s="64">
        <v>0.74414935063137699</v>
      </c>
      <c r="AM43" s="40"/>
      <c r="AN43" s="51">
        <f t="shared" si="21"/>
        <v>46775.25</v>
      </c>
      <c r="AO43" s="64">
        <v>0.96948638367789997</v>
      </c>
      <c r="AP43" s="39"/>
      <c r="AQ43" s="51">
        <f t="shared" si="22"/>
        <v>46775.25</v>
      </c>
      <c r="AR43" s="64">
        <v>0.77095427657392701</v>
      </c>
    </row>
    <row r="44" spans="2:46" x14ac:dyDescent="0.25">
      <c r="B44" s="128" t="s">
        <v>80</v>
      </c>
      <c r="C44" s="129">
        <v>-1.75E-3</v>
      </c>
      <c r="D44" s="130">
        <v>-17.5</v>
      </c>
      <c r="E44" s="26">
        <v>15</v>
      </c>
      <c r="F44" s="51">
        <f t="shared" si="36"/>
        <v>44676.5</v>
      </c>
      <c r="G44" s="52">
        <f t="shared" ca="1" si="37"/>
        <v>44676.5</v>
      </c>
      <c r="H44" s="52">
        <f t="shared" si="38"/>
        <v>44767.75</v>
      </c>
      <c r="I44" s="53">
        <f t="shared" si="28"/>
        <v>91</v>
      </c>
      <c r="J44" s="54">
        <f ca="1">IF(I44="","",IF($D$57="YES",J72,I44/RIGHT(DayCountBasis2,3)))</f>
        <v>0.25277777777777799</v>
      </c>
      <c r="K44" s="25">
        <f t="shared" si="39"/>
        <v>44767.75</v>
      </c>
      <c r="L44" s="26">
        <v>15</v>
      </c>
      <c r="M44" s="55">
        <f t="shared" ca="1" si="29"/>
        <v>1117906.8338958605</v>
      </c>
      <c r="N44" s="52">
        <f t="shared" si="30"/>
        <v>44676.5</v>
      </c>
      <c r="O44" s="56">
        <f t="shared" ca="1" si="31"/>
        <v>1.2747491626914498</v>
      </c>
      <c r="P44" s="57">
        <f t="shared" ca="1" si="32"/>
        <v>-7138.8156632278115</v>
      </c>
      <c r="Q44" s="58">
        <f t="shared" ca="1" si="33"/>
        <v>0</v>
      </c>
      <c r="R44" s="58">
        <f t="shared" ca="1" si="34"/>
        <v>3.02689825537556E-2</v>
      </c>
      <c r="S44" s="57">
        <f t="shared" ca="1" si="35"/>
        <v>1414.6541232292348</v>
      </c>
      <c r="T44" s="59">
        <f t="shared" ca="1" si="24"/>
        <v>0.90188604600669497</v>
      </c>
      <c r="U44" s="57">
        <f t="shared" ca="1" si="25"/>
        <v>1275.8568136662823</v>
      </c>
      <c r="V44" s="54">
        <f t="shared" ca="1" si="26"/>
        <v>1</v>
      </c>
      <c r="W44" s="60">
        <f t="shared" ca="1" si="27"/>
        <v>1275.8568136662823</v>
      </c>
      <c r="Y44" s="51">
        <f t="shared" si="15"/>
        <v>46866.5</v>
      </c>
      <c r="Z44" s="61">
        <v>1.84024714914705E-2</v>
      </c>
      <c r="AA44" s="39"/>
      <c r="AB44" s="51">
        <f t="shared" si="16"/>
        <v>46866.5</v>
      </c>
      <c r="AC44" s="61">
        <v>3.3020802540360203E-2</v>
      </c>
      <c r="AD44" s="39"/>
      <c r="AE44" s="51">
        <f t="shared" si="17"/>
        <v>46866.5</v>
      </c>
      <c r="AF44" s="62">
        <f t="shared" si="18"/>
        <v>0.69457670028147944</v>
      </c>
      <c r="AG44" s="63"/>
      <c r="AH44" s="51">
        <f t="shared" si="19"/>
        <v>46866.5</v>
      </c>
      <c r="AI44" s="64">
        <v>0.93117692426791399</v>
      </c>
      <c r="AJ44" s="39"/>
      <c r="AK44" s="51">
        <f t="shared" si="20"/>
        <v>46866.5</v>
      </c>
      <c r="AL44" s="64">
        <v>0.73825908758599401</v>
      </c>
      <c r="AM44" s="40"/>
      <c r="AN44" s="51">
        <f t="shared" si="21"/>
        <v>46866.5</v>
      </c>
      <c r="AO44" s="64">
        <v>0.96623944202819001</v>
      </c>
      <c r="AP44" s="39"/>
      <c r="AQ44" s="51">
        <f t="shared" si="22"/>
        <v>46866.5</v>
      </c>
      <c r="AR44" s="64">
        <v>0.765286578012362</v>
      </c>
    </row>
    <row r="45" spans="2:46" x14ac:dyDescent="0.25">
      <c r="B45" s="128" t="s">
        <v>81</v>
      </c>
      <c r="C45" s="129">
        <v>-1.725E-3</v>
      </c>
      <c r="D45" s="130">
        <v>-17.25</v>
      </c>
      <c r="E45" s="26">
        <v>16</v>
      </c>
      <c r="F45" s="51">
        <f t="shared" si="36"/>
        <v>44767.75</v>
      </c>
      <c r="G45" s="52">
        <f t="shared" ca="1" si="37"/>
        <v>44767.75</v>
      </c>
      <c r="H45" s="52">
        <f t="shared" si="38"/>
        <v>44859</v>
      </c>
      <c r="I45" s="53">
        <f t="shared" si="28"/>
        <v>91</v>
      </c>
      <c r="J45" s="54">
        <f ca="1">IF(I45="","",IF($D$57="YES",J73,I45/RIGHT(DayCountBasis2,3)))</f>
        <v>0.25555555555555598</v>
      </c>
      <c r="K45" s="25">
        <f t="shared" si="39"/>
        <v>44859</v>
      </c>
      <c r="L45" s="26">
        <v>16</v>
      </c>
      <c r="M45" s="55">
        <f t="shared" ca="1" si="29"/>
        <v>1125045.6495590883</v>
      </c>
      <c r="N45" s="52">
        <f t="shared" si="30"/>
        <v>44767.75</v>
      </c>
      <c r="O45" s="56">
        <f t="shared" ca="1" si="31"/>
        <v>1.2828895541922285</v>
      </c>
      <c r="P45" s="57">
        <f t="shared" ca="1" si="32"/>
        <v>-6995.2230138902087</v>
      </c>
      <c r="Q45" s="58">
        <f t="shared" ca="1" si="33"/>
        <v>0</v>
      </c>
      <c r="R45" s="58">
        <f t="shared" ca="1" si="34"/>
        <v>3.0313224452308399E-2</v>
      </c>
      <c r="S45" s="57">
        <f t="shared" ca="1" si="35"/>
        <v>1720.1826501774503</v>
      </c>
      <c r="T45" s="59">
        <f t="shared" ca="1" si="24"/>
        <v>0.89568921741088803</v>
      </c>
      <c r="U45" s="57">
        <f t="shared" ca="1" si="25"/>
        <v>1540.749051741228</v>
      </c>
      <c r="V45" s="54">
        <f t="shared" ca="1" si="26"/>
        <v>1</v>
      </c>
      <c r="W45" s="60">
        <f t="shared" ca="1" si="27"/>
        <v>1540.749051741228</v>
      </c>
      <c r="Y45" s="51">
        <f t="shared" si="15"/>
        <v>46957.75</v>
      </c>
      <c r="Z45" s="61">
        <v>1.8539372494378301E-2</v>
      </c>
      <c r="AA45" s="39"/>
      <c r="AB45" s="51">
        <f t="shared" si="16"/>
        <v>46957.75</v>
      </c>
      <c r="AC45" s="61">
        <v>3.3079713249164901E-2</v>
      </c>
      <c r="AD45" s="39"/>
      <c r="AE45" s="51">
        <f t="shared" si="17"/>
        <v>46957.75</v>
      </c>
      <c r="AF45" s="62">
        <f t="shared" si="18"/>
        <v>0.69182799712871978</v>
      </c>
      <c r="AG45" s="63"/>
      <c r="AH45" s="51">
        <f t="shared" si="19"/>
        <v>46957.75</v>
      </c>
      <c r="AI45" s="64">
        <v>0.92705365962380604</v>
      </c>
      <c r="AJ45" s="39"/>
      <c r="AK45" s="51">
        <f t="shared" si="20"/>
        <v>46957.75</v>
      </c>
      <c r="AL45" s="64">
        <v>0.73200197948458401</v>
      </c>
      <c r="AM45" s="40"/>
      <c r="AN45" s="51">
        <f t="shared" si="21"/>
        <v>46957.75</v>
      </c>
      <c r="AO45" s="64">
        <v>0.96292606084784005</v>
      </c>
      <c r="AP45" s="39"/>
      <c r="AQ45" s="51">
        <f t="shared" si="22"/>
        <v>46957.75</v>
      </c>
      <c r="AR45" s="64">
        <v>0.75964415095014404</v>
      </c>
    </row>
    <row r="46" spans="2:46" x14ac:dyDescent="0.25">
      <c r="B46" s="128" t="s">
        <v>82</v>
      </c>
      <c r="C46" s="129">
        <v>-1.6750000000000001E-3</v>
      </c>
      <c r="D46" s="130">
        <v>-16.75</v>
      </c>
      <c r="E46" s="26">
        <v>17</v>
      </c>
      <c r="F46" s="51">
        <f t="shared" si="36"/>
        <v>44859</v>
      </c>
      <c r="G46" s="52">
        <f t="shared" ca="1" si="37"/>
        <v>44859</v>
      </c>
      <c r="H46" s="52">
        <f t="shared" si="38"/>
        <v>44950.25</v>
      </c>
      <c r="I46" s="53">
        <f t="shared" si="28"/>
        <v>91</v>
      </c>
      <c r="J46" s="54">
        <f ca="1">IF(I46="","",IF($D$57="YES",J74,I46/RIGHT(DayCountBasis2,3)))</f>
        <v>0.25555555555555598</v>
      </c>
      <c r="K46" s="25">
        <f t="shared" si="39"/>
        <v>44950.25</v>
      </c>
      <c r="L46" s="26">
        <v>17</v>
      </c>
      <c r="M46" s="55">
        <f t="shared" ca="1" si="29"/>
        <v>1132040.8725729785</v>
      </c>
      <c r="N46" s="52">
        <f t="shared" si="30"/>
        <v>44859</v>
      </c>
      <c r="O46" s="56">
        <f t="shared" ca="1" si="31"/>
        <v>1.2908662069949675</v>
      </c>
      <c r="P46" s="57">
        <f t="shared" ca="1" si="32"/>
        <v>-6973.1745390328579</v>
      </c>
      <c r="Q46" s="58">
        <f t="shared" ca="1" si="33"/>
        <v>0</v>
      </c>
      <c r="R46" s="58">
        <f t="shared" ca="1" si="34"/>
        <v>3.0473141277419201E-2</v>
      </c>
      <c r="S46" s="57">
        <f t="shared" ca="1" si="35"/>
        <v>1842.6849405201956</v>
      </c>
      <c r="T46" s="59">
        <f t="shared" ca="1" si="24"/>
        <v>0.88948163670089297</v>
      </c>
      <c r="U46" s="57">
        <f t="shared" ca="1" si="25"/>
        <v>1639.0344168179911</v>
      </c>
      <c r="V46" s="54">
        <f t="shared" ca="1" si="26"/>
        <v>1</v>
      </c>
      <c r="W46" s="60">
        <f t="shared" ca="1" si="27"/>
        <v>1639.0344168179911</v>
      </c>
      <c r="Y46" s="51"/>
      <c r="Z46" s="61"/>
      <c r="AA46" s="39"/>
      <c r="AB46" s="51"/>
      <c r="AC46" s="61"/>
      <c r="AD46" s="39"/>
      <c r="AE46" s="51"/>
      <c r="AF46" s="61"/>
      <c r="AG46" s="40"/>
      <c r="AH46" s="51">
        <f t="shared" si="19"/>
        <v>47049</v>
      </c>
      <c r="AI46" s="64">
        <v>0.92299829763368202</v>
      </c>
      <c r="AJ46" s="39"/>
      <c r="AK46" s="51">
        <f t="shared" si="20"/>
        <v>47049</v>
      </c>
      <c r="AL46" s="64">
        <v>0.72596584522023699</v>
      </c>
      <c r="AM46" s="40"/>
      <c r="AN46" s="51">
        <f t="shared" si="21"/>
        <v>47049</v>
      </c>
      <c r="AO46" s="64">
        <v>0.95951169372964495</v>
      </c>
      <c r="AP46" s="39"/>
      <c r="AQ46" s="51">
        <f t="shared" si="22"/>
        <v>47049</v>
      </c>
      <c r="AR46" s="64">
        <v>0.75396581843004995</v>
      </c>
    </row>
    <row r="47" spans="2:46" x14ac:dyDescent="0.25">
      <c r="B47" s="128" t="s">
        <v>83</v>
      </c>
      <c r="C47" s="129">
        <v>-1.2750000000000001E-3</v>
      </c>
      <c r="D47" s="130">
        <v>-12.750000000000002</v>
      </c>
      <c r="E47" s="26">
        <v>18</v>
      </c>
      <c r="F47" s="51">
        <f t="shared" si="36"/>
        <v>44950.25</v>
      </c>
      <c r="G47" s="52">
        <f t="shared" ca="1" si="37"/>
        <v>44950.25</v>
      </c>
      <c r="H47" s="52">
        <f t="shared" si="38"/>
        <v>45041.5</v>
      </c>
      <c r="I47" s="53">
        <f t="shared" si="28"/>
        <v>91</v>
      </c>
      <c r="J47" s="54">
        <f ca="1">IF(I47="","",IF($D$57="YES",J75,I47/RIGHT(DayCountBasis2,3)))</f>
        <v>0.25</v>
      </c>
      <c r="K47" s="25">
        <f t="shared" si="39"/>
        <v>45041.5</v>
      </c>
      <c r="L47" s="26">
        <v>18</v>
      </c>
      <c r="M47" s="55">
        <f t="shared" ca="1" si="29"/>
        <v>1139014.0471120114</v>
      </c>
      <c r="N47" s="52">
        <f t="shared" si="30"/>
        <v>44950.25</v>
      </c>
      <c r="O47" s="56">
        <f t="shared" ca="1" si="31"/>
        <v>1.2988177179218268</v>
      </c>
      <c r="P47" s="57">
        <f t="shared" ca="1" si="32"/>
        <v>-6726.6228536143899</v>
      </c>
      <c r="Q47" s="58">
        <f t="shared" ca="1" si="33"/>
        <v>0</v>
      </c>
      <c r="R47" s="58">
        <f t="shared" ca="1" si="34"/>
        <v>3.06252773892908E-2</v>
      </c>
      <c r="S47" s="57">
        <f t="shared" ca="1" si="35"/>
        <v>1994.0324321616317</v>
      </c>
      <c r="T47" s="59">
        <f t="shared" ca="1" si="24"/>
        <v>0.88345838384438102</v>
      </c>
      <c r="U47" s="57">
        <f t="shared" ca="1" si="25"/>
        <v>1761.6446698507955</v>
      </c>
      <c r="V47" s="54">
        <f t="shared" ca="1" si="26"/>
        <v>1</v>
      </c>
      <c r="W47" s="60">
        <f t="shared" ca="1" si="27"/>
        <v>1761.6446698507955</v>
      </c>
      <c r="Y47" s="51"/>
      <c r="Z47" s="61"/>
      <c r="AA47" s="39"/>
      <c r="AB47" s="51"/>
      <c r="AC47" s="61"/>
      <c r="AD47" s="39"/>
      <c r="AE47" s="51"/>
      <c r="AF47" s="61"/>
      <c r="AG47" s="40"/>
      <c r="AH47" s="51"/>
      <c r="AI47" s="61"/>
      <c r="AJ47" s="39"/>
      <c r="AK47" s="51"/>
      <c r="AL47" s="61"/>
      <c r="AM47" s="40"/>
      <c r="AN47" s="51"/>
      <c r="AO47" s="61"/>
      <c r="AP47" s="39"/>
      <c r="AQ47" s="51"/>
      <c r="AR47" s="61"/>
    </row>
    <row r="48" spans="2:46" x14ac:dyDescent="0.25">
      <c r="B48" s="128" t="s">
        <v>84</v>
      </c>
      <c r="C48" s="129">
        <v>-6.625E-4</v>
      </c>
      <c r="D48" s="130">
        <v>-6.625</v>
      </c>
      <c r="E48" s="26">
        <v>19</v>
      </c>
      <c r="F48" s="51">
        <f t="shared" si="36"/>
        <v>45041.5</v>
      </c>
      <c r="G48" s="52">
        <f t="shared" ca="1" si="37"/>
        <v>45041.5</v>
      </c>
      <c r="H48" s="52">
        <f t="shared" si="38"/>
        <v>45132.75</v>
      </c>
      <c r="I48" s="53">
        <f t="shared" si="28"/>
        <v>91</v>
      </c>
      <c r="J48" s="54">
        <f ca="1">IF(I48="","",IF($D$57="YES",J76,I48/RIGHT(DayCountBasis2,3)))</f>
        <v>0.25277777777777799</v>
      </c>
      <c r="K48" s="25">
        <f t="shared" si="39"/>
        <v>45132.75</v>
      </c>
      <c r="L48" s="26">
        <v>19</v>
      </c>
      <c r="M48" s="55">
        <f t="shared" ca="1" si="29"/>
        <v>1145740.6699656257</v>
      </c>
      <c r="N48" s="52">
        <f t="shared" si="30"/>
        <v>45041.5</v>
      </c>
      <c r="O48" s="56">
        <f t="shared" ca="1" si="31"/>
        <v>1.3064880859618029</v>
      </c>
      <c r="P48" s="57">
        <f t="shared" ca="1" si="32"/>
        <v>-6697.713361259317</v>
      </c>
      <c r="Q48" s="58">
        <f t="shared" ca="1" si="33"/>
        <v>0</v>
      </c>
      <c r="R48" s="58">
        <f t="shared" ca="1" si="34"/>
        <v>3.0743046047523401E-2</v>
      </c>
      <c r="S48" s="57">
        <f t="shared" ca="1" si="35"/>
        <v>2206.0193997126153</v>
      </c>
      <c r="T48" s="59">
        <f t="shared" ca="1" si="24"/>
        <v>0.87740669152030404</v>
      </c>
      <c r="U48" s="57">
        <f t="shared" ca="1" si="25"/>
        <v>1935.5761829314529</v>
      </c>
      <c r="V48" s="54">
        <f t="shared" ca="1" si="26"/>
        <v>1</v>
      </c>
      <c r="W48" s="60">
        <f t="shared" ca="1" si="27"/>
        <v>1935.5761829314529</v>
      </c>
      <c r="Y48" s="51"/>
      <c r="Z48" s="61"/>
      <c r="AA48" s="39"/>
      <c r="AB48" s="51"/>
      <c r="AC48" s="61"/>
      <c r="AD48" s="39"/>
      <c r="AE48" s="51"/>
      <c r="AF48" s="61"/>
      <c r="AG48" s="40"/>
      <c r="AH48" s="51"/>
      <c r="AI48" s="61"/>
      <c r="AJ48" s="39"/>
      <c r="AK48" s="51"/>
      <c r="AL48" s="61"/>
      <c r="AM48" s="40"/>
      <c r="AN48" s="51"/>
      <c r="AO48" s="61"/>
      <c r="AP48" s="39"/>
      <c r="AQ48" s="51"/>
      <c r="AR48" s="61"/>
    </row>
    <row r="49" spans="2:44" x14ac:dyDescent="0.25">
      <c r="B49" s="131" t="s">
        <v>85</v>
      </c>
      <c r="C49" s="132">
        <v>2.1249999999999999E-4</v>
      </c>
      <c r="D49" s="133">
        <v>2.125</v>
      </c>
      <c r="E49" s="26">
        <v>20</v>
      </c>
      <c r="F49" s="95">
        <f t="shared" si="36"/>
        <v>45132.75</v>
      </c>
      <c r="G49" s="96">
        <f t="shared" ca="1" si="37"/>
        <v>45132.75</v>
      </c>
      <c r="H49" s="96">
        <f t="shared" si="38"/>
        <v>45224</v>
      </c>
      <c r="I49" s="97">
        <f t="shared" si="28"/>
        <v>91</v>
      </c>
      <c r="J49" s="98">
        <f ca="1">IF(I49="","",IF($D$57="YES",J77,I49/RIGHT(DayCountBasis2,3)))</f>
        <v>0.25555555555555598</v>
      </c>
      <c r="K49" s="99">
        <f t="shared" si="39"/>
        <v>45224</v>
      </c>
      <c r="L49" s="26">
        <v>20</v>
      </c>
      <c r="M49" s="100">
        <f t="shared" ca="1" si="29"/>
        <v>1152438.3833268851</v>
      </c>
      <c r="N49" s="96">
        <f t="shared" si="30"/>
        <v>45132.75</v>
      </c>
      <c r="O49" s="101">
        <f t="shared" ca="1" si="31"/>
        <v>1.314125488507647</v>
      </c>
      <c r="P49" s="102">
        <f t="shared" ca="1" si="32"/>
        <v>1152438.3833268851</v>
      </c>
      <c r="Q49" s="103">
        <f t="shared" ca="1" si="33"/>
        <v>0</v>
      </c>
      <c r="R49" s="103">
        <f t="shared" ca="1" si="34"/>
        <v>3.08243015936541E-2</v>
      </c>
      <c r="S49" s="102">
        <f t="shared" ca="1" si="35"/>
        <v>1161516.511002471</v>
      </c>
      <c r="T49" s="104">
        <f t="shared" ca="1" si="24"/>
        <v>0.87131411033355299</v>
      </c>
      <c r="U49" s="102">
        <f t="shared" ca="1" si="25"/>
        <v>1012045.7254218506</v>
      </c>
      <c r="V49" s="98">
        <f t="shared" ca="1" si="26"/>
        <v>1</v>
      </c>
      <c r="W49" s="105">
        <f t="shared" ca="1" si="27"/>
        <v>1012045.7254218506</v>
      </c>
      <c r="Y49" s="95"/>
      <c r="Z49" s="134"/>
      <c r="AA49" s="39"/>
      <c r="AB49" s="95"/>
      <c r="AC49" s="134"/>
      <c r="AD49" s="39"/>
      <c r="AE49" s="95"/>
      <c r="AF49" s="134"/>
      <c r="AG49" s="40"/>
      <c r="AH49" s="95"/>
      <c r="AI49" s="134"/>
      <c r="AJ49" s="39"/>
      <c r="AK49" s="95"/>
      <c r="AL49" s="134"/>
      <c r="AM49" s="40"/>
      <c r="AN49" s="95"/>
      <c r="AO49" s="134"/>
      <c r="AP49" s="39"/>
      <c r="AQ49" s="95"/>
      <c r="AR49" s="134"/>
    </row>
    <row r="50" spans="2:44" x14ac:dyDescent="0.25">
      <c r="M50" s="106"/>
    </row>
    <row r="53" spans="2:44" x14ac:dyDescent="0.25">
      <c r="B53" s="135" t="s">
        <v>86</v>
      </c>
      <c r="F53" s="4" t="s">
        <v>87</v>
      </c>
    </row>
    <row r="54" spans="2:44" x14ac:dyDescent="0.25">
      <c r="F54" t="s">
        <v>88</v>
      </c>
    </row>
    <row r="55" spans="2:44" x14ac:dyDescent="0.25">
      <c r="B55" s="258" t="s">
        <v>206</v>
      </c>
    </row>
    <row r="56" spans="2:44" x14ac:dyDescent="0.25">
      <c r="C56" s="108" t="str">
        <f>"LEG1: "&amp;$C$14</f>
        <v>LEG1: EUR</v>
      </c>
      <c r="D56" s="108" t="str">
        <f>"LEG2: "&amp;$D$14</f>
        <v>LEG2: USD</v>
      </c>
      <c r="F56" s="138" t="s">
        <v>13</v>
      </c>
      <c r="G56" s="139" t="s">
        <v>14</v>
      </c>
      <c r="H56" s="139" t="s">
        <v>15</v>
      </c>
      <c r="I56" s="140" t="s">
        <v>16</v>
      </c>
      <c r="J56" s="141" t="s">
        <v>17</v>
      </c>
      <c r="K56" s="11" t="s">
        <v>18</v>
      </c>
    </row>
    <row r="57" spans="2:44" x14ac:dyDescent="0.25">
      <c r="B57" s="259" t="s">
        <v>60</v>
      </c>
      <c r="C57" s="260" t="s">
        <v>38</v>
      </c>
      <c r="D57" s="261" t="s">
        <v>38</v>
      </c>
      <c r="E57" s="26">
        <v>0</v>
      </c>
      <c r="F57" s="144" t="s">
        <v>31</v>
      </c>
      <c r="G57" s="145" t="s">
        <v>31</v>
      </c>
      <c r="H57" s="145" t="s">
        <v>31</v>
      </c>
      <c r="I57" s="146" t="s">
        <v>31</v>
      </c>
      <c r="J57" s="147" t="s">
        <v>31</v>
      </c>
      <c r="K57" s="148">
        <v>43399</v>
      </c>
    </row>
    <row r="58" spans="2:44" x14ac:dyDescent="0.25">
      <c r="E58" s="26">
        <v>1</v>
      </c>
      <c r="F58" s="144">
        <v>43399</v>
      </c>
      <c r="G58" s="145">
        <v>43399</v>
      </c>
      <c r="H58" s="145">
        <v>43493</v>
      </c>
      <c r="I58" s="146">
        <v>94</v>
      </c>
      <c r="J58" s="152">
        <v>0.26111111111111102</v>
      </c>
      <c r="K58" s="148">
        <v>43493</v>
      </c>
    </row>
    <row r="59" spans="2:44" x14ac:dyDescent="0.25">
      <c r="B59" s="4" t="s">
        <v>89</v>
      </c>
      <c r="C59" s="108" t="s">
        <v>44</v>
      </c>
      <c r="D59" s="108" t="s">
        <v>36</v>
      </c>
      <c r="E59" s="26">
        <v>2</v>
      </c>
      <c r="F59" s="144">
        <v>43493</v>
      </c>
      <c r="G59" s="145">
        <v>43493</v>
      </c>
      <c r="H59" s="145">
        <v>43581</v>
      </c>
      <c r="I59" s="146">
        <v>88</v>
      </c>
      <c r="J59" s="152">
        <v>0.24444444444444399</v>
      </c>
      <c r="K59" s="148">
        <v>43581</v>
      </c>
    </row>
    <row r="60" spans="2:44" x14ac:dyDescent="0.25">
      <c r="B60" s="112" t="s">
        <v>65</v>
      </c>
      <c r="C60" s="136">
        <v>-4905.8613735910039</v>
      </c>
      <c r="D60" s="137">
        <v>2984.5767573136836</v>
      </c>
      <c r="E60" s="26">
        <v>3</v>
      </c>
      <c r="F60" s="144">
        <v>43581</v>
      </c>
      <c r="G60" s="145">
        <v>43581</v>
      </c>
      <c r="H60" s="145">
        <v>43672</v>
      </c>
      <c r="I60" s="146">
        <v>91</v>
      </c>
      <c r="J60" s="152">
        <v>0.25277777777777799</v>
      </c>
      <c r="K60" s="148">
        <v>43672</v>
      </c>
    </row>
    <row r="61" spans="2:44" x14ac:dyDescent="0.25">
      <c r="B61" s="118" t="s">
        <v>90</v>
      </c>
      <c r="C61" s="142">
        <v>-18.750000000000746</v>
      </c>
      <c r="D61" s="143" t="s">
        <v>31</v>
      </c>
      <c r="E61" s="26">
        <v>4</v>
      </c>
      <c r="F61" s="144">
        <v>43672</v>
      </c>
      <c r="G61" s="145">
        <v>43672</v>
      </c>
      <c r="H61" s="145">
        <v>43766</v>
      </c>
      <c r="I61" s="146">
        <v>94</v>
      </c>
      <c r="J61" s="152">
        <v>0.26111111111111102</v>
      </c>
      <c r="K61" s="148">
        <v>43766</v>
      </c>
    </row>
    <row r="62" spans="2:44" x14ac:dyDescent="0.25">
      <c r="B62" s="149" t="s">
        <v>66</v>
      </c>
      <c r="C62" s="150">
        <v>-1921.2846162773203</v>
      </c>
      <c r="D62" s="151" t="s">
        <v>36</v>
      </c>
      <c r="E62" s="26">
        <v>5</v>
      </c>
      <c r="F62" s="144">
        <v>43766</v>
      </c>
      <c r="G62" s="145">
        <v>43766</v>
      </c>
      <c r="H62" s="145">
        <v>43857</v>
      </c>
      <c r="I62" s="146">
        <v>91</v>
      </c>
      <c r="J62" s="152">
        <v>0.25277777777777799</v>
      </c>
      <c r="K62" s="148">
        <v>43857</v>
      </c>
    </row>
    <row r="63" spans="2:44" x14ac:dyDescent="0.25">
      <c r="B63" s="153" t="s">
        <v>91</v>
      </c>
      <c r="E63" s="26">
        <v>6</v>
      </c>
      <c r="F63" s="144">
        <v>43857</v>
      </c>
      <c r="G63" s="145">
        <v>43857</v>
      </c>
      <c r="H63" s="145">
        <v>43948</v>
      </c>
      <c r="I63" s="146">
        <v>91</v>
      </c>
      <c r="J63" s="152">
        <v>0.25277777777777799</v>
      </c>
      <c r="K63" s="148">
        <v>43948</v>
      </c>
    </row>
    <row r="64" spans="2:44" x14ac:dyDescent="0.25">
      <c r="E64" s="26">
        <v>7</v>
      </c>
      <c r="F64" s="144">
        <v>43948</v>
      </c>
      <c r="G64" s="145">
        <v>43948</v>
      </c>
      <c r="H64" s="145">
        <v>44039</v>
      </c>
      <c r="I64" s="146">
        <v>91</v>
      </c>
      <c r="J64" s="152">
        <v>0.25277777777777799</v>
      </c>
      <c r="K64" s="148">
        <v>44039</v>
      </c>
    </row>
    <row r="65" spans="2:11" x14ac:dyDescent="0.25">
      <c r="E65" s="26">
        <v>8</v>
      </c>
      <c r="F65" s="144">
        <v>44039</v>
      </c>
      <c r="G65" s="145">
        <v>44039</v>
      </c>
      <c r="H65" s="145">
        <v>44130</v>
      </c>
      <c r="I65" s="146">
        <v>91</v>
      </c>
      <c r="J65" s="152">
        <v>0.25277777777777799</v>
      </c>
      <c r="K65" s="148">
        <v>44130</v>
      </c>
    </row>
    <row r="66" spans="2:11" x14ac:dyDescent="0.25">
      <c r="B66" s="4" t="s">
        <v>92</v>
      </c>
      <c r="C66" s="108" t="s">
        <v>44</v>
      </c>
      <c r="D66" s="108" t="s">
        <v>36</v>
      </c>
      <c r="E66" s="26">
        <v>9</v>
      </c>
      <c r="F66" s="144">
        <v>44130</v>
      </c>
      <c r="G66" s="145">
        <v>44130</v>
      </c>
      <c r="H66" s="145">
        <v>44222</v>
      </c>
      <c r="I66" s="146">
        <v>92</v>
      </c>
      <c r="J66" s="152">
        <v>0.25555555555555598</v>
      </c>
      <c r="K66" s="148">
        <v>44222</v>
      </c>
    </row>
    <row r="67" spans="2:11" x14ac:dyDescent="0.25">
      <c r="B67" s="112" t="s">
        <v>65</v>
      </c>
      <c r="C67" s="136">
        <v>-25014.802431022632</v>
      </c>
      <c r="D67" s="137">
        <v>16199.468920378014</v>
      </c>
      <c r="E67" s="26">
        <v>10</v>
      </c>
      <c r="F67" s="144">
        <v>44222</v>
      </c>
      <c r="G67" s="145">
        <v>44222</v>
      </c>
      <c r="H67" s="145">
        <v>44312</v>
      </c>
      <c r="I67" s="146">
        <v>90</v>
      </c>
      <c r="J67" s="152">
        <v>0.25</v>
      </c>
      <c r="K67" s="148">
        <v>44312</v>
      </c>
    </row>
    <row r="68" spans="2:11" x14ac:dyDescent="0.25">
      <c r="B68" s="118" t="s">
        <v>90</v>
      </c>
      <c r="C68" s="142">
        <v>-17.181218147458068</v>
      </c>
      <c r="D68" s="143" t="s">
        <v>31</v>
      </c>
      <c r="E68" s="26">
        <v>11</v>
      </c>
      <c r="F68" s="144">
        <v>44312</v>
      </c>
      <c r="G68" s="145">
        <v>44312</v>
      </c>
      <c r="H68" s="145">
        <v>44403</v>
      </c>
      <c r="I68" s="146">
        <v>91</v>
      </c>
      <c r="J68" s="152">
        <v>0.25277777777777799</v>
      </c>
      <c r="K68" s="148">
        <v>44403</v>
      </c>
    </row>
    <row r="69" spans="2:11" x14ac:dyDescent="0.25">
      <c r="B69" s="149" t="s">
        <v>66</v>
      </c>
      <c r="C69" s="150">
        <v>-8815.3335106446175</v>
      </c>
      <c r="D69" s="151" t="s">
        <v>36</v>
      </c>
      <c r="E69" s="26">
        <v>12</v>
      </c>
      <c r="F69" s="144">
        <v>44403</v>
      </c>
      <c r="G69" s="145">
        <v>44403</v>
      </c>
      <c r="H69" s="145">
        <v>44495</v>
      </c>
      <c r="I69" s="146">
        <v>92</v>
      </c>
      <c r="J69" s="152">
        <v>0.25555555555555598</v>
      </c>
      <c r="K69" s="148">
        <v>44495</v>
      </c>
    </row>
    <row r="70" spans="2:11" x14ac:dyDescent="0.25">
      <c r="B70" s="153" t="s">
        <v>91</v>
      </c>
      <c r="E70" s="26">
        <v>13</v>
      </c>
      <c r="F70" s="144">
        <v>44495</v>
      </c>
      <c r="G70" s="145">
        <v>44495</v>
      </c>
      <c r="H70" s="145">
        <v>44587</v>
      </c>
      <c r="I70" s="146">
        <v>92</v>
      </c>
      <c r="J70" s="152">
        <v>0.25555555555555598</v>
      </c>
      <c r="K70" s="148">
        <v>44587</v>
      </c>
    </row>
    <row r="71" spans="2:11" x14ac:dyDescent="0.25">
      <c r="E71" s="26">
        <v>14</v>
      </c>
      <c r="F71" s="144">
        <v>44587</v>
      </c>
      <c r="G71" s="145">
        <v>44587</v>
      </c>
      <c r="H71" s="145">
        <v>44677</v>
      </c>
      <c r="I71" s="146">
        <v>90</v>
      </c>
      <c r="J71" s="152">
        <v>0.25</v>
      </c>
      <c r="K71" s="148">
        <v>44677</v>
      </c>
    </row>
    <row r="72" spans="2:11" x14ac:dyDescent="0.25">
      <c r="E72" s="26">
        <v>15</v>
      </c>
      <c r="F72" s="144">
        <v>44677</v>
      </c>
      <c r="G72" s="145">
        <v>44677</v>
      </c>
      <c r="H72" s="145">
        <v>44768</v>
      </c>
      <c r="I72" s="146">
        <v>91</v>
      </c>
      <c r="J72" s="152">
        <v>0.25277777777777799</v>
      </c>
      <c r="K72" s="148">
        <v>44768</v>
      </c>
    </row>
    <row r="73" spans="2:11" x14ac:dyDescent="0.25">
      <c r="E73" s="26">
        <v>16</v>
      </c>
      <c r="F73" s="144">
        <v>44768</v>
      </c>
      <c r="G73" s="145">
        <v>44768</v>
      </c>
      <c r="H73" s="145">
        <v>44860</v>
      </c>
      <c r="I73" s="146">
        <v>92</v>
      </c>
      <c r="J73" s="152">
        <v>0.25555555555555598</v>
      </c>
      <c r="K73" s="148">
        <v>44860</v>
      </c>
    </row>
    <row r="74" spans="2:11" x14ac:dyDescent="0.25">
      <c r="E74" s="26">
        <v>17</v>
      </c>
      <c r="F74" s="144">
        <v>44860</v>
      </c>
      <c r="G74" s="145">
        <v>44860</v>
      </c>
      <c r="H74" s="145">
        <v>44952</v>
      </c>
      <c r="I74" s="146">
        <v>92</v>
      </c>
      <c r="J74" s="152">
        <v>0.25555555555555598</v>
      </c>
      <c r="K74" s="148">
        <v>44952</v>
      </c>
    </row>
    <row r="75" spans="2:11" x14ac:dyDescent="0.25">
      <c r="E75" s="26">
        <v>18</v>
      </c>
      <c r="F75" s="144">
        <v>44952</v>
      </c>
      <c r="G75" s="145">
        <v>44952</v>
      </c>
      <c r="H75" s="145">
        <v>45042</v>
      </c>
      <c r="I75" s="146">
        <v>90</v>
      </c>
      <c r="J75" s="152">
        <v>0.25</v>
      </c>
      <c r="K75" s="148">
        <v>45042</v>
      </c>
    </row>
    <row r="76" spans="2:11" x14ac:dyDescent="0.25">
      <c r="E76" s="26">
        <v>19</v>
      </c>
      <c r="F76" s="144">
        <v>45042</v>
      </c>
      <c r="G76" s="145">
        <v>45042</v>
      </c>
      <c r="H76" s="145">
        <v>45133</v>
      </c>
      <c r="I76" s="146">
        <v>91</v>
      </c>
      <c r="J76" s="152">
        <v>0.25277777777777799</v>
      </c>
      <c r="K76" s="148">
        <v>45133</v>
      </c>
    </row>
    <row r="77" spans="2:11" x14ac:dyDescent="0.25">
      <c r="E77" s="26">
        <v>20</v>
      </c>
      <c r="F77" s="154">
        <v>45133</v>
      </c>
      <c r="G77" s="155">
        <v>45133</v>
      </c>
      <c r="H77" s="155">
        <v>45225</v>
      </c>
      <c r="I77" s="156">
        <v>92</v>
      </c>
      <c r="J77" s="157">
        <v>0.25555555555555598</v>
      </c>
      <c r="K77" s="158">
        <v>45225</v>
      </c>
    </row>
  </sheetData>
  <dataValidations count="6">
    <dataValidation type="list" allowBlank="1" showInputMessage="1" showErrorMessage="1" sqref="C16:D16">
      <formula1>"PAY,RECEIVE"</formula1>
    </dataValidation>
    <dataValidation type="list" allowBlank="1" showInputMessage="1" showErrorMessage="1" sqref="C24:D24">
      <formula1>"ACT/360,ACT/365"</formula1>
    </dataValidation>
    <dataValidation type="list" allowBlank="1" showInputMessage="1" showErrorMessage="1" sqref="C17:D17">
      <formula1>"FIXED,FLOATING"</formula1>
    </dataValidation>
    <dataValidation type="list" allowBlank="1" showInputMessage="1" showErrorMessage="1" sqref="C8:C9 C57:D57">
      <formula1>"YES,NO"</formula1>
    </dataValidation>
    <dataValidation type="list" allowBlank="1" showInputMessage="1" showErrorMessage="1" sqref="C7 C10:C12">
      <formula1>"EUR,USD"</formula1>
    </dataValidation>
    <dataValidation type="list" allowBlank="1" showInputMessage="1" showErrorMessage="1" sqref="C5">
      <formula1>"1Y,2Y,3Y,4Y,5Y"</formula1>
    </dataValidation>
  </dataValidations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1"/>
  <sheetViews>
    <sheetView showGridLines="0" workbookViewId="0"/>
  </sheetViews>
  <sheetFormatPr defaultRowHeight="15" x14ac:dyDescent="0.25"/>
  <cols>
    <col min="2" max="2" width="14.42578125" customWidth="1"/>
    <col min="3" max="3" width="12.85546875" bestFit="1" customWidth="1"/>
    <col min="4" max="4" width="14.85546875" bestFit="1" customWidth="1"/>
    <col min="5" max="5" width="17.28515625" bestFit="1" customWidth="1"/>
    <col min="6" max="6" width="16.28515625" bestFit="1" customWidth="1"/>
    <col min="7" max="7" width="11.7109375" bestFit="1" customWidth="1"/>
    <col min="8" max="8" width="17.28515625" bestFit="1" customWidth="1"/>
    <col min="9" max="9" width="14.28515625" bestFit="1" customWidth="1"/>
    <col min="10" max="10" width="12" bestFit="1" customWidth="1"/>
    <col min="11" max="11" width="9.85546875" customWidth="1"/>
    <col min="12" max="12" width="14" bestFit="1" customWidth="1"/>
    <col min="13" max="13" width="10.28515625" bestFit="1" customWidth="1"/>
    <col min="14" max="15" width="12.7109375" customWidth="1"/>
    <col min="16" max="17" width="15.7109375" customWidth="1"/>
    <col min="18" max="18" width="12.7109375" customWidth="1"/>
    <col min="19" max="19" width="15.7109375" customWidth="1"/>
  </cols>
  <sheetData>
    <row r="2" spans="1:19" x14ac:dyDescent="0.25">
      <c r="B2" s="4" t="s">
        <v>4</v>
      </c>
      <c r="E2" s="3"/>
      <c r="F2" s="3"/>
    </row>
    <row r="3" spans="1:19" x14ac:dyDescent="0.25">
      <c r="B3" s="17" t="s">
        <v>19</v>
      </c>
      <c r="C3" s="18" t="s">
        <v>20</v>
      </c>
      <c r="D3" s="19" t="s">
        <v>21</v>
      </c>
      <c r="E3" s="18" t="s">
        <v>22</v>
      </c>
      <c r="F3" s="15" t="s">
        <v>23</v>
      </c>
      <c r="G3" s="20" t="s">
        <v>32</v>
      </c>
      <c r="H3" s="18" t="s">
        <v>24</v>
      </c>
      <c r="I3" s="18" t="s">
        <v>25</v>
      </c>
      <c r="J3" s="14" t="s">
        <v>26</v>
      </c>
      <c r="K3" s="14" t="s">
        <v>27</v>
      </c>
      <c r="L3" s="21" t="s">
        <v>28</v>
      </c>
    </row>
    <row r="4" spans="1:19" x14ac:dyDescent="0.25">
      <c r="A4" s="26">
        <v>0</v>
      </c>
      <c r="B4" s="32" t="s">
        <v>31</v>
      </c>
      <c r="C4" s="28" t="s">
        <v>31</v>
      </c>
      <c r="D4" s="33" t="s">
        <v>31</v>
      </c>
      <c r="E4" s="34">
        <v>876962.20292905369</v>
      </c>
      <c r="F4" s="35" t="s">
        <v>31</v>
      </c>
      <c r="G4" s="35" t="s">
        <v>31</v>
      </c>
      <c r="H4" s="34">
        <v>876962.20292905369</v>
      </c>
      <c r="I4" s="36">
        <v>1</v>
      </c>
      <c r="J4" s="34">
        <v>876962.20292905369</v>
      </c>
      <c r="K4" s="37">
        <v>1.1403000000000001</v>
      </c>
      <c r="L4" s="38">
        <v>1000000</v>
      </c>
    </row>
    <row r="5" spans="1:19" x14ac:dyDescent="0.25">
      <c r="A5" s="26">
        <v>1</v>
      </c>
      <c r="B5" s="32">
        <v>-876962.20292905369</v>
      </c>
      <c r="C5" s="28">
        <v>43399</v>
      </c>
      <c r="D5" s="33">
        <v>0.87696220292905369</v>
      </c>
      <c r="E5" s="34">
        <v>0</v>
      </c>
      <c r="F5" s="35">
        <v>0</v>
      </c>
      <c r="G5" s="35">
        <v>-3.1695013258222198E-3</v>
      </c>
      <c r="H5" s="34">
        <v>702.60414084456818</v>
      </c>
      <c r="I5" s="36">
        <v>1.00236535168462</v>
      </c>
      <c r="J5" s="34">
        <v>704.26604673273584</v>
      </c>
      <c r="K5" s="37">
        <v>1.1403000000000001</v>
      </c>
      <c r="L5" s="38">
        <v>803.07457308933874</v>
      </c>
    </row>
    <row r="6" spans="1:19" x14ac:dyDescent="0.25">
      <c r="A6" s="26">
        <v>2</v>
      </c>
      <c r="B6" s="55">
        <v>-876962.20292905369</v>
      </c>
      <c r="C6" s="52">
        <v>43490.25</v>
      </c>
      <c r="D6" s="56">
        <v>0.86980133315540076</v>
      </c>
      <c r="E6" s="57">
        <v>0</v>
      </c>
      <c r="F6" s="58">
        <v>0</v>
      </c>
      <c r="G6" s="58">
        <v>-3.1644180339047701E-3</v>
      </c>
      <c r="H6" s="57">
        <v>701.47729419483676</v>
      </c>
      <c r="I6" s="59">
        <v>1.0041822883354501</v>
      </c>
      <c r="J6" s="57">
        <v>704.41107449993092</v>
      </c>
      <c r="K6" s="54">
        <v>1.1403000000000001</v>
      </c>
      <c r="L6" s="60">
        <v>803.23994825227135</v>
      </c>
    </row>
    <row r="7" spans="1:19" x14ac:dyDescent="0.25">
      <c r="A7" s="26">
        <v>3</v>
      </c>
      <c r="B7" s="55">
        <v>-876962.20292905369</v>
      </c>
      <c r="C7" s="52">
        <v>43581.5</v>
      </c>
      <c r="D7" s="56">
        <v>0.86286556533170844</v>
      </c>
      <c r="E7" s="57">
        <v>0</v>
      </c>
      <c r="F7" s="58">
        <v>0</v>
      </c>
      <c r="G7" s="58">
        <v>-2.8930721879165499E-3</v>
      </c>
      <c r="H7" s="57">
        <v>641.32628134020774</v>
      </c>
      <c r="I7" s="59">
        <v>1.00592632387728</v>
      </c>
      <c r="J7" s="57">
        <v>645.1269885944414</v>
      </c>
      <c r="K7" s="54">
        <v>1.1403000000000001</v>
      </c>
      <c r="L7" s="60">
        <v>735.63830509424156</v>
      </c>
    </row>
    <row r="8" spans="1:19" x14ac:dyDescent="0.25">
      <c r="A8" s="26">
        <v>4</v>
      </c>
      <c r="B8" s="100">
        <v>-876962.20292905369</v>
      </c>
      <c r="C8" s="96">
        <v>43672.75</v>
      </c>
      <c r="D8" s="101">
        <v>0.85559656983436139</v>
      </c>
      <c r="E8" s="102">
        <v>-876962.20292905369</v>
      </c>
      <c r="F8" s="103">
        <v>0</v>
      </c>
      <c r="G8" s="103">
        <v>-2.2709270083431498E-3</v>
      </c>
      <c r="H8" s="102">
        <v>-876458.79164898302</v>
      </c>
      <c r="I8" s="104">
        <v>1.0078070969733499</v>
      </c>
      <c r="J8" s="102">
        <v>-883301.39042853168</v>
      </c>
      <c r="K8" s="98">
        <v>1.1403000000000001</v>
      </c>
      <c r="L8" s="105">
        <v>-1007228.5755056548</v>
      </c>
    </row>
    <row r="9" spans="1:19" x14ac:dyDescent="0.25">
      <c r="B9" s="106"/>
      <c r="C9" s="107"/>
      <c r="D9" s="107"/>
    </row>
    <row r="10" spans="1:19" x14ac:dyDescent="0.25">
      <c r="B10" s="4" t="s">
        <v>64</v>
      </c>
      <c r="C10" s="107"/>
      <c r="D10" s="159"/>
      <c r="E10" s="110"/>
      <c r="F10" s="111"/>
    </row>
    <row r="11" spans="1:19" x14ac:dyDescent="0.25">
      <c r="B11" s="17" t="s">
        <v>19</v>
      </c>
      <c r="C11" s="18" t="s">
        <v>20</v>
      </c>
      <c r="D11" s="19" t="s">
        <v>21</v>
      </c>
      <c r="E11" s="18" t="s">
        <v>22</v>
      </c>
      <c r="F11" s="15" t="s">
        <v>23</v>
      </c>
      <c r="G11" s="20" t="s">
        <v>32</v>
      </c>
      <c r="H11" s="18" t="s">
        <v>24</v>
      </c>
      <c r="I11" s="18" t="s">
        <v>25</v>
      </c>
      <c r="J11" s="14" t="s">
        <v>26</v>
      </c>
      <c r="K11" s="14" t="s">
        <v>27</v>
      </c>
      <c r="L11" s="21" t="s">
        <v>28</v>
      </c>
    </row>
    <row r="12" spans="1:19" x14ac:dyDescent="0.25">
      <c r="A12" s="26">
        <v>0</v>
      </c>
      <c r="B12" s="32" t="s">
        <v>31</v>
      </c>
      <c r="C12" s="28" t="s">
        <v>31</v>
      </c>
      <c r="D12" s="33" t="s">
        <v>31</v>
      </c>
      <c r="E12" s="34">
        <v>-1000000</v>
      </c>
      <c r="F12" s="35" t="s">
        <v>31</v>
      </c>
      <c r="G12" s="35" t="s">
        <v>31</v>
      </c>
      <c r="H12" s="34">
        <v>-1000000</v>
      </c>
      <c r="I12" s="36">
        <v>1</v>
      </c>
      <c r="J12" s="34">
        <v>-1000000</v>
      </c>
      <c r="K12" s="37">
        <v>1</v>
      </c>
      <c r="L12" s="38">
        <v>-1000000</v>
      </c>
      <c r="S12" s="22"/>
    </row>
    <row r="13" spans="1:19" x14ac:dyDescent="0.25">
      <c r="A13" s="26">
        <v>1</v>
      </c>
      <c r="B13" s="32">
        <v>1000000</v>
      </c>
      <c r="C13" s="28">
        <v>43399</v>
      </c>
      <c r="D13" s="33">
        <v>1.1403000000000001</v>
      </c>
      <c r="E13" s="34">
        <v>-8232.764771324466</v>
      </c>
      <c r="F13" s="35">
        <v>0</v>
      </c>
      <c r="G13" s="35">
        <v>2.4747536910397799E-2</v>
      </c>
      <c r="H13" s="34">
        <v>-1977.137385640578</v>
      </c>
      <c r="I13" s="36">
        <v>0.99418049750839499</v>
      </c>
      <c r="J13" s="34">
        <v>-1965.6314296985972</v>
      </c>
      <c r="K13" s="37">
        <v>1</v>
      </c>
      <c r="L13" s="38">
        <v>-1965.6314296985972</v>
      </c>
      <c r="S13" s="121"/>
    </row>
    <row r="14" spans="1:19" x14ac:dyDescent="0.25">
      <c r="A14" s="26">
        <v>2</v>
      </c>
      <c r="B14" s="55">
        <v>1008232.7647713245</v>
      </c>
      <c r="C14" s="52">
        <v>43490.25</v>
      </c>
      <c r="D14" s="56">
        <v>1.1496878216687414</v>
      </c>
      <c r="E14" s="57">
        <v>-8104.2385391809512</v>
      </c>
      <c r="F14" s="58">
        <v>0</v>
      </c>
      <c r="G14" s="58">
        <v>2.7958065227277701E-2</v>
      </c>
      <c r="H14" s="57">
        <v>-978.87852929282508</v>
      </c>
      <c r="I14" s="59">
        <v>0.98804066472492502</v>
      </c>
      <c r="J14" s="57">
        <v>-967.17179276743991</v>
      </c>
      <c r="K14" s="54">
        <v>1</v>
      </c>
      <c r="L14" s="60">
        <v>-967.17179276743991</v>
      </c>
      <c r="S14" s="121"/>
    </row>
    <row r="15" spans="1:19" x14ac:dyDescent="0.25">
      <c r="A15" s="26">
        <v>3</v>
      </c>
      <c r="B15" s="55">
        <v>1016337.0033105054</v>
      </c>
      <c r="C15" s="52">
        <v>43581.5</v>
      </c>
      <c r="D15" s="56">
        <v>1.1589290848749694</v>
      </c>
      <c r="E15" s="57">
        <v>-8634.6174836598802</v>
      </c>
      <c r="F15" s="58">
        <v>0</v>
      </c>
      <c r="G15" s="58">
        <v>2.9376405846927599E-2</v>
      </c>
      <c r="H15" s="57">
        <v>-1087.6011667947023</v>
      </c>
      <c r="I15" s="59">
        <v>0.98141870805932296</v>
      </c>
      <c r="J15" s="57">
        <v>-1067.392131999469</v>
      </c>
      <c r="K15" s="54">
        <v>1</v>
      </c>
      <c r="L15" s="60">
        <v>-1067.392131999469</v>
      </c>
      <c r="S15" s="121"/>
    </row>
    <row r="16" spans="1:19" x14ac:dyDescent="0.25">
      <c r="A16" s="26">
        <v>4</v>
      </c>
      <c r="B16" s="100">
        <v>1024971.6207941653</v>
      </c>
      <c r="C16" s="96">
        <v>43672.75</v>
      </c>
      <c r="D16" s="101">
        <v>1.1687751391915868</v>
      </c>
      <c r="E16" s="102">
        <v>1024971.6207941653</v>
      </c>
      <c r="F16" s="103">
        <v>0</v>
      </c>
      <c r="G16" s="103">
        <v>3.0538343749320799E-2</v>
      </c>
      <c r="H16" s="102">
        <v>1032883.8017600238</v>
      </c>
      <c r="I16" s="104">
        <v>0.97480251014061603</v>
      </c>
      <c r="J16" s="102">
        <v>1006857.7226392536</v>
      </c>
      <c r="K16" s="98">
        <v>1</v>
      </c>
      <c r="L16" s="105">
        <v>1006857.7226392536</v>
      </c>
      <c r="S16" s="121"/>
    </row>
    <row r="19" spans="1:6" x14ac:dyDescent="0.25">
      <c r="B19" s="4" t="s">
        <v>93</v>
      </c>
    </row>
    <row r="20" spans="1:6" ht="18" x14ac:dyDescent="0.25">
      <c r="B20" s="160" t="s">
        <v>20</v>
      </c>
      <c r="C20" s="161" t="s">
        <v>94</v>
      </c>
      <c r="D20" s="161" t="s">
        <v>95</v>
      </c>
      <c r="E20" s="161" t="s">
        <v>96</v>
      </c>
      <c r="F20" s="162" t="s">
        <v>97</v>
      </c>
    </row>
    <row r="21" spans="1:6" x14ac:dyDescent="0.25">
      <c r="A21" s="26">
        <v>0</v>
      </c>
      <c r="B21" s="163"/>
      <c r="C21" s="164"/>
      <c r="D21" s="164"/>
      <c r="E21" s="164"/>
      <c r="F21" s="165"/>
    </row>
    <row r="22" spans="1:6" x14ac:dyDescent="0.25">
      <c r="A22" s="26">
        <v>1</v>
      </c>
      <c r="B22" s="166">
        <f>C13</f>
        <v>43399</v>
      </c>
      <c r="C22" s="167">
        <v>1.1403000000000001</v>
      </c>
      <c r="D22" s="168">
        <f>I4</f>
        <v>1</v>
      </c>
      <c r="E22" s="168">
        <f>I12</f>
        <v>1</v>
      </c>
      <c r="F22" s="169">
        <f>C22*D22/E22</f>
        <v>1.1403000000000001</v>
      </c>
    </row>
    <row r="23" spans="1:6" x14ac:dyDescent="0.25">
      <c r="A23" s="26">
        <v>2</v>
      </c>
      <c r="B23" s="166">
        <f>C14</f>
        <v>43490.25</v>
      </c>
      <c r="C23" s="167">
        <v>1.1403000000000001</v>
      </c>
      <c r="D23" s="168">
        <f>I5</f>
        <v>1.00236535168462</v>
      </c>
      <c r="E23" s="168">
        <f>I13</f>
        <v>0.99418049750839499</v>
      </c>
      <c r="F23" s="169">
        <f>C23*D23/E23</f>
        <v>1.1496878216687414</v>
      </c>
    </row>
    <row r="24" spans="1:6" x14ac:dyDescent="0.25">
      <c r="A24" s="26">
        <v>3</v>
      </c>
      <c r="B24" s="166">
        <f>C15</f>
        <v>43581.5</v>
      </c>
      <c r="C24" s="167">
        <v>1.1403000000000001</v>
      </c>
      <c r="D24" s="168">
        <f>I6</f>
        <v>1.0041822883354501</v>
      </c>
      <c r="E24" s="168">
        <f>I14</f>
        <v>0.98804066472492502</v>
      </c>
      <c r="F24" s="169">
        <f>C24*D24/E24</f>
        <v>1.1589290848749694</v>
      </c>
    </row>
    <row r="25" spans="1:6" x14ac:dyDescent="0.25">
      <c r="A25" s="26">
        <v>4</v>
      </c>
      <c r="B25" s="170">
        <f>C16</f>
        <v>43672.75</v>
      </c>
      <c r="C25" s="171">
        <v>1.1403000000000001</v>
      </c>
      <c r="D25" s="172">
        <f>I7</f>
        <v>1.00592632387728</v>
      </c>
      <c r="E25" s="172">
        <f>I15</f>
        <v>0.98141870805932296</v>
      </c>
      <c r="F25" s="173">
        <f>C25*D25/E25</f>
        <v>1.1687751391915868</v>
      </c>
    </row>
    <row r="28" spans="1:6" x14ac:dyDescent="0.25">
      <c r="B28" s="4" t="s">
        <v>98</v>
      </c>
    </row>
    <row r="29" spans="1:6" ht="17.25" x14ac:dyDescent="0.25">
      <c r="B29" s="160" t="s">
        <v>99</v>
      </c>
      <c r="C29" s="161" t="s">
        <v>20</v>
      </c>
      <c r="D29" s="161" t="s">
        <v>21</v>
      </c>
      <c r="E29" s="161" t="s">
        <v>100</v>
      </c>
      <c r="F29" s="162" t="s">
        <v>101</v>
      </c>
    </row>
    <row r="30" spans="1:6" x14ac:dyDescent="0.25">
      <c r="A30" s="26">
        <v>0</v>
      </c>
      <c r="B30" s="174"/>
      <c r="C30" s="107"/>
      <c r="D30" s="107"/>
      <c r="E30" s="107"/>
      <c r="F30" s="165"/>
    </row>
    <row r="31" spans="1:6" x14ac:dyDescent="0.25">
      <c r="A31" s="26">
        <v>1</v>
      </c>
      <c r="B31" s="175">
        <f>$E$4</f>
        <v>876962.20292905369</v>
      </c>
      <c r="C31" s="176">
        <f t="shared" ref="C31:D34" si="0">C13</f>
        <v>43399</v>
      </c>
      <c r="D31" s="167">
        <f t="shared" si="0"/>
        <v>1.1403000000000001</v>
      </c>
      <c r="E31" s="177">
        <f>B31*D31</f>
        <v>1000000</v>
      </c>
      <c r="F31" s="178">
        <f>E31-E32</f>
        <v>-8232.764771324466</v>
      </c>
    </row>
    <row r="32" spans="1:6" x14ac:dyDescent="0.25">
      <c r="A32" s="26">
        <v>2</v>
      </c>
      <c r="B32" s="175">
        <f>$E$4</f>
        <v>876962.20292905369</v>
      </c>
      <c r="C32" s="176">
        <f t="shared" si="0"/>
        <v>43490.25</v>
      </c>
      <c r="D32" s="167">
        <f t="shared" si="0"/>
        <v>1.1496878216687414</v>
      </c>
      <c r="E32" s="177">
        <f>B32*D32</f>
        <v>1008232.7647713245</v>
      </c>
      <c r="F32" s="178">
        <f>E32-E33</f>
        <v>-8104.2385391809512</v>
      </c>
    </row>
    <row r="33" spans="1:8" x14ac:dyDescent="0.25">
      <c r="A33" s="26">
        <v>3</v>
      </c>
      <c r="B33" s="175">
        <f>$E$4</f>
        <v>876962.20292905369</v>
      </c>
      <c r="C33" s="176">
        <f t="shared" si="0"/>
        <v>43581.5</v>
      </c>
      <c r="D33" s="167">
        <f t="shared" si="0"/>
        <v>1.1589290848749694</v>
      </c>
      <c r="E33" s="177">
        <f>B33*D33</f>
        <v>1016337.0033105054</v>
      </c>
      <c r="F33" s="178">
        <f>E33-E34</f>
        <v>-8634.6174836598802</v>
      </c>
    </row>
    <row r="34" spans="1:8" x14ac:dyDescent="0.25">
      <c r="A34" s="26">
        <v>4</v>
      </c>
      <c r="B34" s="179">
        <f>$E$4</f>
        <v>876962.20292905369</v>
      </c>
      <c r="C34" s="180">
        <f t="shared" si="0"/>
        <v>43672.75</v>
      </c>
      <c r="D34" s="171">
        <f t="shared" si="0"/>
        <v>1.1687751391915868</v>
      </c>
      <c r="E34" s="181">
        <f>B34*D34</f>
        <v>1024971.6207941653</v>
      </c>
      <c r="F34" s="182">
        <f>E34</f>
        <v>1024971.6207941653</v>
      </c>
    </row>
    <row r="37" spans="1:8" x14ac:dyDescent="0.25">
      <c r="B37" s="4" t="s">
        <v>102</v>
      </c>
    </row>
    <row r="38" spans="1:8" ht="17.25" x14ac:dyDescent="0.25">
      <c r="B38" s="160" t="s">
        <v>19</v>
      </c>
      <c r="C38" s="161" t="s">
        <v>103</v>
      </c>
      <c r="D38" s="161" t="s">
        <v>104</v>
      </c>
      <c r="E38" s="183" t="s">
        <v>105</v>
      </c>
      <c r="F38" s="183" t="s">
        <v>106</v>
      </c>
      <c r="G38" s="161" t="s">
        <v>107</v>
      </c>
      <c r="H38" s="162" t="s">
        <v>108</v>
      </c>
    </row>
    <row r="39" spans="1:8" x14ac:dyDescent="0.25">
      <c r="A39" s="26">
        <v>0</v>
      </c>
      <c r="B39" s="175">
        <f>ABS($E$4)</f>
        <v>876962.20292905369</v>
      </c>
      <c r="C39" s="184"/>
      <c r="D39" s="184"/>
      <c r="E39" s="184"/>
      <c r="F39" s="184"/>
      <c r="G39" s="184"/>
      <c r="H39" s="165"/>
    </row>
    <row r="40" spans="1:8" x14ac:dyDescent="0.25">
      <c r="A40" s="26">
        <v>1</v>
      </c>
      <c r="B40" s="175">
        <f>ABS($E$4)</f>
        <v>876962.20292905369</v>
      </c>
      <c r="C40" s="184">
        <f>K5</f>
        <v>1.1403000000000001</v>
      </c>
      <c r="D40" s="184">
        <f>C40</f>
        <v>1.1403000000000001</v>
      </c>
      <c r="E40" s="184">
        <f>C40</f>
        <v>1.1403000000000001</v>
      </c>
      <c r="F40" s="184">
        <f>1</f>
        <v>1</v>
      </c>
      <c r="G40" s="184">
        <f>E40*F40</f>
        <v>1.1403000000000001</v>
      </c>
      <c r="H40" s="178">
        <f>B40*G40</f>
        <v>1000000</v>
      </c>
    </row>
    <row r="41" spans="1:8" x14ac:dyDescent="0.25">
      <c r="A41" s="26">
        <v>2</v>
      </c>
      <c r="B41" s="175">
        <f>ABS($E$4)</f>
        <v>876962.20292905369</v>
      </c>
      <c r="C41" s="184">
        <f>K6</f>
        <v>1.1403000000000001</v>
      </c>
      <c r="D41" s="184">
        <f>C41</f>
        <v>1.1403000000000001</v>
      </c>
      <c r="E41" s="184">
        <f>C41</f>
        <v>1.1403000000000001</v>
      </c>
      <c r="F41" s="184">
        <f>1</f>
        <v>1</v>
      </c>
      <c r="G41" s="184">
        <f>E41*F41</f>
        <v>1.1403000000000001</v>
      </c>
      <c r="H41" s="178">
        <f>B41*G41</f>
        <v>1000000</v>
      </c>
    </row>
    <row r="42" spans="1:8" x14ac:dyDescent="0.25">
      <c r="A42" s="26">
        <v>3</v>
      </c>
      <c r="B42" s="175">
        <f>ABS($E$4)</f>
        <v>876962.20292905369</v>
      </c>
      <c r="C42" s="184">
        <f>K7</f>
        <v>1.1403000000000001</v>
      </c>
      <c r="D42" s="184">
        <f>C42</f>
        <v>1.1403000000000001</v>
      </c>
      <c r="E42" s="184">
        <f>C42</f>
        <v>1.1403000000000001</v>
      </c>
      <c r="F42" s="184">
        <f>1</f>
        <v>1</v>
      </c>
      <c r="G42" s="184">
        <f>E42*F42</f>
        <v>1.1403000000000001</v>
      </c>
      <c r="H42" s="178">
        <f>B42*G42</f>
        <v>1000000</v>
      </c>
    </row>
    <row r="43" spans="1:8" x14ac:dyDescent="0.25">
      <c r="A43" s="26">
        <v>4</v>
      </c>
      <c r="B43" s="179">
        <f>ABS($E$4)</f>
        <v>876962.20292905369</v>
      </c>
      <c r="C43" s="185">
        <f>K8</f>
        <v>1.1403000000000001</v>
      </c>
      <c r="D43" s="185">
        <f>C43</f>
        <v>1.1403000000000001</v>
      </c>
      <c r="E43" s="185">
        <f>C43</f>
        <v>1.1403000000000001</v>
      </c>
      <c r="F43" s="185">
        <f>1</f>
        <v>1</v>
      </c>
      <c r="G43" s="185">
        <f>E43*F43</f>
        <v>1.1403000000000001</v>
      </c>
      <c r="H43" s="182">
        <f>B43*G43</f>
        <v>1000000</v>
      </c>
    </row>
    <row r="45" spans="1:8" x14ac:dyDescent="0.25">
      <c r="B45" s="4" t="s">
        <v>109</v>
      </c>
    </row>
    <row r="46" spans="1:8" ht="17.25" x14ac:dyDescent="0.25">
      <c r="B46" s="160" t="s">
        <v>19</v>
      </c>
      <c r="C46" s="161" t="s">
        <v>103</v>
      </c>
      <c r="D46" s="161" t="s">
        <v>104</v>
      </c>
      <c r="E46" s="183" t="s">
        <v>110</v>
      </c>
      <c r="F46" s="183" t="s">
        <v>111</v>
      </c>
      <c r="G46" s="161" t="s">
        <v>112</v>
      </c>
      <c r="H46" s="162" t="s">
        <v>108</v>
      </c>
    </row>
    <row r="47" spans="1:8" x14ac:dyDescent="0.25">
      <c r="A47" s="26">
        <v>0</v>
      </c>
      <c r="B47" s="175">
        <f>ABS($E$12)</f>
        <v>1000000</v>
      </c>
      <c r="C47" s="184"/>
      <c r="D47" s="184"/>
      <c r="E47" s="184"/>
      <c r="F47" s="184"/>
      <c r="G47" s="184"/>
      <c r="H47" s="165"/>
    </row>
    <row r="48" spans="1:8" x14ac:dyDescent="0.25">
      <c r="A48" s="26">
        <v>1</v>
      </c>
      <c r="B48" s="175">
        <f>ABS($E$12)</f>
        <v>1000000</v>
      </c>
      <c r="C48" s="184">
        <f>C40</f>
        <v>1.1403000000000001</v>
      </c>
      <c r="D48" s="184">
        <f>D13</f>
        <v>1.1403000000000001</v>
      </c>
      <c r="E48" s="184">
        <v>1</v>
      </c>
      <c r="F48" s="184">
        <f>D48/C48</f>
        <v>1</v>
      </c>
      <c r="G48" s="184">
        <f>E48*F48</f>
        <v>1</v>
      </c>
      <c r="H48" s="178">
        <f>B48*G48</f>
        <v>1000000</v>
      </c>
    </row>
    <row r="49" spans="1:8" x14ac:dyDescent="0.25">
      <c r="A49" s="26">
        <v>2</v>
      </c>
      <c r="B49" s="175">
        <f>ABS($E$12)</f>
        <v>1000000</v>
      </c>
      <c r="C49" s="184">
        <f>C41</f>
        <v>1.1403000000000001</v>
      </c>
      <c r="D49" s="184">
        <f>D14</f>
        <v>1.1496878216687414</v>
      </c>
      <c r="E49" s="184">
        <v>1</v>
      </c>
      <c r="F49" s="184">
        <f>D49/C49</f>
        <v>1.0082327647713245</v>
      </c>
      <c r="G49" s="184">
        <f>E49*F49</f>
        <v>1.0082327647713245</v>
      </c>
      <c r="H49" s="178">
        <f>B49*G49</f>
        <v>1008232.7647713245</v>
      </c>
    </row>
    <row r="50" spans="1:8" x14ac:dyDescent="0.25">
      <c r="A50" s="26">
        <v>3</v>
      </c>
      <c r="B50" s="175">
        <f>ABS($E$12)</f>
        <v>1000000</v>
      </c>
      <c r="C50" s="184">
        <f>C42</f>
        <v>1.1403000000000001</v>
      </c>
      <c r="D50" s="184">
        <f>D15</f>
        <v>1.1589290848749694</v>
      </c>
      <c r="E50" s="184">
        <v>1</v>
      </c>
      <c r="F50" s="184">
        <f>D50/C50</f>
        <v>1.0163370033105055</v>
      </c>
      <c r="G50" s="184">
        <f>E50*F50</f>
        <v>1.0163370033105055</v>
      </c>
      <c r="H50" s="178">
        <f>B50*G50</f>
        <v>1016337.0033105054</v>
      </c>
    </row>
    <row r="51" spans="1:8" x14ac:dyDescent="0.25">
      <c r="A51" s="26">
        <v>4</v>
      </c>
      <c r="B51" s="179">
        <f>ABS($E$12)</f>
        <v>1000000</v>
      </c>
      <c r="C51" s="185">
        <f>C43</f>
        <v>1.1403000000000001</v>
      </c>
      <c r="D51" s="185">
        <f>D16</f>
        <v>1.1687751391915868</v>
      </c>
      <c r="E51" s="185">
        <v>1</v>
      </c>
      <c r="F51" s="185">
        <f>D51/C51</f>
        <v>1.0249716207941653</v>
      </c>
      <c r="G51" s="185">
        <f>E51*F51</f>
        <v>1.0249716207941653</v>
      </c>
      <c r="H51" s="182">
        <f>B51*G51</f>
        <v>1024971.6207941653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8"/>
  <sheetViews>
    <sheetView showGridLines="0" workbookViewId="0"/>
  </sheetViews>
  <sheetFormatPr defaultRowHeight="15" x14ac:dyDescent="0.25"/>
  <cols>
    <col min="2" max="2" width="20.140625" customWidth="1"/>
    <col min="3" max="3" width="12.7109375" bestFit="1" customWidth="1"/>
    <col min="4" max="4" width="13.42578125" bestFit="1" customWidth="1"/>
    <col min="5" max="5" width="16" customWidth="1"/>
    <col min="6" max="6" width="19.140625" customWidth="1"/>
    <col min="7" max="7" width="12.7109375" bestFit="1" customWidth="1"/>
    <col min="8" max="8" width="17.28515625" bestFit="1" customWidth="1"/>
    <col min="9" max="9" width="14.7109375" bestFit="1" customWidth="1"/>
    <col min="10" max="10" width="13.28515625" bestFit="1" customWidth="1"/>
    <col min="11" max="11" width="14.28515625" bestFit="1" customWidth="1"/>
    <col min="12" max="12" width="14" bestFit="1" customWidth="1"/>
    <col min="13" max="13" width="9.5703125" customWidth="1"/>
    <col min="14" max="14" width="10.28515625" customWidth="1"/>
    <col min="15" max="15" width="12.7109375" customWidth="1"/>
    <col min="16" max="17" width="15.7109375" customWidth="1"/>
    <col min="18" max="18" width="12.7109375" customWidth="1"/>
    <col min="19" max="19" width="15.7109375" customWidth="1"/>
  </cols>
  <sheetData>
    <row r="2" spans="2:9" x14ac:dyDescent="0.25">
      <c r="B2" s="186" t="s">
        <v>113</v>
      </c>
    </row>
    <row r="4" spans="2:9" ht="18" x14ac:dyDescent="0.35">
      <c r="B4" s="4" t="s">
        <v>114</v>
      </c>
      <c r="E4" s="4" t="s">
        <v>115</v>
      </c>
    </row>
    <row r="5" spans="2:9" ht="18" x14ac:dyDescent="0.25">
      <c r="B5" s="187" t="s">
        <v>116</v>
      </c>
      <c r="C5" s="114">
        <f>C6+C7</f>
        <v>-2029.0953944308148</v>
      </c>
      <c r="E5" s="187" t="s">
        <v>117</v>
      </c>
      <c r="F5" s="188">
        <f>-C5/C14</f>
        <v>-1.9966739762309425E-3</v>
      </c>
      <c r="H5" s="189"/>
      <c r="I5" s="190"/>
    </row>
    <row r="6" spans="2:9" ht="18" x14ac:dyDescent="0.25">
      <c r="B6" s="191" t="s">
        <v>118</v>
      </c>
      <c r="C6" s="120">
        <f>SUM(C11:C13)</f>
        <v>-4886.6226792190191</v>
      </c>
      <c r="E6" s="191" t="s">
        <v>119</v>
      </c>
      <c r="F6" s="192">
        <f>-C5/F14</f>
        <v>2.0133649745700819E-3</v>
      </c>
      <c r="H6" s="190"/>
    </row>
    <row r="7" spans="2:9" ht="18" x14ac:dyDescent="0.25">
      <c r="B7" s="193" t="s">
        <v>120</v>
      </c>
      <c r="C7" s="194">
        <f>SUM(F11:F13)</f>
        <v>2857.5272847882043</v>
      </c>
      <c r="E7" s="193"/>
      <c r="F7" s="195"/>
    </row>
    <row r="8" spans="2:9" x14ac:dyDescent="0.25">
      <c r="I8" s="190"/>
    </row>
    <row r="9" spans="2:9" x14ac:dyDescent="0.25">
      <c r="I9" s="41"/>
    </row>
    <row r="10" spans="2:9" ht="18" x14ac:dyDescent="0.25">
      <c r="B10" s="124" t="s">
        <v>121</v>
      </c>
      <c r="C10" s="196"/>
      <c r="D10" s="196"/>
      <c r="E10" s="124" t="s">
        <v>122</v>
      </c>
      <c r="F10" s="196"/>
    </row>
    <row r="11" spans="2:9" ht="18" x14ac:dyDescent="0.25">
      <c r="B11" s="197" t="s">
        <v>123</v>
      </c>
      <c r="C11" s="198">
        <f>M26</f>
        <v>2920.4742941309028</v>
      </c>
      <c r="D11" s="196"/>
      <c r="E11" s="197" t="s">
        <v>124</v>
      </c>
      <c r="F11" s="198">
        <f>M35</f>
        <v>28378.965056706773</v>
      </c>
    </row>
    <row r="12" spans="2:9" ht="18" x14ac:dyDescent="0.25">
      <c r="B12" s="199" t="s">
        <v>125</v>
      </c>
      <c r="C12" s="200">
        <f>J47</f>
        <v>-7807.0969733499223</v>
      </c>
      <c r="D12" s="196"/>
      <c r="E12" s="199" t="s">
        <v>126</v>
      </c>
      <c r="F12" s="200">
        <f>J57</f>
        <v>-855.09122695203405</v>
      </c>
    </row>
    <row r="13" spans="2:9" ht="18" x14ac:dyDescent="0.25">
      <c r="B13" s="199" t="s">
        <v>127</v>
      </c>
      <c r="C13" s="200">
        <f>L69</f>
        <v>0</v>
      </c>
      <c r="D13" s="196"/>
      <c r="E13" s="199" t="s">
        <v>128</v>
      </c>
      <c r="F13" s="200">
        <f>L79</f>
        <v>-24666.346544966535</v>
      </c>
    </row>
    <row r="14" spans="2:9" ht="18" x14ac:dyDescent="0.25">
      <c r="B14" s="201" t="s">
        <v>129</v>
      </c>
      <c r="C14" s="202">
        <f>N26</f>
        <v>-1016237.7126089825</v>
      </c>
      <c r="D14" s="196"/>
      <c r="E14" s="201" t="s">
        <v>130</v>
      </c>
      <c r="F14" s="202">
        <f>N35</f>
        <v>1007812.999659484</v>
      </c>
    </row>
    <row r="17" spans="1:14" x14ac:dyDescent="0.25">
      <c r="B17" s="186" t="s">
        <v>131</v>
      </c>
    </row>
    <row r="19" spans="1:14" ht="17.25" x14ac:dyDescent="0.25">
      <c r="B19" s="4" t="s">
        <v>132</v>
      </c>
      <c r="E19" s="203" t="s">
        <v>133</v>
      </c>
      <c r="F19" s="204" t="s">
        <v>134</v>
      </c>
      <c r="L19" s="204" t="s">
        <v>135</v>
      </c>
    </row>
    <row r="20" spans="1:14" x14ac:dyDescent="0.25">
      <c r="B20" s="17" t="s">
        <v>19</v>
      </c>
      <c r="C20" s="161" t="s">
        <v>27</v>
      </c>
      <c r="D20" s="161" t="s">
        <v>21</v>
      </c>
      <c r="E20" s="14" t="s">
        <v>136</v>
      </c>
      <c r="F20" s="19" t="s">
        <v>137</v>
      </c>
      <c r="G20" s="14" t="s">
        <v>108</v>
      </c>
      <c r="H20" s="14" t="s">
        <v>17</v>
      </c>
      <c r="I20" s="20" t="s">
        <v>138</v>
      </c>
      <c r="J20" s="15" t="s">
        <v>139</v>
      </c>
      <c r="K20" s="15" t="s">
        <v>24</v>
      </c>
      <c r="L20" s="18" t="s">
        <v>140</v>
      </c>
      <c r="M20" s="14" t="s">
        <v>26</v>
      </c>
      <c r="N20" s="21" t="s">
        <v>141</v>
      </c>
    </row>
    <row r="21" spans="1:14" ht="18" x14ac:dyDescent="0.25">
      <c r="A21" s="26"/>
      <c r="B21" s="205" t="s">
        <v>142</v>
      </c>
      <c r="C21" s="206" t="s">
        <v>143</v>
      </c>
      <c r="D21" s="207" t="s">
        <v>144</v>
      </c>
      <c r="E21" s="208" t="s">
        <v>145</v>
      </c>
      <c r="F21" s="209" t="s">
        <v>146</v>
      </c>
      <c r="G21" s="208" t="s">
        <v>147</v>
      </c>
      <c r="H21" s="208" t="s">
        <v>148</v>
      </c>
      <c r="I21" s="210" t="s">
        <v>149</v>
      </c>
      <c r="J21" s="39" t="s">
        <v>150</v>
      </c>
      <c r="K21" s="210" t="s">
        <v>151</v>
      </c>
      <c r="L21" s="211" t="s">
        <v>152</v>
      </c>
      <c r="M21" s="212" t="s">
        <v>153</v>
      </c>
      <c r="N21" s="213" t="s">
        <v>68</v>
      </c>
    </row>
    <row r="22" spans="1:14" x14ac:dyDescent="0.25">
      <c r="A22" s="26">
        <v>1</v>
      </c>
      <c r="B22" s="32">
        <v>-876962.20292905369</v>
      </c>
      <c r="C22" s="33">
        <v>0.87696220292905369</v>
      </c>
      <c r="D22" s="33">
        <v>0.87696220292905369</v>
      </c>
      <c r="E22" s="33">
        <f>1/C22</f>
        <v>1.1403000000000001</v>
      </c>
      <c r="F22" s="33">
        <v>1</v>
      </c>
      <c r="G22" s="37">
        <f>E22*F22</f>
        <v>1.1403000000000001</v>
      </c>
      <c r="H22" s="37">
        <v>0.25277777777777777</v>
      </c>
      <c r="I22" s="35">
        <v>-3.1695013258222198E-3</v>
      </c>
      <c r="J22" s="35">
        <v>0</v>
      </c>
      <c r="K22" s="34">
        <f>B22*G22*H22*(I22+J22)</f>
        <v>801.17950180506114</v>
      </c>
      <c r="L22" s="36">
        <v>1.00236535168462</v>
      </c>
      <c r="M22" s="34">
        <f>K22*L22</f>
        <v>803.07457308933874</v>
      </c>
      <c r="N22" s="38">
        <f>B22*G22*H22*L22</f>
        <v>-253375.68612027896</v>
      </c>
    </row>
    <row r="23" spans="1:14" x14ac:dyDescent="0.25">
      <c r="A23" s="26">
        <v>2</v>
      </c>
      <c r="B23" s="55">
        <v>-876962.20292905369</v>
      </c>
      <c r="C23" s="56">
        <v>0.87696220292905369</v>
      </c>
      <c r="D23" s="56">
        <v>0.86980133315540087</v>
      </c>
      <c r="E23" s="56">
        <f>1/C23</f>
        <v>1.1403000000000001</v>
      </c>
      <c r="F23" s="56">
        <v>1</v>
      </c>
      <c r="G23" s="54">
        <f>E23*F23</f>
        <v>1.1403000000000001</v>
      </c>
      <c r="H23" s="54">
        <v>0.25277777777777777</v>
      </c>
      <c r="I23" s="58">
        <v>-3.1644180339047701E-3</v>
      </c>
      <c r="J23" s="58">
        <v>0</v>
      </c>
      <c r="K23" s="57">
        <f>B23*G23*H23*(I23+J23)</f>
        <v>799.8945585703724</v>
      </c>
      <c r="L23" s="59">
        <v>1.0041822883354501</v>
      </c>
      <c r="M23" s="57">
        <f>K23*L23</f>
        <v>803.23994825227123</v>
      </c>
      <c r="N23" s="60">
        <f>B23*G23*H23*L23</f>
        <v>-253834.96732923877</v>
      </c>
    </row>
    <row r="24" spans="1:14" x14ac:dyDescent="0.25">
      <c r="A24" s="26">
        <v>3</v>
      </c>
      <c r="B24" s="55">
        <v>-876962.20292905369</v>
      </c>
      <c r="C24" s="56">
        <v>0.87696220292905369</v>
      </c>
      <c r="D24" s="56">
        <v>0.86286556533170844</v>
      </c>
      <c r="E24" s="56">
        <f>1/C24</f>
        <v>1.1403000000000001</v>
      </c>
      <c r="F24" s="56">
        <v>1</v>
      </c>
      <c r="G24" s="54">
        <f>E24*F24</f>
        <v>1.1403000000000001</v>
      </c>
      <c r="H24" s="54">
        <v>0.25277777777777777</v>
      </c>
      <c r="I24" s="58">
        <v>-2.8930721879165499E-3</v>
      </c>
      <c r="J24" s="58">
        <v>0</v>
      </c>
      <c r="K24" s="57">
        <f>B24*G24*H24*(I24+J24)</f>
        <v>731.30435861223907</v>
      </c>
      <c r="L24" s="59">
        <v>1.00592632387728</v>
      </c>
      <c r="M24" s="57">
        <f>K24*L24</f>
        <v>735.63830509424167</v>
      </c>
      <c r="N24" s="60">
        <f>B24*G24*H24*L24</f>
        <v>-254275.820757868</v>
      </c>
    </row>
    <row r="25" spans="1:14" x14ac:dyDescent="0.25">
      <c r="A25" s="26">
        <v>4</v>
      </c>
      <c r="B25" s="100">
        <v>-876962.20292905369</v>
      </c>
      <c r="C25" s="101">
        <v>0.87696220292905369</v>
      </c>
      <c r="D25" s="101">
        <v>0.85559656983436139</v>
      </c>
      <c r="E25" s="101">
        <f>1/C25</f>
        <v>1.1403000000000001</v>
      </c>
      <c r="F25" s="101">
        <v>1</v>
      </c>
      <c r="G25" s="98">
        <f>E25*F25</f>
        <v>1.1403000000000001</v>
      </c>
      <c r="H25" s="98">
        <v>0.25277777777777777</v>
      </c>
      <c r="I25" s="103">
        <v>-2.2709270083431498E-3</v>
      </c>
      <c r="J25" s="103">
        <v>0</v>
      </c>
      <c r="K25" s="102">
        <f>B25*G25*H25*(I25+J25)</f>
        <v>574.03988266451847</v>
      </c>
      <c r="L25" s="104">
        <v>1.0078070969733499</v>
      </c>
      <c r="M25" s="102">
        <f>K25*L25</f>
        <v>578.52146769505077</v>
      </c>
      <c r="N25" s="105">
        <f>B25*G25*H25*L25</f>
        <v>-254751.23840159678</v>
      </c>
    </row>
    <row r="26" spans="1:14" x14ac:dyDescent="0.25">
      <c r="L26" s="214" t="s">
        <v>154</v>
      </c>
      <c r="M26" s="215">
        <f>SUM(M22:M25)</f>
        <v>2920.4742941309028</v>
      </c>
      <c r="N26" s="215">
        <f>SUM(N22:N25)</f>
        <v>-1016237.7126089825</v>
      </c>
    </row>
    <row r="27" spans="1:14" x14ac:dyDescent="0.25">
      <c r="M27" s="107"/>
      <c r="N27" s="107"/>
    </row>
    <row r="28" spans="1:14" ht="17.25" x14ac:dyDescent="0.25">
      <c r="B28" s="4" t="s">
        <v>155</v>
      </c>
      <c r="E28" s="203" t="s">
        <v>133</v>
      </c>
      <c r="F28" s="204" t="s">
        <v>134</v>
      </c>
      <c r="G28" s="3"/>
      <c r="H28" s="3"/>
      <c r="L28" s="204" t="s">
        <v>135</v>
      </c>
      <c r="M28" s="107"/>
      <c r="N28" s="107"/>
    </row>
    <row r="29" spans="1:14" x14ac:dyDescent="0.25">
      <c r="B29" s="17" t="s">
        <v>19</v>
      </c>
      <c r="C29" s="161" t="s">
        <v>27</v>
      </c>
      <c r="D29" s="161" t="s">
        <v>21</v>
      </c>
      <c r="E29" s="14" t="s">
        <v>136</v>
      </c>
      <c r="F29" s="19" t="s">
        <v>137</v>
      </c>
      <c r="G29" s="14" t="s">
        <v>108</v>
      </c>
      <c r="H29" s="14" t="s">
        <v>17</v>
      </c>
      <c r="I29" s="20" t="s">
        <v>138</v>
      </c>
      <c r="J29" s="15" t="s">
        <v>139</v>
      </c>
      <c r="K29" s="15" t="s">
        <v>24</v>
      </c>
      <c r="L29" s="18" t="s">
        <v>140</v>
      </c>
      <c r="M29" s="14" t="s">
        <v>26</v>
      </c>
      <c r="N29" s="21" t="s">
        <v>141</v>
      </c>
    </row>
    <row r="30" spans="1:14" ht="18" x14ac:dyDescent="0.25">
      <c r="A30" s="26"/>
      <c r="B30" s="205" t="s">
        <v>156</v>
      </c>
      <c r="C30" s="206" t="s">
        <v>157</v>
      </c>
      <c r="D30" s="207" t="s">
        <v>158</v>
      </c>
      <c r="E30" s="208" t="s">
        <v>145</v>
      </c>
      <c r="F30" s="209" t="s">
        <v>146</v>
      </c>
      <c r="G30" s="208" t="s">
        <v>147</v>
      </c>
      <c r="H30" s="208" t="s">
        <v>148</v>
      </c>
      <c r="I30" s="210" t="s">
        <v>149</v>
      </c>
      <c r="J30" s="39" t="s">
        <v>159</v>
      </c>
      <c r="K30" s="210" t="s">
        <v>151</v>
      </c>
      <c r="L30" s="211" t="s">
        <v>160</v>
      </c>
      <c r="M30" s="212" t="s">
        <v>153</v>
      </c>
      <c r="N30" s="213" t="s">
        <v>68</v>
      </c>
    </row>
    <row r="31" spans="1:14" x14ac:dyDescent="0.25">
      <c r="A31" s="26">
        <v>1</v>
      </c>
      <c r="B31" s="32">
        <v>1000000</v>
      </c>
      <c r="C31" s="33">
        <v>1.1403000000000001</v>
      </c>
      <c r="D31" s="33">
        <v>1.1403000000000001</v>
      </c>
      <c r="E31" s="33">
        <v>1</v>
      </c>
      <c r="F31" s="33">
        <f>D31/C31</f>
        <v>1</v>
      </c>
      <c r="G31" s="37">
        <f>E31*F31</f>
        <v>1</v>
      </c>
      <c r="H31" s="37">
        <v>0.25277777777777777</v>
      </c>
      <c r="I31" s="35">
        <v>2.4747536910397799E-2</v>
      </c>
      <c r="J31" s="35">
        <v>0</v>
      </c>
      <c r="K31" s="34">
        <f>B31*G31*H31*(I31+J31)</f>
        <v>6255.627385683888</v>
      </c>
      <c r="L31" s="36">
        <v>0.99418049750839499</v>
      </c>
      <c r="M31" s="34">
        <f>K31*L31</f>
        <v>6219.2227465263477</v>
      </c>
      <c r="N31" s="38">
        <f>ABS(B31)*G31*H31*L31</f>
        <v>251306.73687017761</v>
      </c>
    </row>
    <row r="32" spans="1:14" x14ac:dyDescent="0.25">
      <c r="A32" s="26">
        <v>2</v>
      </c>
      <c r="B32" s="55">
        <v>1000000</v>
      </c>
      <c r="C32" s="56">
        <v>1.1403000000000001</v>
      </c>
      <c r="D32" s="56">
        <v>1.1496878216687414</v>
      </c>
      <c r="E32" s="56">
        <v>1</v>
      </c>
      <c r="F32" s="56">
        <f>D32/C32</f>
        <v>1.0082327647713245</v>
      </c>
      <c r="G32" s="54">
        <f>E32*F32</f>
        <v>1.0082327647713245</v>
      </c>
      <c r="H32" s="54">
        <v>0.25277777777777777</v>
      </c>
      <c r="I32" s="58">
        <v>2.7958065227277701E-2</v>
      </c>
      <c r="J32" s="58">
        <v>0</v>
      </c>
      <c r="K32" s="57">
        <f>B32*G32*H32*(I32+J32)</f>
        <v>7125.3600098881261</v>
      </c>
      <c r="L32" s="59">
        <v>0.98804066472492502</v>
      </c>
      <c r="M32" s="57">
        <f>K32*L32</f>
        <v>7040.1454405742625</v>
      </c>
      <c r="N32" s="60">
        <f>ABS(B32)*G32*H32*L32</f>
        <v>251810.89547303296</v>
      </c>
    </row>
    <row r="33" spans="1:14" x14ac:dyDescent="0.25">
      <c r="A33" s="26">
        <v>3</v>
      </c>
      <c r="B33" s="55">
        <v>1000000</v>
      </c>
      <c r="C33" s="56">
        <v>1.1403000000000001</v>
      </c>
      <c r="D33" s="56">
        <v>1.1589290848749694</v>
      </c>
      <c r="E33" s="56">
        <v>1</v>
      </c>
      <c r="F33" s="56">
        <f>D33/C33</f>
        <v>1.0163370033105055</v>
      </c>
      <c r="G33" s="54">
        <f>E33*F33</f>
        <v>1.0163370033105055</v>
      </c>
      <c r="H33" s="54">
        <v>0.25277777777777777</v>
      </c>
      <c r="I33" s="58">
        <v>2.9376405846927599E-2</v>
      </c>
      <c r="J33" s="58">
        <v>0</v>
      </c>
      <c r="K33" s="57">
        <f>B33*G33*H33*(I33+J33)</f>
        <v>7547.0163168651779</v>
      </c>
      <c r="L33" s="59">
        <v>0.98141870805932296</v>
      </c>
      <c r="M33" s="57">
        <f>K33*L33</f>
        <v>7406.7830034004528</v>
      </c>
      <c r="N33" s="60">
        <f>ABS(B33)*G33*H33*L33</f>
        <v>252133.73759864189</v>
      </c>
    </row>
    <row r="34" spans="1:14" x14ac:dyDescent="0.25">
      <c r="A34" s="26">
        <v>4</v>
      </c>
      <c r="B34" s="100">
        <v>1000000</v>
      </c>
      <c r="C34" s="101">
        <v>1.1403000000000001</v>
      </c>
      <c r="D34" s="101">
        <v>1.1687751391915868</v>
      </c>
      <c r="E34" s="101">
        <v>1</v>
      </c>
      <c r="F34" s="101">
        <f>D34/C34</f>
        <v>1.0249716207941653</v>
      </c>
      <c r="G34" s="98">
        <f>E34*F34</f>
        <v>1.0249716207941653</v>
      </c>
      <c r="H34" s="98">
        <v>0.25277777777777777</v>
      </c>
      <c r="I34" s="103">
        <v>3.0538343749320799E-2</v>
      </c>
      <c r="J34" s="103">
        <v>0</v>
      </c>
      <c r="K34" s="102">
        <f>B34*G34*H34*(I34+J34)</f>
        <v>7912.1809658585398</v>
      </c>
      <c r="L34" s="104">
        <v>0.97480251014061603</v>
      </c>
      <c r="M34" s="102">
        <f>K34*L34</f>
        <v>7712.8138662057081</v>
      </c>
      <c r="N34" s="105">
        <f>ABS(B34)*G34*H34*L34</f>
        <v>252561.62971763156</v>
      </c>
    </row>
    <row r="35" spans="1:14" x14ac:dyDescent="0.25">
      <c r="L35" s="214" t="s">
        <v>154</v>
      </c>
      <c r="M35" s="215">
        <f>SUM(M31:M34)</f>
        <v>28378.965056706773</v>
      </c>
      <c r="N35" s="215">
        <f>SUM(N31:N34)</f>
        <v>1007812.999659484</v>
      </c>
    </row>
    <row r="36" spans="1:14" x14ac:dyDescent="0.25">
      <c r="L36" s="214"/>
      <c r="M36" s="216"/>
    </row>
    <row r="37" spans="1:14" x14ac:dyDescent="0.25">
      <c r="B37" s="186" t="s">
        <v>161</v>
      </c>
    </row>
    <row r="39" spans="1:14" ht="17.25" x14ac:dyDescent="0.25">
      <c r="B39" s="4" t="s">
        <v>162</v>
      </c>
      <c r="E39" s="203" t="s">
        <v>133</v>
      </c>
      <c r="F39" s="204" t="s">
        <v>134</v>
      </c>
      <c r="I39" s="204" t="s">
        <v>135</v>
      </c>
    </row>
    <row r="40" spans="1:14" x14ac:dyDescent="0.25">
      <c r="B40" s="17" t="s">
        <v>163</v>
      </c>
      <c r="C40" s="161" t="s">
        <v>27</v>
      </c>
      <c r="D40" s="161" t="s">
        <v>21</v>
      </c>
      <c r="E40" s="14" t="s">
        <v>136</v>
      </c>
      <c r="F40" s="19" t="s">
        <v>137</v>
      </c>
      <c r="G40" s="14" t="s">
        <v>108</v>
      </c>
      <c r="H40" s="18" t="s">
        <v>22</v>
      </c>
      <c r="I40" s="18" t="s">
        <v>25</v>
      </c>
      <c r="J40" s="21" t="s">
        <v>164</v>
      </c>
    </row>
    <row r="41" spans="1:14" ht="18" x14ac:dyDescent="0.25">
      <c r="B41" s="205" t="s">
        <v>165</v>
      </c>
      <c r="C41" s="206" t="s">
        <v>143</v>
      </c>
      <c r="D41" s="207" t="s">
        <v>144</v>
      </c>
      <c r="E41" s="208" t="s">
        <v>145</v>
      </c>
      <c r="F41" s="209" t="s">
        <v>146</v>
      </c>
      <c r="G41" s="208" t="s">
        <v>147</v>
      </c>
      <c r="H41" s="212" t="s">
        <v>166</v>
      </c>
      <c r="I41" s="211" t="s">
        <v>152</v>
      </c>
      <c r="J41" s="213" t="s">
        <v>153</v>
      </c>
    </row>
    <row r="42" spans="1:14" x14ac:dyDescent="0.25">
      <c r="A42" s="26">
        <v>0</v>
      </c>
      <c r="B42" s="32">
        <v>-876962.20292905404</v>
      </c>
      <c r="C42" s="33">
        <v>0.87696220292905369</v>
      </c>
      <c r="D42" s="33">
        <v>0.87696220292905369</v>
      </c>
      <c r="E42" s="33">
        <f>1/C42</f>
        <v>1.1403000000000001</v>
      </c>
      <c r="F42" s="33">
        <v>1</v>
      </c>
      <c r="G42" s="33">
        <f>E42*F42</f>
        <v>1.1403000000000001</v>
      </c>
      <c r="H42" s="34">
        <f>-B42*G42</f>
        <v>1000000.0000000003</v>
      </c>
      <c r="I42" s="36">
        <v>1</v>
      </c>
      <c r="J42" s="38">
        <f>H42*I42</f>
        <v>1000000.0000000003</v>
      </c>
    </row>
    <row r="43" spans="1:14" x14ac:dyDescent="0.25">
      <c r="A43" s="26">
        <v>1</v>
      </c>
      <c r="B43" s="32">
        <v>-876962.20292905404</v>
      </c>
      <c r="C43" s="33">
        <v>0.87696220292905369</v>
      </c>
      <c r="D43" s="33">
        <v>0.87696220292905369</v>
      </c>
      <c r="E43" s="33">
        <f>1/C43</f>
        <v>1.1403000000000001</v>
      </c>
      <c r="F43" s="33">
        <v>1</v>
      </c>
      <c r="G43" s="33">
        <f>E43*F43</f>
        <v>1.1403000000000001</v>
      </c>
      <c r="H43" s="34">
        <v>0</v>
      </c>
      <c r="I43" s="36">
        <v>1.00236535168462</v>
      </c>
      <c r="J43" s="38">
        <f>H43*I43</f>
        <v>0</v>
      </c>
    </row>
    <row r="44" spans="1:14" x14ac:dyDescent="0.25">
      <c r="A44" s="26">
        <v>2</v>
      </c>
      <c r="B44" s="55">
        <v>-876962.20292905404</v>
      </c>
      <c r="C44" s="56">
        <v>0.87696220292905369</v>
      </c>
      <c r="D44" s="56">
        <v>0.86980133315540087</v>
      </c>
      <c r="E44" s="56">
        <f>1/C44</f>
        <v>1.1403000000000001</v>
      </c>
      <c r="F44" s="56">
        <v>1</v>
      </c>
      <c r="G44" s="56">
        <f>E44*F44</f>
        <v>1.1403000000000001</v>
      </c>
      <c r="H44" s="57">
        <v>0</v>
      </c>
      <c r="I44" s="59">
        <v>1.0041822883354501</v>
      </c>
      <c r="J44" s="60">
        <f>H44*I44</f>
        <v>0</v>
      </c>
    </row>
    <row r="45" spans="1:14" x14ac:dyDescent="0.25">
      <c r="A45" s="26">
        <v>3</v>
      </c>
      <c r="B45" s="55">
        <v>-876962.20292905404</v>
      </c>
      <c r="C45" s="56">
        <v>0.87696220292905369</v>
      </c>
      <c r="D45" s="56">
        <v>0.86286556533170844</v>
      </c>
      <c r="E45" s="56">
        <f>1/C45</f>
        <v>1.1403000000000001</v>
      </c>
      <c r="F45" s="56">
        <v>1</v>
      </c>
      <c r="G45" s="56">
        <f>E45*F45</f>
        <v>1.1403000000000001</v>
      </c>
      <c r="H45" s="57">
        <v>0</v>
      </c>
      <c r="I45" s="59">
        <v>1.00592632387728</v>
      </c>
      <c r="J45" s="60">
        <f>H45*I45</f>
        <v>0</v>
      </c>
    </row>
    <row r="46" spans="1:14" x14ac:dyDescent="0.25">
      <c r="A46" s="26">
        <v>4</v>
      </c>
      <c r="B46" s="100">
        <v>-876962.20292905404</v>
      </c>
      <c r="C46" s="101">
        <v>0.87696220292905369</v>
      </c>
      <c r="D46" s="101">
        <v>0.85559656983436139</v>
      </c>
      <c r="E46" s="101">
        <f>1/C46</f>
        <v>1.1403000000000001</v>
      </c>
      <c r="F46" s="101">
        <v>1</v>
      </c>
      <c r="G46" s="101">
        <f>E46*F46</f>
        <v>1.1403000000000001</v>
      </c>
      <c r="H46" s="102">
        <f>B46*G46</f>
        <v>-1000000.0000000003</v>
      </c>
      <c r="I46" s="104">
        <v>1.0078070969733499</v>
      </c>
      <c r="J46" s="105">
        <f>H46*I46</f>
        <v>-1007807.0969733503</v>
      </c>
    </row>
    <row r="47" spans="1:14" x14ac:dyDescent="0.25">
      <c r="B47" s="106"/>
      <c r="I47" s="214" t="s">
        <v>154</v>
      </c>
      <c r="J47" s="216">
        <f>SUM(J42:J46)</f>
        <v>-7807.0969733499223</v>
      </c>
    </row>
    <row r="48" spans="1:14" x14ac:dyDescent="0.25">
      <c r="B48" s="106"/>
    </row>
    <row r="49" spans="1:12" ht="17.25" x14ac:dyDescent="0.25">
      <c r="B49" s="4" t="s">
        <v>167</v>
      </c>
      <c r="E49" s="203" t="s">
        <v>133</v>
      </c>
      <c r="F49" s="204" t="s">
        <v>134</v>
      </c>
      <c r="H49" s="110"/>
      <c r="I49" s="204" t="s">
        <v>135</v>
      </c>
    </row>
    <row r="50" spans="1:12" x14ac:dyDescent="0.25">
      <c r="B50" s="17" t="s">
        <v>163</v>
      </c>
      <c r="C50" s="161" t="s">
        <v>27</v>
      </c>
      <c r="D50" s="161" t="s">
        <v>21</v>
      </c>
      <c r="E50" s="14" t="s">
        <v>136</v>
      </c>
      <c r="F50" s="19" t="s">
        <v>137</v>
      </c>
      <c r="G50" s="14" t="s">
        <v>108</v>
      </c>
      <c r="H50" s="18" t="s">
        <v>22</v>
      </c>
      <c r="I50" s="18" t="s">
        <v>25</v>
      </c>
      <c r="J50" s="21" t="s">
        <v>164</v>
      </c>
    </row>
    <row r="51" spans="1:12" ht="18" x14ac:dyDescent="0.25">
      <c r="B51" s="205" t="s">
        <v>168</v>
      </c>
      <c r="C51" s="206" t="s">
        <v>157</v>
      </c>
      <c r="D51" s="207" t="s">
        <v>158</v>
      </c>
      <c r="E51" s="208" t="s">
        <v>145</v>
      </c>
      <c r="F51" s="209" t="s">
        <v>146</v>
      </c>
      <c r="G51" s="208" t="s">
        <v>147</v>
      </c>
      <c r="H51" s="212" t="s">
        <v>166</v>
      </c>
      <c r="I51" s="211" t="s">
        <v>160</v>
      </c>
      <c r="J51" s="213" t="s">
        <v>153</v>
      </c>
    </row>
    <row r="52" spans="1:12" x14ac:dyDescent="0.25">
      <c r="A52" s="26">
        <v>0</v>
      </c>
      <c r="B52" s="32">
        <v>1000000</v>
      </c>
      <c r="C52" s="33">
        <v>1.1403000000000001</v>
      </c>
      <c r="D52" s="33">
        <v>1.1403000000000001</v>
      </c>
      <c r="E52" s="33">
        <v>1</v>
      </c>
      <c r="F52" s="33">
        <f>D52/C52</f>
        <v>1</v>
      </c>
      <c r="G52" s="33">
        <f>E52*F52</f>
        <v>1</v>
      </c>
      <c r="H52" s="34">
        <f>-B52*G52</f>
        <v>-1000000</v>
      </c>
      <c r="I52" s="36">
        <v>1</v>
      </c>
      <c r="J52" s="38">
        <f>H52*I52</f>
        <v>-1000000</v>
      </c>
    </row>
    <row r="53" spans="1:12" x14ac:dyDescent="0.25">
      <c r="A53" s="26">
        <v>1</v>
      </c>
      <c r="B53" s="32">
        <v>1000000</v>
      </c>
      <c r="C53" s="33">
        <v>1.1403000000000001</v>
      </c>
      <c r="D53" s="33">
        <v>1.1403000000000001</v>
      </c>
      <c r="E53" s="33">
        <v>1</v>
      </c>
      <c r="F53" s="33">
        <f>D53/C53</f>
        <v>1</v>
      </c>
      <c r="G53" s="33">
        <f>E53*F53</f>
        <v>1</v>
      </c>
      <c r="H53" s="34">
        <v>0</v>
      </c>
      <c r="I53" s="36">
        <v>0.99418049750839499</v>
      </c>
      <c r="J53" s="38">
        <f>H53*I53</f>
        <v>0</v>
      </c>
    </row>
    <row r="54" spans="1:12" x14ac:dyDescent="0.25">
      <c r="A54" s="26">
        <v>2</v>
      </c>
      <c r="B54" s="55">
        <v>1000000</v>
      </c>
      <c r="C54" s="56">
        <v>1.1403000000000001</v>
      </c>
      <c r="D54" s="56">
        <v>1.1496878216687414</v>
      </c>
      <c r="E54" s="56">
        <v>1</v>
      </c>
      <c r="F54" s="56">
        <f>D54/C54</f>
        <v>1.0082327647713245</v>
      </c>
      <c r="G54" s="56">
        <f>E54*F54</f>
        <v>1.0082327647713245</v>
      </c>
      <c r="H54" s="57">
        <v>0</v>
      </c>
      <c r="I54" s="59">
        <v>0.98804066472492502</v>
      </c>
      <c r="J54" s="60">
        <f>H54*I54</f>
        <v>0</v>
      </c>
    </row>
    <row r="55" spans="1:12" x14ac:dyDescent="0.25">
      <c r="A55" s="26">
        <v>3</v>
      </c>
      <c r="B55" s="55">
        <v>1000000</v>
      </c>
      <c r="C55" s="56">
        <v>1.1403000000000001</v>
      </c>
      <c r="D55" s="56">
        <v>1.1589290848749694</v>
      </c>
      <c r="E55" s="56">
        <v>1</v>
      </c>
      <c r="F55" s="56">
        <f>D55/C55</f>
        <v>1.0163370033105055</v>
      </c>
      <c r="G55" s="56">
        <f>E55*F55</f>
        <v>1.0163370033105055</v>
      </c>
      <c r="H55" s="57">
        <v>0</v>
      </c>
      <c r="I55" s="59">
        <v>0.98141870805932296</v>
      </c>
      <c r="J55" s="60">
        <f>H55*I55</f>
        <v>0</v>
      </c>
      <c r="K55" s="41"/>
    </row>
    <row r="56" spans="1:12" x14ac:dyDescent="0.25">
      <c r="A56" s="26">
        <v>4</v>
      </c>
      <c r="B56" s="100">
        <v>1000000</v>
      </c>
      <c r="C56" s="101">
        <v>1.1403000000000001</v>
      </c>
      <c r="D56" s="101">
        <v>1.1687751391915868</v>
      </c>
      <c r="E56" s="101">
        <v>1</v>
      </c>
      <c r="F56" s="101">
        <f>D56/C56</f>
        <v>1.0249716207941653</v>
      </c>
      <c r="G56" s="101">
        <f>E56*F56</f>
        <v>1.0249716207941653</v>
      </c>
      <c r="H56" s="102">
        <f>B56*G56</f>
        <v>1024971.6207941653</v>
      </c>
      <c r="I56" s="104">
        <v>0.97480251014061603</v>
      </c>
      <c r="J56" s="105">
        <f>H56*I56</f>
        <v>999144.90877304797</v>
      </c>
    </row>
    <row r="57" spans="1:12" x14ac:dyDescent="0.25">
      <c r="I57" s="214" t="s">
        <v>154</v>
      </c>
      <c r="J57" s="216">
        <f>SUM(J52:J56)</f>
        <v>-855.09122695203405</v>
      </c>
    </row>
    <row r="59" spans="1:12" x14ac:dyDescent="0.25">
      <c r="B59" s="186" t="s">
        <v>169</v>
      </c>
    </row>
    <row r="61" spans="1:12" ht="17.25" x14ac:dyDescent="0.25">
      <c r="B61" s="4" t="s">
        <v>170</v>
      </c>
      <c r="E61" s="203" t="s">
        <v>133</v>
      </c>
      <c r="F61" s="204" t="s">
        <v>134</v>
      </c>
      <c r="J61" s="203"/>
      <c r="K61" s="204" t="s">
        <v>135</v>
      </c>
    </row>
    <row r="62" spans="1:12" ht="17.25" x14ac:dyDescent="0.25">
      <c r="B62" s="17" t="s">
        <v>163</v>
      </c>
      <c r="C62" s="161" t="s">
        <v>27</v>
      </c>
      <c r="D62" s="161" t="s">
        <v>21</v>
      </c>
      <c r="E62" s="14" t="s">
        <v>136</v>
      </c>
      <c r="F62" s="19" t="s">
        <v>137</v>
      </c>
      <c r="G62" s="14" t="s">
        <v>108</v>
      </c>
      <c r="H62" s="14" t="s">
        <v>171</v>
      </c>
      <c r="I62" s="14" t="s">
        <v>172</v>
      </c>
      <c r="J62" s="14" t="s">
        <v>173</v>
      </c>
      <c r="K62" s="18" t="s">
        <v>25</v>
      </c>
      <c r="L62" s="21" t="s">
        <v>164</v>
      </c>
    </row>
    <row r="63" spans="1:12" ht="18" x14ac:dyDescent="0.25">
      <c r="B63" s="205" t="s">
        <v>165</v>
      </c>
      <c r="C63" s="206" t="s">
        <v>143</v>
      </c>
      <c r="D63" s="207" t="s">
        <v>144</v>
      </c>
      <c r="E63" s="208" t="s">
        <v>145</v>
      </c>
      <c r="F63" s="209" t="s">
        <v>146</v>
      </c>
      <c r="G63" s="208" t="s">
        <v>147</v>
      </c>
      <c r="H63" s="212" t="s">
        <v>174</v>
      </c>
      <c r="I63" s="217" t="s">
        <v>175</v>
      </c>
      <c r="J63" s="212" t="s">
        <v>176</v>
      </c>
      <c r="K63" s="211" t="s">
        <v>152</v>
      </c>
      <c r="L63" s="213" t="s">
        <v>153</v>
      </c>
    </row>
    <row r="64" spans="1:12" x14ac:dyDescent="0.25">
      <c r="A64" s="26">
        <v>0</v>
      </c>
      <c r="B64" s="32">
        <v>-876962.20292905404</v>
      </c>
      <c r="C64" s="33">
        <v>0.87696220292905369</v>
      </c>
      <c r="D64" s="33">
        <v>0.87696220292905369</v>
      </c>
      <c r="E64" s="33">
        <f>1/C64</f>
        <v>1.1403000000000001</v>
      </c>
      <c r="F64" s="33">
        <v>1</v>
      </c>
      <c r="G64" s="33">
        <f>E64*F64</f>
        <v>1.1403000000000001</v>
      </c>
      <c r="H64" s="34">
        <v>1</v>
      </c>
      <c r="I64" s="34">
        <v>0</v>
      </c>
      <c r="J64" s="34">
        <f>(B64*(G64-G65))*H64*I64</f>
        <v>0</v>
      </c>
      <c r="K64" s="36">
        <v>1</v>
      </c>
      <c r="L64" s="38">
        <f>J64*K64</f>
        <v>0</v>
      </c>
    </row>
    <row r="65" spans="1:13" x14ac:dyDescent="0.25">
      <c r="A65" s="26">
        <v>1</v>
      </c>
      <c r="B65" s="32">
        <v>-876962.20292905404</v>
      </c>
      <c r="C65" s="33">
        <v>0.87696220292905369</v>
      </c>
      <c r="D65" s="33">
        <v>0.87696220292905369</v>
      </c>
      <c r="E65" s="33">
        <f>1/C65</f>
        <v>1.1403000000000001</v>
      </c>
      <c r="F65" s="33">
        <v>1</v>
      </c>
      <c r="G65" s="33">
        <f>E65*F65</f>
        <v>1.1403000000000001</v>
      </c>
      <c r="H65" s="34">
        <v>1</v>
      </c>
      <c r="I65" s="34">
        <v>0</v>
      </c>
      <c r="J65" s="34">
        <f>(B65*(G65-G66))*H65*I65</f>
        <v>0</v>
      </c>
      <c r="K65" s="36">
        <v>1.00236535168462</v>
      </c>
      <c r="L65" s="38">
        <f>J65*K65</f>
        <v>0</v>
      </c>
    </row>
    <row r="66" spans="1:13" x14ac:dyDescent="0.25">
      <c r="A66" s="26">
        <v>2</v>
      </c>
      <c r="B66" s="55">
        <v>-876962.20292905404</v>
      </c>
      <c r="C66" s="56">
        <v>0.87696220292905369</v>
      </c>
      <c r="D66" s="56">
        <v>0.86980133315540087</v>
      </c>
      <c r="E66" s="56">
        <f>1/C66</f>
        <v>1.1403000000000001</v>
      </c>
      <c r="F66" s="56">
        <v>1</v>
      </c>
      <c r="G66" s="56">
        <f>E66*F66</f>
        <v>1.1403000000000001</v>
      </c>
      <c r="H66" s="57">
        <v>1</v>
      </c>
      <c r="I66" s="57">
        <v>0</v>
      </c>
      <c r="J66" s="57">
        <f>(B66*(G66-G67))*H66*I66</f>
        <v>0</v>
      </c>
      <c r="K66" s="59">
        <v>1.0041822883354501</v>
      </c>
      <c r="L66" s="60">
        <f>J66*K66</f>
        <v>0</v>
      </c>
    </row>
    <row r="67" spans="1:13" x14ac:dyDescent="0.25">
      <c r="A67" s="26">
        <v>3</v>
      </c>
      <c r="B67" s="55">
        <v>-876962.20292905404</v>
      </c>
      <c r="C67" s="56">
        <v>0.87696220292905369</v>
      </c>
      <c r="D67" s="56">
        <v>0.86286556533170844</v>
      </c>
      <c r="E67" s="56">
        <f>1/C67</f>
        <v>1.1403000000000001</v>
      </c>
      <c r="F67" s="56">
        <v>1</v>
      </c>
      <c r="G67" s="56">
        <f>E67*F67</f>
        <v>1.1403000000000001</v>
      </c>
      <c r="H67" s="57">
        <v>1</v>
      </c>
      <c r="I67" s="57">
        <v>0</v>
      </c>
      <c r="J67" s="57">
        <f>(B67*(G67-G68))*H67*I67</f>
        <v>0</v>
      </c>
      <c r="K67" s="59">
        <v>1.00592632387728</v>
      </c>
      <c r="L67" s="60">
        <f>J67*K67</f>
        <v>0</v>
      </c>
    </row>
    <row r="68" spans="1:13" x14ac:dyDescent="0.25">
      <c r="A68" s="26">
        <v>4</v>
      </c>
      <c r="B68" s="100">
        <v>-876962.20292905404</v>
      </c>
      <c r="C68" s="101">
        <v>0.87696220292905369</v>
      </c>
      <c r="D68" s="101">
        <v>0.85559656983436139</v>
      </c>
      <c r="E68" s="101">
        <f>1/C68</f>
        <v>1.1403000000000001</v>
      </c>
      <c r="F68" s="101">
        <v>1</v>
      </c>
      <c r="G68" s="101">
        <f>E68*F68</f>
        <v>1.1403000000000001</v>
      </c>
      <c r="H68" s="102">
        <v>1</v>
      </c>
      <c r="I68" s="102">
        <v>0</v>
      </c>
      <c r="J68" s="102">
        <v>0</v>
      </c>
      <c r="K68" s="104">
        <v>1.0078070969733499</v>
      </c>
      <c r="L68" s="105">
        <f>J68*K68</f>
        <v>0</v>
      </c>
    </row>
    <row r="69" spans="1:13" x14ac:dyDescent="0.25">
      <c r="B69" s="106"/>
      <c r="K69" s="214" t="s">
        <v>154</v>
      </c>
      <c r="L69" s="216">
        <f>SUM(L64:L68)</f>
        <v>0</v>
      </c>
    </row>
    <row r="70" spans="1:13" x14ac:dyDescent="0.25">
      <c r="B70" s="106"/>
    </row>
    <row r="71" spans="1:13" ht="17.25" x14ac:dyDescent="0.25">
      <c r="B71" s="4" t="s">
        <v>177</v>
      </c>
      <c r="E71" s="203" t="s">
        <v>133</v>
      </c>
      <c r="F71" s="204" t="s">
        <v>134</v>
      </c>
      <c r="G71" s="110"/>
      <c r="H71" s="203"/>
      <c r="I71" s="203"/>
      <c r="J71" s="203"/>
      <c r="K71" s="204" t="s">
        <v>135</v>
      </c>
    </row>
    <row r="72" spans="1:13" ht="17.25" x14ac:dyDescent="0.25">
      <c r="B72" s="17" t="s">
        <v>163</v>
      </c>
      <c r="C72" s="161" t="s">
        <v>27</v>
      </c>
      <c r="D72" s="161" t="s">
        <v>21</v>
      </c>
      <c r="E72" s="14" t="s">
        <v>136</v>
      </c>
      <c r="F72" s="19" t="s">
        <v>137</v>
      </c>
      <c r="G72" s="14" t="s">
        <v>108</v>
      </c>
      <c r="H72" s="14" t="s">
        <v>171</v>
      </c>
      <c r="I72" s="14" t="s">
        <v>172</v>
      </c>
      <c r="J72" s="14" t="s">
        <v>173</v>
      </c>
      <c r="K72" s="18" t="s">
        <v>25</v>
      </c>
      <c r="L72" s="21" t="s">
        <v>164</v>
      </c>
    </row>
    <row r="73" spans="1:13" ht="18" x14ac:dyDescent="0.25">
      <c r="B73" s="205" t="s">
        <v>168</v>
      </c>
      <c r="C73" s="206" t="s">
        <v>157</v>
      </c>
      <c r="D73" s="207" t="s">
        <v>158</v>
      </c>
      <c r="E73" s="208" t="s">
        <v>145</v>
      </c>
      <c r="F73" s="209" t="s">
        <v>146</v>
      </c>
      <c r="G73" s="208" t="s">
        <v>147</v>
      </c>
      <c r="H73" s="212" t="s">
        <v>174</v>
      </c>
      <c r="I73" s="217" t="s">
        <v>175</v>
      </c>
      <c r="J73" s="212" t="s">
        <v>176</v>
      </c>
      <c r="K73" s="211" t="s">
        <v>160</v>
      </c>
      <c r="L73" s="213" t="s">
        <v>153</v>
      </c>
    </row>
    <row r="74" spans="1:13" x14ac:dyDescent="0.25">
      <c r="A74" s="26">
        <v>0</v>
      </c>
      <c r="B74" s="32">
        <v>1000000</v>
      </c>
      <c r="C74" s="33">
        <v>1.1403000000000001</v>
      </c>
      <c r="D74" s="33">
        <v>1.1403000000000001</v>
      </c>
      <c r="E74" s="33">
        <v>1</v>
      </c>
      <c r="F74" s="33">
        <f>D74/C74</f>
        <v>1</v>
      </c>
      <c r="G74" s="33">
        <f>E74*F74</f>
        <v>1</v>
      </c>
      <c r="H74" s="34">
        <v>1</v>
      </c>
      <c r="I74" s="34">
        <v>1</v>
      </c>
      <c r="J74" s="34">
        <f>(B74*(G74-G75))*H74*I74</f>
        <v>0</v>
      </c>
      <c r="K74" s="36">
        <v>1</v>
      </c>
      <c r="L74" s="38">
        <f>J74*K74</f>
        <v>0</v>
      </c>
    </row>
    <row r="75" spans="1:13" x14ac:dyDescent="0.25">
      <c r="A75" s="26">
        <v>1</v>
      </c>
      <c r="B75" s="32">
        <v>1000000</v>
      </c>
      <c r="C75" s="33">
        <v>1.1403000000000001</v>
      </c>
      <c r="D75" s="33">
        <v>1.1403000000000001</v>
      </c>
      <c r="E75" s="33">
        <v>1</v>
      </c>
      <c r="F75" s="33">
        <f>D75/C75</f>
        <v>1</v>
      </c>
      <c r="G75" s="33">
        <f>E75*F75</f>
        <v>1</v>
      </c>
      <c r="H75" s="34">
        <v>1</v>
      </c>
      <c r="I75" s="34">
        <v>1</v>
      </c>
      <c r="J75" s="34">
        <f>(B75*(G75-G76))*H75*I75</f>
        <v>-8232.7647713245078</v>
      </c>
      <c r="K75" s="36">
        <v>0.99418049750839499</v>
      </c>
      <c r="L75" s="38">
        <f>J75*K75</f>
        <v>-8184.854176224987</v>
      </c>
      <c r="M75" s="3"/>
    </row>
    <row r="76" spans="1:13" x14ac:dyDescent="0.25">
      <c r="A76" s="26">
        <v>2</v>
      </c>
      <c r="B76" s="55">
        <v>1000000</v>
      </c>
      <c r="C76" s="56">
        <v>1.1403000000000001</v>
      </c>
      <c r="D76" s="56">
        <v>1.1496878216687414</v>
      </c>
      <c r="E76" s="56">
        <v>1</v>
      </c>
      <c r="F76" s="56">
        <f>D76/C76</f>
        <v>1.0082327647713245</v>
      </c>
      <c r="G76" s="56">
        <f>E76*F76</f>
        <v>1.0082327647713245</v>
      </c>
      <c r="H76" s="57">
        <v>1</v>
      </c>
      <c r="I76" s="57">
        <v>1</v>
      </c>
      <c r="J76" s="57">
        <f>(B76*(G76-G77))*H76*I76</f>
        <v>-8104.2385391809639</v>
      </c>
      <c r="K76" s="59">
        <v>0.98804066472492502</v>
      </c>
      <c r="L76" s="60">
        <f>J76*K76</f>
        <v>-8007.3172333417151</v>
      </c>
      <c r="M76" s="3"/>
    </row>
    <row r="77" spans="1:13" x14ac:dyDescent="0.25">
      <c r="A77" s="26">
        <v>3</v>
      </c>
      <c r="B77" s="55">
        <v>1000000</v>
      </c>
      <c r="C77" s="56">
        <v>1.1403000000000001</v>
      </c>
      <c r="D77" s="56">
        <v>1.1589290848749694</v>
      </c>
      <c r="E77" s="56">
        <v>1</v>
      </c>
      <c r="F77" s="56">
        <f>D77/C77</f>
        <v>1.0163370033105055</v>
      </c>
      <c r="G77" s="56">
        <f>E77*F77</f>
        <v>1.0163370033105055</v>
      </c>
      <c r="H77" s="57">
        <v>1</v>
      </c>
      <c r="I77" s="57">
        <v>1</v>
      </c>
      <c r="J77" s="57">
        <f>(B77*(G77-G78))*H77*I77</f>
        <v>-8634.6174836597893</v>
      </c>
      <c r="K77" s="59">
        <v>0.98141870805932296</v>
      </c>
      <c r="L77" s="60">
        <f>J77*K77</f>
        <v>-8474.1751353998334</v>
      </c>
      <c r="M77" s="3"/>
    </row>
    <row r="78" spans="1:13" x14ac:dyDescent="0.25">
      <c r="A78" s="26">
        <v>4</v>
      </c>
      <c r="B78" s="100">
        <v>1000000</v>
      </c>
      <c r="C78" s="101">
        <v>1.1403000000000001</v>
      </c>
      <c r="D78" s="101">
        <v>1.1687751391915868</v>
      </c>
      <c r="E78" s="101">
        <v>1</v>
      </c>
      <c r="F78" s="101">
        <f>D78/C78</f>
        <v>1.0249716207941653</v>
      </c>
      <c r="G78" s="101">
        <f>E78*F78</f>
        <v>1.0249716207941653</v>
      </c>
      <c r="H78" s="102">
        <v>1</v>
      </c>
      <c r="I78" s="102">
        <v>1</v>
      </c>
      <c r="J78" s="102">
        <v>0</v>
      </c>
      <c r="K78" s="104">
        <v>0.97480251014061603</v>
      </c>
      <c r="L78" s="105">
        <f>J78*K78</f>
        <v>0</v>
      </c>
      <c r="M78" s="3"/>
    </row>
    <row r="79" spans="1:13" x14ac:dyDescent="0.25">
      <c r="K79" s="214" t="s">
        <v>154</v>
      </c>
      <c r="L79" s="216">
        <f>SUM(L74:L78)</f>
        <v>-24666.346544966535</v>
      </c>
    </row>
    <row r="80" spans="1:13" x14ac:dyDescent="0.25">
      <c r="I80" s="214"/>
      <c r="J80" s="216"/>
    </row>
    <row r="81" spans="2:8" ht="18" x14ac:dyDescent="0.35">
      <c r="B81" s="4" t="s">
        <v>2</v>
      </c>
      <c r="F81" s="4" t="s">
        <v>2</v>
      </c>
    </row>
    <row r="82" spans="2:8" x14ac:dyDescent="0.25">
      <c r="B82" s="9" t="s">
        <v>12</v>
      </c>
      <c r="C82" s="10">
        <v>43399</v>
      </c>
      <c r="D82" s="11"/>
      <c r="F82" s="9" t="s">
        <v>12</v>
      </c>
      <c r="G82" s="10">
        <v>43399</v>
      </c>
      <c r="H82" s="11"/>
    </row>
    <row r="83" spans="2:8" x14ac:dyDescent="0.25">
      <c r="B83" s="23" t="s">
        <v>29</v>
      </c>
      <c r="C83" s="24" t="s">
        <v>74</v>
      </c>
      <c r="D83" s="25">
        <v>43764</v>
      </c>
      <c r="F83" s="23" t="s">
        <v>29</v>
      </c>
      <c r="G83" s="24" t="s">
        <v>74</v>
      </c>
      <c r="H83" s="25">
        <v>43764</v>
      </c>
    </row>
    <row r="84" spans="2:8" x14ac:dyDescent="0.25">
      <c r="B84" s="23" t="s">
        <v>33</v>
      </c>
      <c r="C84" s="42">
        <v>1000000</v>
      </c>
      <c r="D84" s="43"/>
      <c r="F84" s="23" t="s">
        <v>33</v>
      </c>
      <c r="G84" s="42">
        <v>1000000</v>
      </c>
      <c r="H84" s="43"/>
    </row>
    <row r="85" spans="2:8" x14ac:dyDescent="0.25">
      <c r="B85" s="23" t="s">
        <v>35</v>
      </c>
      <c r="C85" s="50" t="s">
        <v>36</v>
      </c>
      <c r="D85" s="43"/>
      <c r="F85" s="23" t="s">
        <v>35</v>
      </c>
      <c r="G85" s="50" t="s">
        <v>36</v>
      </c>
      <c r="H85" s="43"/>
    </row>
    <row r="86" spans="2:8" x14ac:dyDescent="0.25">
      <c r="B86" s="65" t="s">
        <v>37</v>
      </c>
      <c r="C86" s="66" t="s">
        <v>38</v>
      </c>
      <c r="D86" s="43"/>
      <c r="F86" s="65" t="s">
        <v>37</v>
      </c>
      <c r="G86" s="66" t="s">
        <v>38</v>
      </c>
      <c r="H86" s="43"/>
    </row>
    <row r="87" spans="2:8" x14ac:dyDescent="0.25">
      <c r="B87" s="65" t="s">
        <v>39</v>
      </c>
      <c r="C87" s="67" t="s">
        <v>38</v>
      </c>
      <c r="D87" s="43"/>
      <c r="F87" s="65" t="s">
        <v>39</v>
      </c>
      <c r="G87" s="67" t="s">
        <v>38</v>
      </c>
      <c r="H87" s="43"/>
    </row>
    <row r="88" spans="2:8" x14ac:dyDescent="0.25">
      <c r="B88" s="23" t="s">
        <v>40</v>
      </c>
      <c r="C88" s="50" t="s">
        <v>36</v>
      </c>
      <c r="D88" s="68" t="s">
        <v>36</v>
      </c>
      <c r="F88" s="23" t="s">
        <v>40</v>
      </c>
      <c r="G88" s="50" t="s">
        <v>36</v>
      </c>
      <c r="H88" s="68" t="s">
        <v>36</v>
      </c>
    </row>
    <row r="89" spans="2:8" ht="15.75" thickBot="1" x14ac:dyDescent="0.3">
      <c r="B89" s="65" t="s">
        <v>41</v>
      </c>
      <c r="C89" s="50" t="s">
        <v>36</v>
      </c>
      <c r="D89" s="43"/>
      <c r="F89" s="65" t="s">
        <v>41</v>
      </c>
      <c r="G89" s="50" t="s">
        <v>36</v>
      </c>
      <c r="H89" s="43"/>
    </row>
    <row r="90" spans="2:8" ht="15.75" thickTop="1" x14ac:dyDescent="0.25">
      <c r="B90" s="69" t="s">
        <v>42</v>
      </c>
      <c r="C90" s="70" t="s">
        <v>36</v>
      </c>
      <c r="D90" s="71"/>
      <c r="F90" s="69" t="s">
        <v>42</v>
      </c>
      <c r="G90" s="70" t="s">
        <v>36</v>
      </c>
      <c r="H90" s="71"/>
    </row>
    <row r="91" spans="2:8" ht="15.75" thickBot="1" x14ac:dyDescent="0.3">
      <c r="B91" s="73" t="s">
        <v>27</v>
      </c>
      <c r="C91" s="74">
        <v>1.1403000000000001</v>
      </c>
      <c r="D91" s="75" t="s">
        <v>178</v>
      </c>
      <c r="F91" s="73" t="s">
        <v>27</v>
      </c>
      <c r="G91" s="74">
        <v>1.1403000000000001</v>
      </c>
      <c r="H91" s="75" t="s">
        <v>178</v>
      </c>
    </row>
    <row r="92" spans="2:8" ht="15.75" thickTop="1" x14ac:dyDescent="0.25">
      <c r="B92" s="23" t="s">
        <v>43</v>
      </c>
      <c r="C92" s="76" t="s">
        <v>44</v>
      </c>
      <c r="D92" s="77" t="s">
        <v>36</v>
      </c>
      <c r="F92" s="23" t="s">
        <v>43</v>
      </c>
      <c r="G92" s="76" t="s">
        <v>44</v>
      </c>
      <c r="H92" s="77" t="s">
        <v>36</v>
      </c>
    </row>
    <row r="93" spans="2:8" x14ac:dyDescent="0.25">
      <c r="B93" s="23" t="s">
        <v>45</v>
      </c>
      <c r="C93" s="55">
        <v>876962.20292905369</v>
      </c>
      <c r="D93" s="60">
        <v>1000000</v>
      </c>
      <c r="F93" s="23" t="s">
        <v>45</v>
      </c>
      <c r="G93" s="55">
        <v>876962.20292905369</v>
      </c>
      <c r="H93" s="60">
        <v>1000000</v>
      </c>
    </row>
    <row r="94" spans="2:8" x14ac:dyDescent="0.25">
      <c r="B94" s="65" t="s">
        <v>46</v>
      </c>
      <c r="C94" s="78" t="s">
        <v>47</v>
      </c>
      <c r="D94" s="79" t="s">
        <v>48</v>
      </c>
      <c r="F94" s="65" t="s">
        <v>46</v>
      </c>
      <c r="G94" s="78" t="s">
        <v>47</v>
      </c>
      <c r="H94" s="79" t="s">
        <v>48</v>
      </c>
    </row>
    <row r="95" spans="2:8" x14ac:dyDescent="0.25">
      <c r="B95" s="65" t="s">
        <v>49</v>
      </c>
      <c r="C95" s="78" t="s">
        <v>179</v>
      </c>
      <c r="D95" s="79" t="s">
        <v>50</v>
      </c>
      <c r="F95" s="65" t="s">
        <v>49</v>
      </c>
      <c r="G95" s="78" t="s">
        <v>179</v>
      </c>
      <c r="H95" s="79" t="s">
        <v>50</v>
      </c>
    </row>
    <row r="96" spans="2:8" x14ac:dyDescent="0.25">
      <c r="B96" s="65" t="s">
        <v>51</v>
      </c>
      <c r="C96" s="218">
        <v>0</v>
      </c>
      <c r="D96" s="81">
        <v>0</v>
      </c>
      <c r="F96" s="65" t="s">
        <v>51</v>
      </c>
      <c r="G96" s="218">
        <v>-4.8704841664012153E-3</v>
      </c>
      <c r="H96" s="81">
        <v>0</v>
      </c>
    </row>
    <row r="97" spans="2:8" x14ac:dyDescent="0.25">
      <c r="B97" s="65" t="s">
        <v>52</v>
      </c>
      <c r="C97" s="82" t="s">
        <v>31</v>
      </c>
      <c r="D97" s="83" t="s">
        <v>6</v>
      </c>
      <c r="F97" s="65" t="s">
        <v>52</v>
      </c>
      <c r="G97" s="82" t="s">
        <v>31</v>
      </c>
      <c r="H97" s="83" t="s">
        <v>6</v>
      </c>
    </row>
    <row r="98" spans="2:8" x14ac:dyDescent="0.25">
      <c r="B98" s="65" t="s">
        <v>53</v>
      </c>
      <c r="C98" s="84" t="s">
        <v>54</v>
      </c>
      <c r="D98" s="85" t="s">
        <v>54</v>
      </c>
      <c r="F98" s="65" t="s">
        <v>53</v>
      </c>
      <c r="G98" s="84" t="s">
        <v>54</v>
      </c>
      <c r="H98" s="85" t="s">
        <v>54</v>
      </c>
    </row>
    <row r="99" spans="2:8" x14ac:dyDescent="0.25">
      <c r="B99" s="65" t="s">
        <v>55</v>
      </c>
      <c r="C99" s="86" t="s">
        <v>61</v>
      </c>
      <c r="D99" s="87" t="s">
        <v>38</v>
      </c>
      <c r="F99" s="65" t="s">
        <v>55</v>
      </c>
      <c r="G99" s="86" t="s">
        <v>61</v>
      </c>
      <c r="H99" s="87" t="s">
        <v>38</v>
      </c>
    </row>
    <row r="100" spans="2:8" x14ac:dyDescent="0.25">
      <c r="B100" s="65" t="s">
        <v>56</v>
      </c>
      <c r="C100" s="88">
        <v>0.87696220292905369</v>
      </c>
      <c r="D100" s="89">
        <v>1.1403000000000001</v>
      </c>
      <c r="F100" s="65" t="s">
        <v>56</v>
      </c>
      <c r="G100" s="88">
        <v>0.87696220292905369</v>
      </c>
      <c r="H100" s="89">
        <v>1.1403000000000001</v>
      </c>
    </row>
    <row r="101" spans="2:8" x14ac:dyDescent="0.25">
      <c r="B101" s="65" t="s">
        <v>57</v>
      </c>
      <c r="C101" s="88">
        <v>1.1403000000000001</v>
      </c>
      <c r="D101" s="89">
        <v>1</v>
      </c>
      <c r="F101" s="65" t="s">
        <v>57</v>
      </c>
      <c r="G101" s="88">
        <v>1.1403000000000001</v>
      </c>
      <c r="H101" s="89">
        <v>1</v>
      </c>
    </row>
    <row r="102" spans="2:8" x14ac:dyDescent="0.25">
      <c r="B102" s="65" t="s">
        <v>58</v>
      </c>
      <c r="C102" s="90" t="s">
        <v>59</v>
      </c>
      <c r="D102" s="91" t="s">
        <v>59</v>
      </c>
      <c r="F102" s="65" t="s">
        <v>58</v>
      </c>
      <c r="G102" s="90" t="s">
        <v>59</v>
      </c>
      <c r="H102" s="91" t="s">
        <v>59</v>
      </c>
    </row>
    <row r="103" spans="2:8" x14ac:dyDescent="0.25">
      <c r="B103" s="92" t="s">
        <v>60</v>
      </c>
      <c r="C103" s="93" t="s">
        <v>61</v>
      </c>
      <c r="D103" s="94" t="s">
        <v>61</v>
      </c>
      <c r="F103" s="92" t="s">
        <v>60</v>
      </c>
      <c r="G103" s="93" t="s">
        <v>61</v>
      </c>
      <c r="H103" s="94" t="s">
        <v>61</v>
      </c>
    </row>
    <row r="105" spans="2:8" x14ac:dyDescent="0.25">
      <c r="B105" s="4" t="s">
        <v>180</v>
      </c>
      <c r="C105" s="108"/>
      <c r="F105" s="4" t="s">
        <v>181</v>
      </c>
      <c r="G105" s="108" t="str">
        <f>"LEG1: "&amp;G92</f>
        <v>LEG1: EUR</v>
      </c>
      <c r="H105" s="108" t="str">
        <f>"LEG2: "&amp;H92</f>
        <v>LEG2: USD</v>
      </c>
    </row>
    <row r="106" spans="2:8" x14ac:dyDescent="0.25">
      <c r="B106" s="219" t="s">
        <v>66</v>
      </c>
      <c r="C106" s="220">
        <v>-4949.5696885618381</v>
      </c>
      <c r="F106" s="112" t="s">
        <v>65</v>
      </c>
      <c r="G106" s="113">
        <v>-2857.5272847880842</v>
      </c>
      <c r="H106" s="114">
        <v>2857.5272847880842</v>
      </c>
    </row>
    <row r="107" spans="2:8" ht="15.75" thickBot="1" x14ac:dyDescent="0.3">
      <c r="B107" s="221" t="s">
        <v>68</v>
      </c>
      <c r="C107" s="222">
        <v>-1016237.7126089825</v>
      </c>
      <c r="F107" s="115" t="s">
        <v>66</v>
      </c>
      <c r="G107" s="223">
        <v>0</v>
      </c>
      <c r="H107" s="117" t="s">
        <v>36</v>
      </c>
    </row>
    <row r="108" spans="2:8" ht="15.75" thickTop="1" x14ac:dyDescent="0.25">
      <c r="B108" s="224" t="s">
        <v>182</v>
      </c>
      <c r="C108" s="225">
        <f>-C106/C107</f>
        <v>-4.8704841664012153E-3</v>
      </c>
    </row>
  </sheetData>
  <dataValidations count="6">
    <dataValidation type="list" allowBlank="1" showInputMessage="1" showErrorMessage="1" sqref="C83 G83">
      <formula1>"1Y,2Y,3Y,4Y,5Y"</formula1>
    </dataValidation>
    <dataValidation type="list" allowBlank="1" showInputMessage="1" showErrorMessage="1" sqref="C85 C88:C90 G85 G88:G90">
      <formula1>"EUR,USD"</formula1>
    </dataValidation>
    <dataValidation type="list" allowBlank="1" showInputMessage="1" showErrorMessage="1" sqref="C86:C87 C103:D103 G86:G87 G103:H103">
      <formula1>"YES,NO"</formula1>
    </dataValidation>
    <dataValidation type="list" allowBlank="1" showInputMessage="1" showErrorMessage="1" sqref="C95:D95 G95:H95">
      <formula1>"FIXED,FLOATING"</formula1>
    </dataValidation>
    <dataValidation type="list" allowBlank="1" showInputMessage="1" showErrorMessage="1" sqref="C102:D102 G102:H102">
      <formula1>"ACT/360,ACT/365"</formula1>
    </dataValidation>
    <dataValidation type="list" allowBlank="1" showInputMessage="1" showErrorMessage="1" sqref="C94:D94 G94:H94">
      <formula1>"PAY,RECEIVE"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showGridLines="0" zoomScale="80" zoomScaleNormal="80" workbookViewId="0"/>
  </sheetViews>
  <sheetFormatPr defaultRowHeight="15" x14ac:dyDescent="0.25"/>
  <sheetData>
    <row r="2" spans="2:13" x14ac:dyDescent="0.25">
      <c r="C2" s="254" t="s">
        <v>200</v>
      </c>
      <c r="D2" s="254"/>
      <c r="E2" s="256"/>
      <c r="K2" s="255" t="s">
        <v>202</v>
      </c>
      <c r="L2" s="255"/>
      <c r="M2" s="255"/>
    </row>
    <row r="3" spans="2:13" x14ac:dyDescent="0.25">
      <c r="H3" s="250" t="s">
        <v>196</v>
      </c>
    </row>
    <row r="4" spans="2:13" x14ac:dyDescent="0.25">
      <c r="H4" s="251" t="s">
        <v>199</v>
      </c>
    </row>
    <row r="6" spans="2:13" x14ac:dyDescent="0.25">
      <c r="F6" s="2" t="s">
        <v>196</v>
      </c>
      <c r="J6" s="2" t="s">
        <v>196</v>
      </c>
    </row>
    <row r="7" spans="2:13" x14ac:dyDescent="0.25">
      <c r="B7" s="4" t="s">
        <v>204</v>
      </c>
    </row>
    <row r="8" spans="2:13" x14ac:dyDescent="0.25">
      <c r="H8" s="2" t="s">
        <v>196</v>
      </c>
    </row>
    <row r="11" spans="2:13" x14ac:dyDescent="0.25">
      <c r="K11" s="249" t="s">
        <v>196</v>
      </c>
    </row>
    <row r="16" spans="2:13" ht="21" thickBot="1" x14ac:dyDescent="0.3">
      <c r="C16" s="245" t="s">
        <v>195</v>
      </c>
      <c r="D16" s="244"/>
      <c r="E16" s="244"/>
      <c r="F16" s="245" t="s">
        <v>194</v>
      </c>
      <c r="G16" s="244"/>
      <c r="H16" s="245" t="s">
        <v>193</v>
      </c>
      <c r="I16" s="244"/>
      <c r="J16" s="245" t="s">
        <v>192</v>
      </c>
      <c r="K16" s="244"/>
      <c r="L16" s="246"/>
      <c r="M16" s="245" t="s">
        <v>191</v>
      </c>
    </row>
    <row r="17" spans="2:13" x14ac:dyDescent="0.25">
      <c r="D17" s="107"/>
      <c r="E17" s="107"/>
      <c r="F17" s="107"/>
      <c r="G17" s="107"/>
      <c r="H17" s="107"/>
      <c r="I17" s="107"/>
      <c r="J17" s="107"/>
      <c r="K17" s="107"/>
      <c r="L17" s="107"/>
      <c r="M17" s="107"/>
    </row>
    <row r="22" spans="2:13" x14ac:dyDescent="0.25">
      <c r="H22" s="247" t="s">
        <v>197</v>
      </c>
    </row>
    <row r="24" spans="2:13" x14ac:dyDescent="0.25">
      <c r="J24" s="248"/>
      <c r="K24" s="248" t="s">
        <v>197</v>
      </c>
    </row>
    <row r="25" spans="2:13" x14ac:dyDescent="0.25">
      <c r="B25" s="4" t="s">
        <v>205</v>
      </c>
      <c r="F25" s="247"/>
    </row>
    <row r="26" spans="2:13" x14ac:dyDescent="0.25">
      <c r="F26" s="247" t="s">
        <v>197</v>
      </c>
    </row>
    <row r="27" spans="2:13" x14ac:dyDescent="0.25">
      <c r="J27" s="247" t="s">
        <v>197</v>
      </c>
    </row>
    <row r="29" spans="2:13" x14ac:dyDescent="0.25">
      <c r="H29" s="252" t="s">
        <v>197</v>
      </c>
    </row>
    <row r="30" spans="2:13" x14ac:dyDescent="0.25">
      <c r="H30" s="253" t="s">
        <v>198</v>
      </c>
    </row>
    <row r="31" spans="2:13" x14ac:dyDescent="0.25">
      <c r="C31" s="255" t="s">
        <v>201</v>
      </c>
      <c r="D31" s="255"/>
      <c r="E31" s="257"/>
      <c r="K31" s="254" t="s">
        <v>203</v>
      </c>
      <c r="L31" s="254"/>
      <c r="M31" s="254"/>
    </row>
  </sheetData>
  <mergeCells count="4">
    <mergeCell ref="K31:M31"/>
    <mergeCell ref="K2:M2"/>
    <mergeCell ref="C2:E2"/>
    <mergeCell ref="C31:E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showGridLines="0" workbookViewId="0"/>
  </sheetViews>
  <sheetFormatPr defaultRowHeight="15" x14ac:dyDescent="0.25"/>
  <cols>
    <col min="2" max="2" width="18" customWidth="1"/>
    <col min="3" max="4" width="14.85546875" bestFit="1" customWidth="1"/>
    <col min="5" max="5" width="11.5703125" bestFit="1" customWidth="1"/>
    <col min="6" max="6" width="12.85546875" bestFit="1" customWidth="1"/>
    <col min="7" max="7" width="14.85546875" bestFit="1" customWidth="1"/>
    <col min="9" max="9" width="17.28515625" bestFit="1" customWidth="1"/>
    <col min="10" max="10" width="9" bestFit="1" customWidth="1"/>
    <col min="11" max="11" width="16.85546875" bestFit="1" customWidth="1"/>
    <col min="12" max="12" width="11.5703125" bestFit="1" customWidth="1"/>
    <col min="13" max="13" width="9.85546875" bestFit="1" customWidth="1"/>
    <col min="14" max="14" width="18" bestFit="1" customWidth="1"/>
    <col min="15" max="15" width="14.28515625" bestFit="1" customWidth="1"/>
    <col min="16" max="16" width="10.28515625" bestFit="1" customWidth="1"/>
    <col min="17" max="18" width="14.28515625" bestFit="1" customWidth="1"/>
    <col min="19" max="19" width="12.42578125" bestFit="1" customWidth="1"/>
    <col min="20" max="20" width="14.28515625" bestFit="1" customWidth="1"/>
    <col min="21" max="21" width="10.28515625" bestFit="1" customWidth="1"/>
  </cols>
  <sheetData>
    <row r="3" spans="2:21" x14ac:dyDescent="0.25">
      <c r="B3" s="226" t="s">
        <v>183</v>
      </c>
    </row>
    <row r="4" spans="2:21" x14ac:dyDescent="0.25">
      <c r="B4" s="227"/>
      <c r="C4" s="228" t="s">
        <v>31</v>
      </c>
      <c r="D4" s="228" t="s">
        <v>31</v>
      </c>
      <c r="E4" s="229" t="s">
        <v>31</v>
      </c>
      <c r="F4" s="230" t="s">
        <v>31</v>
      </c>
      <c r="G4" s="228" t="s">
        <v>31</v>
      </c>
      <c r="H4" s="231" t="s">
        <v>31</v>
      </c>
      <c r="I4" s="231" t="s">
        <v>31</v>
      </c>
      <c r="J4" s="230" t="s">
        <v>31</v>
      </c>
      <c r="K4" s="230" t="s">
        <v>31</v>
      </c>
      <c r="L4" s="230" t="s">
        <v>31</v>
      </c>
      <c r="M4" s="232" t="s">
        <v>31</v>
      </c>
      <c r="N4" s="231" t="s">
        <v>31</v>
      </c>
      <c r="O4" s="231" t="s">
        <v>31</v>
      </c>
      <c r="P4" s="229" t="s">
        <v>31</v>
      </c>
      <c r="Q4" s="229" t="s">
        <v>31</v>
      </c>
      <c r="R4" s="233"/>
    </row>
    <row r="5" spans="2:21" x14ac:dyDescent="0.25">
      <c r="B5" s="51" t="s">
        <v>13</v>
      </c>
      <c r="C5" s="52" t="s">
        <v>14</v>
      </c>
      <c r="D5" s="52" t="s">
        <v>15</v>
      </c>
      <c r="E5" s="53" t="s">
        <v>16</v>
      </c>
      <c r="F5" s="234" t="s">
        <v>184</v>
      </c>
      <c r="G5" s="52" t="s">
        <v>18</v>
      </c>
      <c r="H5" s="57" t="s">
        <v>19</v>
      </c>
      <c r="I5" s="57" t="s">
        <v>22</v>
      </c>
      <c r="J5" s="234" t="s">
        <v>185</v>
      </c>
      <c r="K5" s="234" t="s">
        <v>186</v>
      </c>
      <c r="L5" s="234" t="s">
        <v>187</v>
      </c>
      <c r="M5" s="58" t="s">
        <v>32</v>
      </c>
      <c r="N5" s="57" t="s">
        <v>24</v>
      </c>
      <c r="O5" s="57" t="s">
        <v>25</v>
      </c>
      <c r="P5" s="53" t="s">
        <v>26</v>
      </c>
      <c r="Q5" s="53" t="s">
        <v>31</v>
      </c>
      <c r="R5" s="68"/>
    </row>
    <row r="6" spans="2:21" x14ac:dyDescent="0.25">
      <c r="B6" s="51" t="s">
        <v>31</v>
      </c>
      <c r="C6" s="52" t="s">
        <v>31</v>
      </c>
      <c r="D6" s="52" t="s">
        <v>31</v>
      </c>
      <c r="E6" s="53" t="s">
        <v>31</v>
      </c>
      <c r="F6" s="234" t="s">
        <v>31</v>
      </c>
      <c r="G6" s="52">
        <v>43397</v>
      </c>
      <c r="H6" s="57" t="s">
        <v>31</v>
      </c>
      <c r="I6" s="57">
        <v>878425.860857344</v>
      </c>
      <c r="J6" s="235">
        <v>1</v>
      </c>
      <c r="K6" s="235">
        <v>1</v>
      </c>
      <c r="L6" s="54" t="s">
        <v>31</v>
      </c>
      <c r="M6" s="58" t="s">
        <v>31</v>
      </c>
      <c r="N6" s="57">
        <v>878425.860857344</v>
      </c>
      <c r="O6" s="59">
        <v>1</v>
      </c>
      <c r="P6" s="57">
        <v>878425.860857344</v>
      </c>
      <c r="Q6" s="53" t="s">
        <v>31</v>
      </c>
      <c r="R6" s="68"/>
    </row>
    <row r="7" spans="2:21" x14ac:dyDescent="0.25">
      <c r="B7" s="51">
        <v>43397</v>
      </c>
      <c r="C7" s="52">
        <v>43397</v>
      </c>
      <c r="D7" s="52">
        <v>43489</v>
      </c>
      <c r="E7" s="53">
        <v>92</v>
      </c>
      <c r="F7" s="54">
        <v>0.25555555555555598</v>
      </c>
      <c r="G7" s="52">
        <v>43489</v>
      </c>
      <c r="H7" s="57">
        <v>-878425.860857344</v>
      </c>
      <c r="I7" s="57">
        <v>0</v>
      </c>
      <c r="J7" s="235">
        <v>1</v>
      </c>
      <c r="K7" s="235">
        <v>1</v>
      </c>
      <c r="L7" s="54">
        <v>0</v>
      </c>
      <c r="M7" s="58">
        <v>-3.1695013258222198E-3</v>
      </c>
      <c r="N7" s="57">
        <v>711.51060449276895</v>
      </c>
      <c r="O7" s="59">
        <v>1.00236535168462</v>
      </c>
      <c r="P7" s="57">
        <v>713.19357729973297</v>
      </c>
      <c r="Q7" s="53" t="s">
        <v>31</v>
      </c>
      <c r="R7" s="68"/>
    </row>
    <row r="8" spans="2:21" x14ac:dyDescent="0.25">
      <c r="B8" s="51">
        <v>43489</v>
      </c>
      <c r="C8" s="52">
        <v>43489</v>
      </c>
      <c r="D8" s="52">
        <v>43579</v>
      </c>
      <c r="E8" s="53">
        <v>90</v>
      </c>
      <c r="F8" s="54">
        <v>0.25</v>
      </c>
      <c r="G8" s="52">
        <v>43579</v>
      </c>
      <c r="H8" s="57">
        <v>-878425.860857344</v>
      </c>
      <c r="I8" s="57">
        <v>0</v>
      </c>
      <c r="J8" s="235">
        <v>1</v>
      </c>
      <c r="K8" s="235">
        <v>1</v>
      </c>
      <c r="L8" s="54">
        <v>0</v>
      </c>
      <c r="M8" s="58">
        <v>-3.1644180339047701E-3</v>
      </c>
      <c r="N8" s="57">
        <v>694.92665888632496</v>
      </c>
      <c r="O8" s="59">
        <v>1.0041822883354501</v>
      </c>
      <c r="P8" s="57">
        <v>697.83304254577604</v>
      </c>
      <c r="Q8" s="53" t="s">
        <v>31</v>
      </c>
      <c r="R8" s="68"/>
    </row>
    <row r="9" spans="2:21" x14ac:dyDescent="0.25">
      <c r="B9" s="51">
        <v>43579</v>
      </c>
      <c r="C9" s="52">
        <v>43579</v>
      </c>
      <c r="D9" s="52">
        <v>43670</v>
      </c>
      <c r="E9" s="53">
        <v>91</v>
      </c>
      <c r="F9" s="54">
        <v>0.25277777777777799</v>
      </c>
      <c r="G9" s="52">
        <v>43670</v>
      </c>
      <c r="H9" s="57">
        <v>-878425.860857344</v>
      </c>
      <c r="I9" s="57">
        <v>0</v>
      </c>
      <c r="J9" s="235">
        <v>1</v>
      </c>
      <c r="K9" s="235">
        <v>1</v>
      </c>
      <c r="L9" s="54">
        <v>0</v>
      </c>
      <c r="M9" s="58">
        <v>-2.8930721879165499E-3</v>
      </c>
      <c r="N9" s="57">
        <v>642.39666076268395</v>
      </c>
      <c r="O9" s="59">
        <v>1.00592632387728</v>
      </c>
      <c r="P9" s="57">
        <v>646.20371143204602</v>
      </c>
      <c r="Q9" s="53" t="s">
        <v>31</v>
      </c>
      <c r="R9" s="68"/>
    </row>
    <row r="10" spans="2:21" x14ac:dyDescent="0.25">
      <c r="B10" s="51">
        <v>43670</v>
      </c>
      <c r="C10" s="52">
        <v>43670</v>
      </c>
      <c r="D10" s="52">
        <v>43762</v>
      </c>
      <c r="E10" s="53">
        <v>92</v>
      </c>
      <c r="F10" s="54">
        <v>0.25555555555555598</v>
      </c>
      <c r="G10" s="52">
        <v>43762</v>
      </c>
      <c r="H10" s="57">
        <v>-878425.860857344</v>
      </c>
      <c r="I10" s="57">
        <v>-878425.860857344</v>
      </c>
      <c r="J10" s="235">
        <v>1</v>
      </c>
      <c r="K10" s="235">
        <v>1</v>
      </c>
      <c r="L10" s="54">
        <v>0</v>
      </c>
      <c r="M10" s="58">
        <v>-2.2709270083431498E-3</v>
      </c>
      <c r="N10" s="57">
        <v>-877916.06815421395</v>
      </c>
      <c r="O10" s="59">
        <v>1.0078070969733499</v>
      </c>
      <c r="P10" s="57">
        <v>-884770.04403275996</v>
      </c>
      <c r="Q10" s="53" t="s">
        <v>31</v>
      </c>
      <c r="R10" s="68"/>
    </row>
    <row r="11" spans="2:21" x14ac:dyDescent="0.25">
      <c r="B11" s="95" t="s">
        <v>31</v>
      </c>
      <c r="C11" s="96" t="s">
        <v>31</v>
      </c>
      <c r="D11" s="96" t="s">
        <v>31</v>
      </c>
      <c r="E11" s="97" t="s">
        <v>31</v>
      </c>
      <c r="F11" s="98" t="s">
        <v>31</v>
      </c>
      <c r="G11" s="96" t="s">
        <v>31</v>
      </c>
      <c r="H11" s="102" t="s">
        <v>31</v>
      </c>
      <c r="I11" s="102" t="s">
        <v>31</v>
      </c>
      <c r="J11" s="236" t="s">
        <v>31</v>
      </c>
      <c r="K11" s="236" t="s">
        <v>31</v>
      </c>
      <c r="L11" s="98" t="s">
        <v>31</v>
      </c>
      <c r="M11" s="103" t="s">
        <v>31</v>
      </c>
      <c r="N11" s="102" t="s">
        <v>31</v>
      </c>
      <c r="O11" s="104" t="s">
        <v>31</v>
      </c>
      <c r="P11" s="102" t="s">
        <v>31</v>
      </c>
      <c r="Q11" s="97" t="s">
        <v>31</v>
      </c>
      <c r="R11" s="237"/>
    </row>
    <row r="12" spans="2:21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2:21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2:21" x14ac:dyDescent="0.25">
      <c r="B14" s="226" t="s">
        <v>188</v>
      </c>
      <c r="C14" s="22"/>
      <c r="D14" s="22"/>
      <c r="E14" s="22"/>
      <c r="F14" s="238"/>
      <c r="G14" s="22"/>
      <c r="H14" s="239"/>
      <c r="I14" s="239"/>
      <c r="J14" s="238"/>
      <c r="K14" s="238"/>
      <c r="L14" s="238"/>
      <c r="M14" s="240"/>
      <c r="N14" s="239"/>
      <c r="O14" s="121"/>
      <c r="P14" s="239"/>
      <c r="Q14" s="241"/>
      <c r="R14" s="239"/>
      <c r="S14" s="239"/>
      <c r="T14" s="22"/>
      <c r="U14" s="22"/>
    </row>
    <row r="15" spans="2:21" x14ac:dyDescent="0.25">
      <c r="B15" s="227"/>
      <c r="C15" s="228" t="s">
        <v>31</v>
      </c>
      <c r="D15" s="228" t="s">
        <v>31</v>
      </c>
      <c r="E15" s="229" t="s">
        <v>31</v>
      </c>
      <c r="F15" s="230" t="s">
        <v>31</v>
      </c>
      <c r="G15" s="228" t="s">
        <v>31</v>
      </c>
      <c r="H15" s="231" t="s">
        <v>31</v>
      </c>
      <c r="I15" s="231" t="s">
        <v>31</v>
      </c>
      <c r="J15" s="230" t="s">
        <v>31</v>
      </c>
      <c r="K15" s="230" t="s">
        <v>31</v>
      </c>
      <c r="L15" s="230" t="s">
        <v>31</v>
      </c>
      <c r="M15" s="232" t="s">
        <v>31</v>
      </c>
      <c r="N15" s="231" t="s">
        <v>31</v>
      </c>
      <c r="O15" s="242" t="s">
        <v>31</v>
      </c>
      <c r="P15" s="231" t="s">
        <v>31</v>
      </c>
      <c r="Q15" s="229" t="s">
        <v>31</v>
      </c>
      <c r="R15" s="233" t="s">
        <v>31</v>
      </c>
    </row>
    <row r="16" spans="2:21" x14ac:dyDescent="0.25">
      <c r="B16" s="51" t="s">
        <v>13</v>
      </c>
      <c r="C16" s="52" t="s">
        <v>14</v>
      </c>
      <c r="D16" s="52" t="s">
        <v>15</v>
      </c>
      <c r="E16" s="53" t="s">
        <v>16</v>
      </c>
      <c r="F16" s="234" t="s">
        <v>184</v>
      </c>
      <c r="G16" s="52" t="s">
        <v>18</v>
      </c>
      <c r="H16" s="57" t="s">
        <v>19</v>
      </c>
      <c r="I16" s="57" t="s">
        <v>22</v>
      </c>
      <c r="J16" s="234" t="s">
        <v>185</v>
      </c>
      <c r="K16" s="234" t="s">
        <v>186</v>
      </c>
      <c r="L16" s="234" t="s">
        <v>187</v>
      </c>
      <c r="M16" s="58" t="s">
        <v>32</v>
      </c>
      <c r="N16" s="57" t="s">
        <v>189</v>
      </c>
      <c r="O16" s="56" t="s">
        <v>190</v>
      </c>
      <c r="P16" s="57" t="s">
        <v>24</v>
      </c>
      <c r="Q16" s="53" t="s">
        <v>25</v>
      </c>
      <c r="R16" s="68" t="s">
        <v>26</v>
      </c>
    </row>
    <row r="17" spans="2:18" x14ac:dyDescent="0.25">
      <c r="B17" s="51" t="s">
        <v>31</v>
      </c>
      <c r="C17" s="52" t="s">
        <v>31</v>
      </c>
      <c r="D17" s="52" t="s">
        <v>31</v>
      </c>
      <c r="E17" s="53" t="s">
        <v>31</v>
      </c>
      <c r="F17" s="54" t="s">
        <v>31</v>
      </c>
      <c r="G17" s="52">
        <v>43397</v>
      </c>
      <c r="H17" s="57" t="s">
        <v>31</v>
      </c>
      <c r="I17" s="57">
        <v>-1000000</v>
      </c>
      <c r="J17" s="234">
        <v>1</v>
      </c>
      <c r="K17" s="234">
        <v>1</v>
      </c>
      <c r="L17" s="54" t="s">
        <v>31</v>
      </c>
      <c r="M17" s="58" t="s">
        <v>31</v>
      </c>
      <c r="N17" s="52" t="s">
        <v>31</v>
      </c>
      <c r="O17" s="56" t="s">
        <v>31</v>
      </c>
      <c r="P17" s="57">
        <v>-1000000</v>
      </c>
      <c r="Q17" s="59">
        <v>1</v>
      </c>
      <c r="R17" s="60">
        <v>-1000000</v>
      </c>
    </row>
    <row r="18" spans="2:18" x14ac:dyDescent="0.25">
      <c r="B18" s="51">
        <v>43397</v>
      </c>
      <c r="C18" s="52">
        <v>43397</v>
      </c>
      <c r="D18" s="52">
        <v>43489</v>
      </c>
      <c r="E18" s="53">
        <v>92</v>
      </c>
      <c r="F18" s="54">
        <v>0.25555555555555598</v>
      </c>
      <c r="G18" s="52">
        <v>43489</v>
      </c>
      <c r="H18" s="57">
        <v>1000000</v>
      </c>
      <c r="I18" s="57">
        <v>-8232.7647713256301</v>
      </c>
      <c r="J18" s="234">
        <v>1</v>
      </c>
      <c r="K18" s="234">
        <v>1</v>
      </c>
      <c r="L18" s="54">
        <v>0</v>
      </c>
      <c r="M18" s="58">
        <v>2.4747536910397799E-2</v>
      </c>
      <c r="N18" s="52">
        <v>43397</v>
      </c>
      <c r="O18" s="56">
        <v>0.87842586085734398</v>
      </c>
      <c r="P18" s="57">
        <v>-1908.3942275572999</v>
      </c>
      <c r="Q18" s="59">
        <v>0.99418049750839499</v>
      </c>
      <c r="R18" s="60">
        <v>-1897.28832259506</v>
      </c>
    </row>
    <row r="19" spans="2:18" x14ac:dyDescent="0.25">
      <c r="B19" s="51">
        <v>43489</v>
      </c>
      <c r="C19" s="52">
        <v>43489</v>
      </c>
      <c r="D19" s="52">
        <v>43579</v>
      </c>
      <c r="E19" s="53">
        <v>90</v>
      </c>
      <c r="F19" s="54">
        <v>0.25</v>
      </c>
      <c r="G19" s="52">
        <v>43579</v>
      </c>
      <c r="H19" s="57">
        <v>1008232.7647713301</v>
      </c>
      <c r="I19" s="57">
        <v>-8104.2385391748903</v>
      </c>
      <c r="J19" s="234">
        <v>1</v>
      </c>
      <c r="K19" s="234">
        <v>1</v>
      </c>
      <c r="L19" s="54">
        <v>0</v>
      </c>
      <c r="M19" s="58">
        <v>2.7958065227277701E-2</v>
      </c>
      <c r="N19" s="52">
        <v>43489</v>
      </c>
      <c r="O19" s="56">
        <v>0.87125303952661803</v>
      </c>
      <c r="P19" s="57">
        <v>-1057.17918873607</v>
      </c>
      <c r="Q19" s="59">
        <v>0.98804066472492502</v>
      </c>
      <c r="R19" s="60">
        <v>-1044.53602837215</v>
      </c>
    </row>
    <row r="20" spans="2:18" x14ac:dyDescent="0.25">
      <c r="B20" s="51">
        <v>43579</v>
      </c>
      <c r="C20" s="52">
        <v>43579</v>
      </c>
      <c r="D20" s="52">
        <v>43670</v>
      </c>
      <c r="E20" s="53">
        <v>91</v>
      </c>
      <c r="F20" s="54">
        <v>0.25277777777777799</v>
      </c>
      <c r="G20" s="52">
        <v>43670</v>
      </c>
      <c r="H20" s="57">
        <v>1016337.0033104999</v>
      </c>
      <c r="I20" s="57">
        <v>-8634.6174836630198</v>
      </c>
      <c r="J20" s="234">
        <v>1</v>
      </c>
      <c r="K20" s="234">
        <v>1</v>
      </c>
      <c r="L20" s="54">
        <v>0</v>
      </c>
      <c r="M20" s="58">
        <v>2.9376405846927599E-2</v>
      </c>
      <c r="N20" s="52">
        <v>43579</v>
      </c>
      <c r="O20" s="56">
        <v>0.86430569584307104</v>
      </c>
      <c r="P20" s="57">
        <v>-1087.6011667978701</v>
      </c>
      <c r="Q20" s="59">
        <v>0.98141870805932296</v>
      </c>
      <c r="R20" s="60">
        <v>-1067.39213200258</v>
      </c>
    </row>
    <row r="21" spans="2:18" x14ac:dyDescent="0.25">
      <c r="B21" s="51">
        <v>43670</v>
      </c>
      <c r="C21" s="52">
        <v>43670</v>
      </c>
      <c r="D21" s="52">
        <v>43762</v>
      </c>
      <c r="E21" s="53">
        <v>92</v>
      </c>
      <c r="F21" s="54">
        <v>0.25555555555555598</v>
      </c>
      <c r="G21" s="52">
        <v>43762</v>
      </c>
      <c r="H21" s="57">
        <v>1024971.6207941599</v>
      </c>
      <c r="I21" s="57">
        <v>1024971.6207941599</v>
      </c>
      <c r="J21" s="234">
        <v>1</v>
      </c>
      <c r="K21" s="234">
        <v>1</v>
      </c>
      <c r="L21" s="54">
        <v>0</v>
      </c>
      <c r="M21" s="58">
        <v>3.0538343749320799E-2</v>
      </c>
      <c r="N21" s="52">
        <v>43670</v>
      </c>
      <c r="O21" s="56">
        <v>0.85702456832582896</v>
      </c>
      <c r="P21" s="57">
        <v>1032970.7488036</v>
      </c>
      <c r="Q21" s="59">
        <v>0.97480251014061603</v>
      </c>
      <c r="R21" s="60">
        <v>1006942.4788355801</v>
      </c>
    </row>
    <row r="22" spans="2:18" x14ac:dyDescent="0.25">
      <c r="B22" s="95"/>
      <c r="C22" s="96"/>
      <c r="D22" s="96"/>
      <c r="E22" s="97"/>
      <c r="F22" s="98"/>
      <c r="G22" s="96"/>
      <c r="H22" s="102"/>
      <c r="I22" s="102"/>
      <c r="J22" s="236"/>
      <c r="K22" s="236"/>
      <c r="L22" s="98"/>
      <c r="M22" s="103"/>
      <c r="N22" s="96"/>
      <c r="O22" s="101"/>
      <c r="P22" s="102"/>
      <c r="Q22" s="104"/>
      <c r="R22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0"/>
  <sheetViews>
    <sheetView showGridLines="0" workbookViewId="0"/>
  </sheetViews>
  <sheetFormatPr defaultRowHeight="15" x14ac:dyDescent="0.25"/>
  <cols>
    <col min="2" max="2" width="17.140625" customWidth="1"/>
    <col min="3" max="4" width="14.85546875" bestFit="1" customWidth="1"/>
    <col min="5" max="5" width="11.5703125" bestFit="1" customWidth="1"/>
    <col min="6" max="6" width="12.85546875" bestFit="1" customWidth="1"/>
    <col min="7" max="7" width="14.85546875" bestFit="1" customWidth="1"/>
    <col min="9" max="9" width="17.28515625" bestFit="1" customWidth="1"/>
    <col min="10" max="10" width="9" bestFit="1" customWidth="1"/>
    <col min="11" max="11" width="16.85546875" bestFit="1" customWidth="1"/>
    <col min="12" max="12" width="11.5703125" bestFit="1" customWidth="1"/>
    <col min="13" max="13" width="9.85546875" bestFit="1" customWidth="1"/>
    <col min="14" max="14" width="18" bestFit="1" customWidth="1"/>
    <col min="15" max="15" width="14.28515625" bestFit="1" customWidth="1"/>
    <col min="16" max="16" width="18" bestFit="1" customWidth="1"/>
    <col min="17" max="18" width="14.28515625" bestFit="1" customWidth="1"/>
    <col min="19" max="19" width="12.42578125" bestFit="1" customWidth="1"/>
    <col min="20" max="20" width="14.28515625" bestFit="1" customWidth="1"/>
    <col min="21" max="21" width="10.28515625" bestFit="1" customWidth="1"/>
  </cols>
  <sheetData>
    <row r="2" spans="2:21" x14ac:dyDescent="0.25">
      <c r="B2" s="226" t="s">
        <v>183</v>
      </c>
      <c r="C2" s="22"/>
      <c r="D2" s="22"/>
      <c r="E2" s="22"/>
      <c r="F2" s="238"/>
      <c r="G2" s="22"/>
      <c r="H2" s="239"/>
      <c r="I2" s="239"/>
      <c r="J2" s="238"/>
      <c r="K2" s="238"/>
      <c r="L2" s="238"/>
      <c r="M2" s="240"/>
      <c r="N2" s="239"/>
      <c r="O2" s="121"/>
      <c r="P2" s="239"/>
      <c r="Q2" s="241"/>
      <c r="R2" s="239"/>
      <c r="U2" s="22"/>
    </row>
    <row r="3" spans="2:21" x14ac:dyDescent="0.25">
      <c r="B3" s="227"/>
      <c r="C3" s="228"/>
      <c r="D3" s="228"/>
      <c r="E3" s="229"/>
      <c r="F3" s="230"/>
      <c r="G3" s="228"/>
      <c r="H3" s="231"/>
      <c r="I3" s="231"/>
      <c r="J3" s="230"/>
      <c r="K3" s="230"/>
      <c r="L3" s="230"/>
      <c r="M3" s="232"/>
      <c r="N3" s="231"/>
      <c r="O3" s="231"/>
      <c r="P3" s="243"/>
      <c r="Q3" s="231"/>
      <c r="R3" s="233"/>
    </row>
    <row r="4" spans="2:21" x14ac:dyDescent="0.25">
      <c r="B4" s="51" t="s">
        <v>13</v>
      </c>
      <c r="C4" s="52" t="s">
        <v>14</v>
      </c>
      <c r="D4" s="52" t="s">
        <v>15</v>
      </c>
      <c r="E4" s="53" t="s">
        <v>16</v>
      </c>
      <c r="F4" s="234" t="s">
        <v>184</v>
      </c>
      <c r="G4" s="52" t="s">
        <v>18</v>
      </c>
      <c r="H4" s="57" t="s">
        <v>19</v>
      </c>
      <c r="I4" s="57" t="s">
        <v>22</v>
      </c>
      <c r="J4" s="234" t="s">
        <v>185</v>
      </c>
      <c r="K4" s="234" t="s">
        <v>186</v>
      </c>
      <c r="L4" s="234" t="s">
        <v>187</v>
      </c>
      <c r="M4" s="58" t="s">
        <v>32</v>
      </c>
      <c r="N4" s="57" t="s">
        <v>24</v>
      </c>
      <c r="O4" s="57" t="s">
        <v>25</v>
      </c>
      <c r="P4" s="53" t="s">
        <v>26</v>
      </c>
      <c r="Q4" s="53" t="s">
        <v>31</v>
      </c>
      <c r="R4" s="68"/>
    </row>
    <row r="5" spans="2:21" x14ac:dyDescent="0.25">
      <c r="B5" s="51" t="s">
        <v>31</v>
      </c>
      <c r="C5" s="52" t="s">
        <v>31</v>
      </c>
      <c r="D5" s="52" t="s">
        <v>31</v>
      </c>
      <c r="E5" s="53" t="s">
        <v>31</v>
      </c>
      <c r="F5" s="234" t="s">
        <v>31</v>
      </c>
      <c r="G5" s="52">
        <v>43397</v>
      </c>
      <c r="H5" s="57" t="s">
        <v>31</v>
      </c>
      <c r="I5" s="57">
        <v>877963.125548727</v>
      </c>
      <c r="J5" s="235">
        <v>1</v>
      </c>
      <c r="K5" s="235">
        <v>1</v>
      </c>
      <c r="L5" s="54" t="s">
        <v>31</v>
      </c>
      <c r="M5" s="58" t="s">
        <v>31</v>
      </c>
      <c r="N5" s="57">
        <v>877963.125548727</v>
      </c>
      <c r="O5" s="59">
        <v>1</v>
      </c>
      <c r="P5" s="57">
        <v>877963.125548727</v>
      </c>
      <c r="Q5" s="53" t="s">
        <v>31</v>
      </c>
      <c r="R5" s="68"/>
    </row>
    <row r="6" spans="2:21" x14ac:dyDescent="0.25">
      <c r="B6" s="51">
        <v>43397</v>
      </c>
      <c r="C6" s="52">
        <v>43397</v>
      </c>
      <c r="D6" s="52">
        <v>43489</v>
      </c>
      <c r="E6" s="53">
        <v>92</v>
      </c>
      <c r="F6" s="54">
        <v>0.25555555555555598</v>
      </c>
      <c r="G6" s="52">
        <v>43489</v>
      </c>
      <c r="H6" s="57">
        <v>-877963.125548727</v>
      </c>
      <c r="I6" s="57">
        <v>0</v>
      </c>
      <c r="J6" s="235">
        <v>1</v>
      </c>
      <c r="K6" s="235">
        <v>1</v>
      </c>
      <c r="L6" s="54">
        <v>0</v>
      </c>
      <c r="M6" s="58">
        <v>-3.1695013258222198E-3</v>
      </c>
      <c r="N6" s="57">
        <v>711.13579644825995</v>
      </c>
      <c r="O6" s="59">
        <v>1.00236535168462</v>
      </c>
      <c r="P6" s="57">
        <v>712.81788270238405</v>
      </c>
      <c r="Q6" s="53" t="s">
        <v>31</v>
      </c>
      <c r="R6" s="68"/>
    </row>
    <row r="7" spans="2:21" x14ac:dyDescent="0.25">
      <c r="B7" s="51">
        <v>43489</v>
      </c>
      <c r="C7" s="52">
        <v>43489</v>
      </c>
      <c r="D7" s="52">
        <v>43579</v>
      </c>
      <c r="E7" s="53">
        <v>90</v>
      </c>
      <c r="F7" s="54">
        <v>0.25</v>
      </c>
      <c r="G7" s="52">
        <v>43579</v>
      </c>
      <c r="H7" s="57">
        <v>-877963.125548727</v>
      </c>
      <c r="I7" s="57">
        <v>0</v>
      </c>
      <c r="J7" s="235">
        <v>1</v>
      </c>
      <c r="K7" s="235">
        <v>1</v>
      </c>
      <c r="L7" s="54">
        <v>0</v>
      </c>
      <c r="M7" s="58">
        <v>-3.1644180339047701E-3</v>
      </c>
      <c r="N7" s="57">
        <v>694.56058689744702</v>
      </c>
      <c r="O7" s="59">
        <v>1.0041822883354501</v>
      </c>
      <c r="P7" s="57">
        <v>697.46543953828905</v>
      </c>
      <c r="Q7" s="53" t="s">
        <v>31</v>
      </c>
      <c r="R7" s="68"/>
    </row>
    <row r="8" spans="2:21" x14ac:dyDescent="0.25">
      <c r="B8" s="51">
        <v>43579</v>
      </c>
      <c r="C8" s="52">
        <v>43579</v>
      </c>
      <c r="D8" s="52">
        <v>43670</v>
      </c>
      <c r="E8" s="53">
        <v>91</v>
      </c>
      <c r="F8" s="54">
        <v>0.25277777777777799</v>
      </c>
      <c r="G8" s="52">
        <v>43670</v>
      </c>
      <c r="H8" s="57">
        <v>-877963.125548727</v>
      </c>
      <c r="I8" s="57">
        <v>0</v>
      </c>
      <c r="J8" s="235">
        <v>1</v>
      </c>
      <c r="K8" s="235">
        <v>1</v>
      </c>
      <c r="L8" s="54">
        <v>0</v>
      </c>
      <c r="M8" s="58">
        <v>-2.8930721879165499E-3</v>
      </c>
      <c r="N8" s="57">
        <v>642.05826041460898</v>
      </c>
      <c r="O8" s="59">
        <v>1.00592632387728</v>
      </c>
      <c r="P8" s="57">
        <v>645.86330561390798</v>
      </c>
      <c r="Q8" s="53" t="s">
        <v>31</v>
      </c>
      <c r="R8" s="68"/>
    </row>
    <row r="9" spans="2:21" x14ac:dyDescent="0.25">
      <c r="B9" s="51">
        <v>43670</v>
      </c>
      <c r="C9" s="52">
        <v>43670</v>
      </c>
      <c r="D9" s="52">
        <v>43762</v>
      </c>
      <c r="E9" s="53">
        <v>92</v>
      </c>
      <c r="F9" s="54">
        <v>0.25555555555555598</v>
      </c>
      <c r="G9" s="52">
        <v>43762</v>
      </c>
      <c r="H9" s="57">
        <v>-877963.125548727</v>
      </c>
      <c r="I9" s="57">
        <v>0</v>
      </c>
      <c r="J9" s="235">
        <v>1</v>
      </c>
      <c r="K9" s="235">
        <v>1</v>
      </c>
      <c r="L9" s="54">
        <v>0</v>
      </c>
      <c r="M9" s="58">
        <v>-2.2709270083431498E-3</v>
      </c>
      <c r="N9" s="57">
        <v>509.52415561303599</v>
      </c>
      <c r="O9" s="59">
        <v>1.0078070969733499</v>
      </c>
      <c r="P9" s="57">
        <v>513.50206010617399</v>
      </c>
      <c r="Q9" s="53" t="s">
        <v>31</v>
      </c>
      <c r="R9" s="68"/>
    </row>
    <row r="10" spans="2:21" x14ac:dyDescent="0.25">
      <c r="B10" s="51">
        <v>43762</v>
      </c>
      <c r="C10" s="52">
        <v>43762</v>
      </c>
      <c r="D10" s="52">
        <v>43854</v>
      </c>
      <c r="E10" s="53">
        <v>92</v>
      </c>
      <c r="F10" s="54">
        <v>0.25555555555555598</v>
      </c>
      <c r="G10" s="52">
        <v>43854</v>
      </c>
      <c r="H10" s="57">
        <v>-877963.125548727</v>
      </c>
      <c r="I10" s="57">
        <v>0</v>
      </c>
      <c r="J10" s="235">
        <v>1</v>
      </c>
      <c r="K10" s="235">
        <v>1</v>
      </c>
      <c r="L10" s="54">
        <v>0</v>
      </c>
      <c r="M10" s="58">
        <v>-1.3633904148088599E-3</v>
      </c>
      <c r="N10" s="57">
        <v>305.90166364846198</v>
      </c>
      <c r="O10" s="59">
        <v>1.00946713999049</v>
      </c>
      <c r="P10" s="57">
        <v>308.79767752154498</v>
      </c>
      <c r="Q10" s="53" t="s">
        <v>31</v>
      </c>
      <c r="R10" s="68"/>
    </row>
    <row r="11" spans="2:21" x14ac:dyDescent="0.25">
      <c r="B11" s="51">
        <v>43854</v>
      </c>
      <c r="C11" s="52">
        <v>43854</v>
      </c>
      <c r="D11" s="52">
        <v>43945</v>
      </c>
      <c r="E11" s="53">
        <v>91</v>
      </c>
      <c r="F11" s="54">
        <v>0.25277777777777799</v>
      </c>
      <c r="G11" s="52">
        <v>43945</v>
      </c>
      <c r="H11" s="57">
        <v>-877963.125548727</v>
      </c>
      <c r="I11" s="57">
        <v>0</v>
      </c>
      <c r="J11" s="235">
        <v>1</v>
      </c>
      <c r="K11" s="235">
        <v>1</v>
      </c>
      <c r="L11" s="54">
        <v>0</v>
      </c>
      <c r="M11" s="58">
        <v>-5.0212137048826497E-4</v>
      </c>
      <c r="N11" s="57">
        <v>111.435578759224</v>
      </c>
      <c r="O11" s="59">
        <v>1.01083505437409</v>
      </c>
      <c r="P11" s="57">
        <v>112.642989314288</v>
      </c>
      <c r="Q11" s="53" t="s">
        <v>31</v>
      </c>
      <c r="R11" s="68"/>
    </row>
    <row r="12" spans="2:21" x14ac:dyDescent="0.25">
      <c r="B12" s="51">
        <v>43945</v>
      </c>
      <c r="C12" s="52">
        <v>43945</v>
      </c>
      <c r="D12" s="52">
        <v>44036</v>
      </c>
      <c r="E12" s="53">
        <v>91</v>
      </c>
      <c r="F12" s="54">
        <v>0.25277777777777799</v>
      </c>
      <c r="G12" s="52">
        <v>44036</v>
      </c>
      <c r="H12" s="57">
        <v>-877963.125548727</v>
      </c>
      <c r="I12" s="57">
        <v>0</v>
      </c>
      <c r="J12" s="235">
        <v>1</v>
      </c>
      <c r="K12" s="235">
        <v>1</v>
      </c>
      <c r="L12" s="54">
        <v>0</v>
      </c>
      <c r="M12" s="58">
        <v>2.21602519978994E-4</v>
      </c>
      <c r="N12" s="57">
        <v>-49.180151492752898</v>
      </c>
      <c r="O12" s="59">
        <v>1.01199660498894</v>
      </c>
      <c r="P12" s="57">
        <v>-49.770146343507598</v>
      </c>
      <c r="Q12" s="53" t="s">
        <v>31</v>
      </c>
      <c r="R12" s="68"/>
    </row>
    <row r="13" spans="2:21" x14ac:dyDescent="0.25">
      <c r="B13" s="51">
        <v>44036</v>
      </c>
      <c r="C13" s="52">
        <v>44036</v>
      </c>
      <c r="D13" s="52">
        <v>44130</v>
      </c>
      <c r="E13" s="53">
        <v>94</v>
      </c>
      <c r="F13" s="54">
        <v>0.26111111111111102</v>
      </c>
      <c r="G13" s="52">
        <v>44130</v>
      </c>
      <c r="H13" s="57">
        <v>-877963.125548727</v>
      </c>
      <c r="I13" s="57">
        <v>0</v>
      </c>
      <c r="J13" s="235">
        <v>1</v>
      </c>
      <c r="K13" s="235">
        <v>1</v>
      </c>
      <c r="L13" s="54">
        <v>0</v>
      </c>
      <c r="M13" s="58">
        <v>8.2494566673071697E-4</v>
      </c>
      <c r="N13" s="57">
        <v>-189.11543428125901</v>
      </c>
      <c r="O13" s="59">
        <v>1.01304655132831</v>
      </c>
      <c r="P13" s="57">
        <v>-191.582738501585</v>
      </c>
      <c r="Q13" s="53" t="s">
        <v>31</v>
      </c>
      <c r="R13" s="68"/>
    </row>
    <row r="14" spans="2:21" x14ac:dyDescent="0.25">
      <c r="B14" s="51">
        <v>44130</v>
      </c>
      <c r="C14" s="52">
        <v>44130</v>
      </c>
      <c r="D14" s="52">
        <v>44221</v>
      </c>
      <c r="E14" s="53">
        <v>91</v>
      </c>
      <c r="F14" s="54">
        <v>0.25277777777777799</v>
      </c>
      <c r="G14" s="52">
        <v>44221</v>
      </c>
      <c r="H14" s="57">
        <v>-877963.125548727</v>
      </c>
      <c r="I14" s="57">
        <v>0</v>
      </c>
      <c r="J14" s="235">
        <v>1</v>
      </c>
      <c r="K14" s="235">
        <v>1</v>
      </c>
      <c r="L14" s="54">
        <v>0</v>
      </c>
      <c r="M14" s="58">
        <v>1.3501266124467701E-3</v>
      </c>
      <c r="N14" s="57">
        <v>-299.63301563909903</v>
      </c>
      <c r="O14" s="59">
        <v>1.0139619436537399</v>
      </c>
      <c r="P14" s="57">
        <v>-303.81647492025297</v>
      </c>
      <c r="Q14" s="53" t="s">
        <v>31</v>
      </c>
      <c r="R14" s="68"/>
    </row>
    <row r="15" spans="2:21" x14ac:dyDescent="0.25">
      <c r="B15" s="51">
        <v>44221</v>
      </c>
      <c r="C15" s="52">
        <v>44221</v>
      </c>
      <c r="D15" s="52">
        <v>44312</v>
      </c>
      <c r="E15" s="53">
        <v>91</v>
      </c>
      <c r="F15" s="54">
        <v>0.25277777777777799</v>
      </c>
      <c r="G15" s="52">
        <v>44312</v>
      </c>
      <c r="H15" s="57">
        <v>-877963.125548727</v>
      </c>
      <c r="I15" s="57">
        <v>0</v>
      </c>
      <c r="J15" s="235">
        <v>1</v>
      </c>
      <c r="K15" s="235">
        <v>1</v>
      </c>
      <c r="L15" s="54">
        <v>0</v>
      </c>
      <c r="M15" s="58">
        <v>1.98445197032037E-3</v>
      </c>
      <c r="N15" s="57">
        <v>-440.40856818640498</v>
      </c>
      <c r="O15" s="59">
        <v>1.0147342905602801</v>
      </c>
      <c r="P15" s="57">
        <v>-446.89767599529898</v>
      </c>
      <c r="Q15" s="53" t="s">
        <v>31</v>
      </c>
      <c r="R15" s="68"/>
    </row>
    <row r="16" spans="2:21" x14ac:dyDescent="0.25">
      <c r="B16" s="51">
        <v>44312</v>
      </c>
      <c r="C16" s="52">
        <v>44312</v>
      </c>
      <c r="D16" s="52">
        <v>44403</v>
      </c>
      <c r="E16" s="53">
        <v>91</v>
      </c>
      <c r="F16" s="54">
        <v>0.25277777777777799</v>
      </c>
      <c r="G16" s="52">
        <v>44403</v>
      </c>
      <c r="H16" s="57">
        <v>-877963.125548727</v>
      </c>
      <c r="I16" s="57">
        <v>0</v>
      </c>
      <c r="J16" s="235">
        <v>1</v>
      </c>
      <c r="K16" s="235">
        <v>1</v>
      </c>
      <c r="L16" s="54">
        <v>0</v>
      </c>
      <c r="M16" s="58">
        <v>2.7911658479587999E-3</v>
      </c>
      <c r="N16" s="57">
        <v>-619.44223042690999</v>
      </c>
      <c r="O16" s="59">
        <v>1.01529502897226</v>
      </c>
      <c r="P16" s="57">
        <v>-628.91661728793304</v>
      </c>
      <c r="Q16" s="53" t="s">
        <v>31</v>
      </c>
      <c r="R16" s="68"/>
    </row>
    <row r="17" spans="2:21" x14ac:dyDescent="0.25">
      <c r="B17" s="51">
        <v>44403</v>
      </c>
      <c r="C17" s="52">
        <v>44403</v>
      </c>
      <c r="D17" s="52">
        <v>44494</v>
      </c>
      <c r="E17" s="53">
        <v>91</v>
      </c>
      <c r="F17" s="54">
        <v>0.25277777777777799</v>
      </c>
      <c r="G17" s="52">
        <v>44494</v>
      </c>
      <c r="H17" s="57">
        <v>-877963.125548727</v>
      </c>
      <c r="I17" s="57">
        <v>0</v>
      </c>
      <c r="J17" s="235">
        <v>1</v>
      </c>
      <c r="K17" s="235">
        <v>1</v>
      </c>
      <c r="L17" s="54">
        <v>0</v>
      </c>
      <c r="M17" s="58">
        <v>3.7753504544506401E-3</v>
      </c>
      <c r="N17" s="57">
        <v>-837.86189482735494</v>
      </c>
      <c r="O17" s="59">
        <v>1.01557747566834</v>
      </c>
      <c r="P17" s="57">
        <v>-850.91366810746001</v>
      </c>
      <c r="Q17" s="53" t="s">
        <v>31</v>
      </c>
      <c r="R17" s="68"/>
    </row>
    <row r="18" spans="2:21" x14ac:dyDescent="0.25">
      <c r="B18" s="51">
        <v>44494</v>
      </c>
      <c r="C18" s="52">
        <v>44494</v>
      </c>
      <c r="D18" s="52">
        <v>44585</v>
      </c>
      <c r="E18" s="53">
        <v>91</v>
      </c>
      <c r="F18" s="54">
        <v>0.25277777777777799</v>
      </c>
      <c r="G18" s="52">
        <v>44585</v>
      </c>
      <c r="H18" s="57">
        <v>-877963.125548727</v>
      </c>
      <c r="I18" s="57">
        <v>0</v>
      </c>
      <c r="J18" s="235">
        <v>1</v>
      </c>
      <c r="K18" s="235">
        <v>1</v>
      </c>
      <c r="L18" s="54">
        <v>0</v>
      </c>
      <c r="M18" s="58">
        <v>4.8748400374856796E-3</v>
      </c>
      <c r="N18" s="57">
        <v>-1081.87114284264</v>
      </c>
      <c r="O18" s="59">
        <v>1.0155358016764899</v>
      </c>
      <c r="P18" s="57">
        <v>-1098.67887835736</v>
      </c>
      <c r="Q18" s="53" t="s">
        <v>31</v>
      </c>
      <c r="R18" s="68"/>
    </row>
    <row r="19" spans="2:21" x14ac:dyDescent="0.25">
      <c r="B19" s="51">
        <v>44585</v>
      </c>
      <c r="C19" s="52">
        <v>44585</v>
      </c>
      <c r="D19" s="52">
        <v>44676</v>
      </c>
      <c r="E19" s="53">
        <v>91</v>
      </c>
      <c r="F19" s="54">
        <v>0.25277777777777799</v>
      </c>
      <c r="G19" s="52">
        <v>44676</v>
      </c>
      <c r="H19" s="57">
        <v>-877963.125548727</v>
      </c>
      <c r="I19" s="57">
        <v>0</v>
      </c>
      <c r="J19" s="235">
        <v>1</v>
      </c>
      <c r="K19" s="235">
        <v>1</v>
      </c>
      <c r="L19" s="54">
        <v>0</v>
      </c>
      <c r="M19" s="58">
        <v>5.8831839704654399E-3</v>
      </c>
      <c r="N19" s="57">
        <v>-1305.65247613002</v>
      </c>
      <c r="O19" s="59">
        <v>1.01521014329397</v>
      </c>
      <c r="P19" s="57">
        <v>-1325.5116373840899</v>
      </c>
      <c r="Q19" s="53" t="s">
        <v>31</v>
      </c>
      <c r="R19" s="68"/>
    </row>
    <row r="20" spans="2:21" x14ac:dyDescent="0.25">
      <c r="B20" s="51">
        <v>44676</v>
      </c>
      <c r="C20" s="52">
        <v>44676</v>
      </c>
      <c r="D20" s="52">
        <v>44767</v>
      </c>
      <c r="E20" s="53">
        <v>91</v>
      </c>
      <c r="F20" s="54">
        <v>0.25277777777777799</v>
      </c>
      <c r="G20" s="52">
        <v>44767</v>
      </c>
      <c r="H20" s="57">
        <v>-877963.125548727</v>
      </c>
      <c r="I20" s="57">
        <v>0</v>
      </c>
      <c r="J20" s="235">
        <v>1</v>
      </c>
      <c r="K20" s="235">
        <v>1</v>
      </c>
      <c r="L20" s="54">
        <v>0</v>
      </c>
      <c r="M20" s="58">
        <v>6.7583507095683101E-3</v>
      </c>
      <c r="N20" s="57">
        <v>-1499.8778523332301</v>
      </c>
      <c r="O20" s="59">
        <v>1.01466297245788</v>
      </c>
      <c r="P20" s="57">
        <v>-1521.8705199721701</v>
      </c>
      <c r="Q20" s="53" t="s">
        <v>31</v>
      </c>
      <c r="R20" s="68"/>
    </row>
    <row r="21" spans="2:21" x14ac:dyDescent="0.25">
      <c r="B21" s="51">
        <v>44767</v>
      </c>
      <c r="C21" s="52">
        <v>44767</v>
      </c>
      <c r="D21" s="52">
        <v>44858</v>
      </c>
      <c r="E21" s="53">
        <v>91</v>
      </c>
      <c r="F21" s="54">
        <v>0.25277777777777799</v>
      </c>
      <c r="G21" s="52">
        <v>44858</v>
      </c>
      <c r="H21" s="57">
        <v>-877963.125548727</v>
      </c>
      <c r="I21" s="57">
        <v>0</v>
      </c>
      <c r="J21" s="235">
        <v>1</v>
      </c>
      <c r="K21" s="235">
        <v>1</v>
      </c>
      <c r="L21" s="54">
        <v>0</v>
      </c>
      <c r="M21" s="58">
        <v>7.4980004618836601E-3</v>
      </c>
      <c r="N21" s="57">
        <v>-1664.02800222274</v>
      </c>
      <c r="O21" s="59">
        <v>1.0139568032320301</v>
      </c>
      <c r="P21" s="57">
        <v>-1687.2525136223601</v>
      </c>
      <c r="Q21" s="53" t="s">
        <v>31</v>
      </c>
      <c r="R21" s="68"/>
    </row>
    <row r="22" spans="2:21" x14ac:dyDescent="0.25">
      <c r="B22" s="51">
        <v>44858</v>
      </c>
      <c r="C22" s="52">
        <v>44858</v>
      </c>
      <c r="D22" s="52">
        <v>44950</v>
      </c>
      <c r="E22" s="53">
        <v>92</v>
      </c>
      <c r="F22" s="54">
        <v>0.25555555555555598</v>
      </c>
      <c r="G22" s="52">
        <v>44950</v>
      </c>
      <c r="H22" s="57">
        <v>-877963.125548727</v>
      </c>
      <c r="I22" s="57">
        <v>0</v>
      </c>
      <c r="J22" s="235">
        <v>1</v>
      </c>
      <c r="K22" s="235">
        <v>1</v>
      </c>
      <c r="L22" s="54">
        <v>0</v>
      </c>
      <c r="M22" s="58">
        <v>8.1170900629396608E-3</v>
      </c>
      <c r="N22" s="57">
        <v>-1821.21813918264</v>
      </c>
      <c r="O22" s="59">
        <v>1.0131320788505001</v>
      </c>
      <c r="P22" s="57">
        <v>-1845.1345193903401</v>
      </c>
      <c r="Q22" s="53" t="s">
        <v>31</v>
      </c>
      <c r="R22" s="68"/>
    </row>
    <row r="23" spans="2:21" x14ac:dyDescent="0.25">
      <c r="B23" s="51">
        <v>44950</v>
      </c>
      <c r="C23" s="52">
        <v>44950</v>
      </c>
      <c r="D23" s="52">
        <v>45040</v>
      </c>
      <c r="E23" s="53">
        <v>90</v>
      </c>
      <c r="F23" s="54">
        <v>0.25</v>
      </c>
      <c r="G23" s="52">
        <v>45040</v>
      </c>
      <c r="H23" s="57">
        <v>-877963.125548727</v>
      </c>
      <c r="I23" s="57">
        <v>0</v>
      </c>
      <c r="J23" s="235">
        <v>1</v>
      </c>
      <c r="K23" s="235">
        <v>1</v>
      </c>
      <c r="L23" s="54">
        <v>0</v>
      </c>
      <c r="M23" s="58">
        <v>8.71557655023825E-3</v>
      </c>
      <c r="N23" s="57">
        <v>-1912.9887072515901</v>
      </c>
      <c r="O23" s="59">
        <v>1.01221420059261</v>
      </c>
      <c r="P23" s="57">
        <v>-1936.35433505336</v>
      </c>
      <c r="Q23" s="53" t="s">
        <v>31</v>
      </c>
      <c r="R23" s="68"/>
    </row>
    <row r="24" spans="2:21" x14ac:dyDescent="0.25">
      <c r="B24" s="51">
        <v>45040</v>
      </c>
      <c r="C24" s="52">
        <v>45040</v>
      </c>
      <c r="D24" s="52">
        <v>45131</v>
      </c>
      <c r="E24" s="53">
        <v>91</v>
      </c>
      <c r="F24" s="54">
        <v>0.25277777777777799</v>
      </c>
      <c r="G24" s="52">
        <v>45131</v>
      </c>
      <c r="H24" s="57">
        <v>-877963.125548727</v>
      </c>
      <c r="I24" s="57">
        <v>0</v>
      </c>
      <c r="J24" s="235">
        <v>1</v>
      </c>
      <c r="K24" s="235">
        <v>1</v>
      </c>
      <c r="L24" s="54">
        <v>0</v>
      </c>
      <c r="M24" s="58">
        <v>9.3160455288624003E-3</v>
      </c>
      <c r="N24" s="57">
        <v>-2067.50595826378</v>
      </c>
      <c r="O24" s="59">
        <v>1.01115714909585</v>
      </c>
      <c r="P24" s="57">
        <v>-2090.57343049668</v>
      </c>
      <c r="Q24" s="53" t="s">
        <v>31</v>
      </c>
      <c r="R24" s="68"/>
    </row>
    <row r="25" spans="2:21" x14ac:dyDescent="0.25">
      <c r="B25" s="51">
        <v>45131</v>
      </c>
      <c r="C25" s="52">
        <v>45131</v>
      </c>
      <c r="D25" s="52">
        <v>45223</v>
      </c>
      <c r="E25" s="53">
        <v>92</v>
      </c>
      <c r="F25" s="54">
        <v>0.25555555555555598</v>
      </c>
      <c r="G25" s="52">
        <v>45223</v>
      </c>
      <c r="H25" s="57">
        <v>-877963.125548727</v>
      </c>
      <c r="I25" s="57">
        <v>-877963.125548727</v>
      </c>
      <c r="J25" s="235">
        <v>1</v>
      </c>
      <c r="K25" s="235">
        <v>1</v>
      </c>
      <c r="L25" s="54">
        <v>0</v>
      </c>
      <c r="M25" s="58">
        <v>9.9282063827370003E-3</v>
      </c>
      <c r="N25" s="57">
        <v>-880190.70087604097</v>
      </c>
      <c r="O25" s="59">
        <v>1.00993911318385</v>
      </c>
      <c r="P25" s="57">
        <v>-888939.01587541599</v>
      </c>
      <c r="Q25" s="53" t="s">
        <v>31</v>
      </c>
      <c r="R25" s="68"/>
    </row>
    <row r="26" spans="2:21" x14ac:dyDescent="0.25">
      <c r="B26" s="95" t="s">
        <v>31</v>
      </c>
      <c r="C26" s="96" t="s">
        <v>31</v>
      </c>
      <c r="D26" s="96" t="s">
        <v>31</v>
      </c>
      <c r="E26" s="97" t="s">
        <v>31</v>
      </c>
      <c r="F26" s="98" t="s">
        <v>31</v>
      </c>
      <c r="G26" s="96" t="s">
        <v>31</v>
      </c>
      <c r="H26" s="102" t="s">
        <v>31</v>
      </c>
      <c r="I26" s="102" t="s">
        <v>31</v>
      </c>
      <c r="J26" s="236" t="s">
        <v>31</v>
      </c>
      <c r="K26" s="236" t="s">
        <v>31</v>
      </c>
      <c r="L26" s="98" t="s">
        <v>31</v>
      </c>
      <c r="M26" s="103" t="s">
        <v>31</v>
      </c>
      <c r="N26" s="102" t="s">
        <v>31</v>
      </c>
      <c r="O26" s="104" t="s">
        <v>31</v>
      </c>
      <c r="P26" s="102" t="s">
        <v>31</v>
      </c>
      <c r="Q26" s="97" t="s">
        <v>31</v>
      </c>
      <c r="R26" s="237"/>
    </row>
    <row r="27" spans="2:2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2:21" x14ac:dyDescent="0.25">
      <c r="B28" s="22"/>
      <c r="C28" s="22"/>
      <c r="D28" s="22"/>
      <c r="E28" s="22"/>
      <c r="F28" s="22"/>
      <c r="G28" s="239"/>
      <c r="H28" s="239"/>
      <c r="I28" s="239"/>
      <c r="J28" s="239"/>
      <c r="K28" s="121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2:21" x14ac:dyDescent="0.25">
      <c r="B29" s="226" t="s">
        <v>188</v>
      </c>
      <c r="C29" s="22"/>
      <c r="D29" s="22"/>
      <c r="E29" s="22"/>
      <c r="F29" s="238"/>
      <c r="G29" s="239"/>
      <c r="H29" s="239"/>
      <c r="I29" s="239"/>
      <c r="J29" s="239"/>
      <c r="K29" s="121"/>
      <c r="L29" s="238"/>
      <c r="M29" s="240"/>
      <c r="N29" s="239"/>
      <c r="O29" s="121"/>
      <c r="P29" s="239"/>
      <c r="Q29" s="241"/>
      <c r="R29" s="239"/>
      <c r="S29" s="22"/>
      <c r="T29" s="22"/>
      <c r="U29" s="22"/>
    </row>
    <row r="30" spans="2:21" x14ac:dyDescent="0.25">
      <c r="B30" s="227"/>
      <c r="C30" s="228"/>
      <c r="D30" s="228"/>
      <c r="E30" s="229"/>
      <c r="F30" s="230"/>
      <c r="G30" s="228"/>
      <c r="H30" s="231"/>
      <c r="I30" s="231"/>
      <c r="J30" s="230"/>
      <c r="K30" s="230"/>
      <c r="L30" s="230"/>
      <c r="M30" s="232"/>
      <c r="N30" s="231"/>
      <c r="O30" s="242"/>
      <c r="P30" s="231"/>
      <c r="Q30" s="229"/>
      <c r="R30" s="233"/>
      <c r="T30" s="22"/>
    </row>
    <row r="31" spans="2:21" x14ac:dyDescent="0.25">
      <c r="B31" s="51" t="s">
        <v>13</v>
      </c>
      <c r="C31" s="52" t="s">
        <v>14</v>
      </c>
      <c r="D31" s="52" t="s">
        <v>15</v>
      </c>
      <c r="E31" s="53" t="s">
        <v>16</v>
      </c>
      <c r="F31" s="234" t="s">
        <v>184</v>
      </c>
      <c r="G31" s="52" t="s">
        <v>18</v>
      </c>
      <c r="H31" s="57" t="s">
        <v>19</v>
      </c>
      <c r="I31" s="57" t="s">
        <v>22</v>
      </c>
      <c r="J31" s="234" t="s">
        <v>185</v>
      </c>
      <c r="K31" s="234" t="s">
        <v>186</v>
      </c>
      <c r="L31" s="234" t="s">
        <v>187</v>
      </c>
      <c r="M31" s="58" t="s">
        <v>32</v>
      </c>
      <c r="N31" s="57" t="s">
        <v>189</v>
      </c>
      <c r="O31" s="56" t="s">
        <v>190</v>
      </c>
      <c r="P31" s="57" t="s">
        <v>24</v>
      </c>
      <c r="Q31" s="53" t="s">
        <v>25</v>
      </c>
      <c r="R31" s="68" t="s">
        <v>26</v>
      </c>
      <c r="T31" s="22"/>
    </row>
    <row r="32" spans="2:21" x14ac:dyDescent="0.25">
      <c r="B32" s="51" t="s">
        <v>31</v>
      </c>
      <c r="C32" s="52" t="s">
        <v>31</v>
      </c>
      <c r="D32" s="52" t="s">
        <v>31</v>
      </c>
      <c r="E32" s="53" t="s">
        <v>31</v>
      </c>
      <c r="F32" s="54" t="s">
        <v>31</v>
      </c>
      <c r="G32" s="52">
        <v>43397</v>
      </c>
      <c r="H32" s="57" t="s">
        <v>31</v>
      </c>
      <c r="I32" s="57">
        <v>-1000000</v>
      </c>
      <c r="J32" s="234">
        <v>1</v>
      </c>
      <c r="K32" s="234">
        <v>1</v>
      </c>
      <c r="L32" s="54" t="s">
        <v>31</v>
      </c>
      <c r="M32" s="58" t="s">
        <v>31</v>
      </c>
      <c r="N32" s="52" t="s">
        <v>31</v>
      </c>
      <c r="O32" s="56" t="s">
        <v>31</v>
      </c>
      <c r="P32" s="57">
        <v>-1000000</v>
      </c>
      <c r="Q32" s="59">
        <v>1</v>
      </c>
      <c r="R32" s="60">
        <v>-1000000</v>
      </c>
      <c r="T32" s="22"/>
    </row>
    <row r="33" spans="2:20" x14ac:dyDescent="0.25">
      <c r="B33" s="51">
        <v>43397</v>
      </c>
      <c r="C33" s="52">
        <v>43397</v>
      </c>
      <c r="D33" s="52">
        <v>43489</v>
      </c>
      <c r="E33" s="53">
        <v>92</v>
      </c>
      <c r="F33" s="54">
        <v>0.25555555555555598</v>
      </c>
      <c r="G33" s="52">
        <v>43489</v>
      </c>
      <c r="H33" s="57">
        <v>1000000</v>
      </c>
      <c r="I33" s="57">
        <v>-8232.7647713256301</v>
      </c>
      <c r="J33" s="234">
        <v>1</v>
      </c>
      <c r="K33" s="234">
        <v>1</v>
      </c>
      <c r="L33" s="54">
        <v>0</v>
      </c>
      <c r="M33" s="58">
        <v>2.4747536910397799E-2</v>
      </c>
      <c r="N33" s="52">
        <v>43397</v>
      </c>
      <c r="O33" s="56">
        <v>0.87796312554872702</v>
      </c>
      <c r="P33" s="57">
        <v>-1908.3942275572999</v>
      </c>
      <c r="Q33" s="59">
        <v>0.99418049750839499</v>
      </c>
      <c r="R33" s="60">
        <v>-1897.28832259506</v>
      </c>
      <c r="T33" s="22"/>
    </row>
    <row r="34" spans="2:20" x14ac:dyDescent="0.25">
      <c r="B34" s="51">
        <v>43489</v>
      </c>
      <c r="C34" s="52">
        <v>43489</v>
      </c>
      <c r="D34" s="52">
        <v>43579</v>
      </c>
      <c r="E34" s="53">
        <v>90</v>
      </c>
      <c r="F34" s="54">
        <v>0.25</v>
      </c>
      <c r="G34" s="52">
        <v>43579</v>
      </c>
      <c r="H34" s="57">
        <v>1008232.7647713301</v>
      </c>
      <c r="I34" s="57">
        <v>-8104.2385391747803</v>
      </c>
      <c r="J34" s="234">
        <v>1</v>
      </c>
      <c r="K34" s="234">
        <v>1</v>
      </c>
      <c r="L34" s="54">
        <v>0</v>
      </c>
      <c r="M34" s="58">
        <v>2.7958065227277701E-2</v>
      </c>
      <c r="N34" s="52">
        <v>43489</v>
      </c>
      <c r="O34" s="56">
        <v>0.87079408270158198</v>
      </c>
      <c r="P34" s="57">
        <v>-1057.17918873596</v>
      </c>
      <c r="Q34" s="59">
        <v>0.98804066472492502</v>
      </c>
      <c r="R34" s="60">
        <v>-1044.5360283720299</v>
      </c>
      <c r="T34" s="22"/>
    </row>
    <row r="35" spans="2:20" x14ac:dyDescent="0.25">
      <c r="B35" s="51">
        <v>43579</v>
      </c>
      <c r="C35" s="52">
        <v>43579</v>
      </c>
      <c r="D35" s="52">
        <v>43670</v>
      </c>
      <c r="E35" s="53">
        <v>91</v>
      </c>
      <c r="F35" s="54">
        <v>0.25277777777777799</v>
      </c>
      <c r="G35" s="52">
        <v>43670</v>
      </c>
      <c r="H35" s="57">
        <v>1016337.0033104999</v>
      </c>
      <c r="I35" s="57">
        <v>-8634.6174836630198</v>
      </c>
      <c r="J35" s="234">
        <v>1</v>
      </c>
      <c r="K35" s="234">
        <v>1</v>
      </c>
      <c r="L35" s="54">
        <v>0</v>
      </c>
      <c r="M35" s="58">
        <v>2.9376405846927599E-2</v>
      </c>
      <c r="N35" s="52">
        <v>43579</v>
      </c>
      <c r="O35" s="56">
        <v>0.86385039872498004</v>
      </c>
      <c r="P35" s="57">
        <v>-1087.6011667978801</v>
      </c>
      <c r="Q35" s="59">
        <v>0.98141870805932296</v>
      </c>
      <c r="R35" s="60">
        <v>-1067.39213200258</v>
      </c>
      <c r="T35" s="22"/>
    </row>
    <row r="36" spans="2:20" x14ac:dyDescent="0.25">
      <c r="B36" s="51">
        <v>43670</v>
      </c>
      <c r="C36" s="52">
        <v>43670</v>
      </c>
      <c r="D36" s="52">
        <v>43762</v>
      </c>
      <c r="E36" s="53">
        <v>92</v>
      </c>
      <c r="F36" s="54">
        <v>0.25555555555555598</v>
      </c>
      <c r="G36" s="52">
        <v>43762</v>
      </c>
      <c r="H36" s="57">
        <v>1024971.6207941599</v>
      </c>
      <c r="I36" s="57">
        <v>-8886.0955015991294</v>
      </c>
      <c r="J36" s="234">
        <v>1</v>
      </c>
      <c r="K36" s="234">
        <v>1</v>
      </c>
      <c r="L36" s="54">
        <v>0</v>
      </c>
      <c r="M36" s="58">
        <v>3.0538343749320799E-2</v>
      </c>
      <c r="N36" s="52">
        <v>43670</v>
      </c>
      <c r="O36" s="56">
        <v>0.85657310674462195</v>
      </c>
      <c r="P36" s="57">
        <v>-886.96749215973398</v>
      </c>
      <c r="Q36" s="59">
        <v>0.97480251014061603</v>
      </c>
      <c r="R36" s="60">
        <v>-864.61813777043596</v>
      </c>
      <c r="T36" s="22"/>
    </row>
    <row r="37" spans="2:20" x14ac:dyDescent="0.25">
      <c r="B37" s="51">
        <v>43762</v>
      </c>
      <c r="C37" s="52">
        <v>43762</v>
      </c>
      <c r="D37" s="52">
        <v>43854</v>
      </c>
      <c r="E37" s="53">
        <v>92</v>
      </c>
      <c r="F37" s="54">
        <v>0.25555555555555598</v>
      </c>
      <c r="G37" s="52">
        <v>43854</v>
      </c>
      <c r="H37" s="57">
        <v>1033857.71629576</v>
      </c>
      <c r="I37" s="57">
        <v>-8906.2415759293308</v>
      </c>
      <c r="J37" s="234">
        <v>1</v>
      </c>
      <c r="K37" s="234">
        <v>1</v>
      </c>
      <c r="L37" s="54">
        <v>0</v>
      </c>
      <c r="M37" s="58">
        <v>3.1352922069901999E-2</v>
      </c>
      <c r="N37" s="52">
        <v>43762</v>
      </c>
      <c r="O37" s="56">
        <v>0.84921078762598501</v>
      </c>
      <c r="P37" s="57">
        <v>-622.54613771908998</v>
      </c>
      <c r="Q37" s="59">
        <v>0.96806869126051798</v>
      </c>
      <c r="R37" s="60">
        <v>-602.66742479100901</v>
      </c>
      <c r="T37" s="22"/>
    </row>
    <row r="38" spans="2:20" x14ac:dyDescent="0.25">
      <c r="B38" s="51">
        <v>43854</v>
      </c>
      <c r="C38" s="52">
        <v>43854</v>
      </c>
      <c r="D38" s="52">
        <v>43945</v>
      </c>
      <c r="E38" s="53">
        <v>91</v>
      </c>
      <c r="F38" s="54">
        <v>0.25277777777777799</v>
      </c>
      <c r="G38" s="52">
        <v>43945</v>
      </c>
      <c r="H38" s="57">
        <v>1042763.95787169</v>
      </c>
      <c r="I38" s="57">
        <v>-8836.6019221537208</v>
      </c>
      <c r="J38" s="234">
        <v>1</v>
      </c>
      <c r="K38" s="234">
        <v>1</v>
      </c>
      <c r="L38" s="54">
        <v>0</v>
      </c>
      <c r="M38" s="58">
        <v>3.17494350174755E-2</v>
      </c>
      <c r="N38" s="52">
        <v>43854</v>
      </c>
      <c r="O38" s="56">
        <v>0.84195768267698101</v>
      </c>
      <c r="P38" s="57">
        <v>-467.84594095880499</v>
      </c>
      <c r="Q38" s="59">
        <v>0.96123480057128796</v>
      </c>
      <c r="R38" s="60">
        <v>-449.70979975562301</v>
      </c>
      <c r="T38" s="22"/>
    </row>
    <row r="39" spans="2:20" x14ac:dyDescent="0.25">
      <c r="B39" s="51">
        <v>43945</v>
      </c>
      <c r="C39" s="52">
        <v>43945</v>
      </c>
      <c r="D39" s="52">
        <v>44036</v>
      </c>
      <c r="E39" s="53">
        <v>91</v>
      </c>
      <c r="F39" s="54">
        <v>0.25277777777777799</v>
      </c>
      <c r="G39" s="52">
        <v>44036</v>
      </c>
      <c r="H39" s="57">
        <v>1051600.5597938499</v>
      </c>
      <c r="I39" s="57">
        <v>-8875.1375549191107</v>
      </c>
      <c r="J39" s="234">
        <v>1</v>
      </c>
      <c r="K39" s="234">
        <v>1</v>
      </c>
      <c r="L39" s="54">
        <v>0</v>
      </c>
      <c r="M39" s="58">
        <v>3.1767438395896998E-2</v>
      </c>
      <c r="N39" s="52">
        <v>43945</v>
      </c>
      <c r="O39" s="56">
        <v>0.83488271033332395</v>
      </c>
      <c r="P39" s="57">
        <v>-430.67728816604898</v>
      </c>
      <c r="Q39" s="59">
        <v>0.95428552254330001</v>
      </c>
      <c r="R39" s="60">
        <v>-410.98910098507002</v>
      </c>
      <c r="T39" s="22"/>
    </row>
    <row r="40" spans="2:20" x14ac:dyDescent="0.25">
      <c r="B40" s="51">
        <v>44036</v>
      </c>
      <c r="C40" s="52">
        <v>44036</v>
      </c>
      <c r="D40" s="52">
        <v>44130</v>
      </c>
      <c r="E40" s="53">
        <v>94</v>
      </c>
      <c r="F40" s="54">
        <v>0.26111111111111102</v>
      </c>
      <c r="G40" s="52">
        <v>44130</v>
      </c>
      <c r="H40" s="57">
        <v>1060475.69734876</v>
      </c>
      <c r="I40" s="57">
        <v>-9143.1020635869299</v>
      </c>
      <c r="J40" s="234">
        <v>1</v>
      </c>
      <c r="K40" s="234">
        <v>1</v>
      </c>
      <c r="L40" s="54">
        <v>0</v>
      </c>
      <c r="M40" s="58">
        <v>3.1642638428496399E-2</v>
      </c>
      <c r="N40" s="52">
        <v>44036</v>
      </c>
      <c r="O40" s="56">
        <v>0.82789556398479702</v>
      </c>
      <c r="P40" s="57">
        <v>-381.192588528687</v>
      </c>
      <c r="Q40" s="59">
        <v>0.94710989736238504</v>
      </c>
      <c r="R40" s="60">
        <v>-361.03127339670698</v>
      </c>
      <c r="T40" s="22"/>
    </row>
    <row r="41" spans="2:20" x14ac:dyDescent="0.25">
      <c r="B41" s="51">
        <v>44130</v>
      </c>
      <c r="C41" s="52">
        <v>44130</v>
      </c>
      <c r="D41" s="52">
        <v>44221</v>
      </c>
      <c r="E41" s="53">
        <v>91</v>
      </c>
      <c r="F41" s="54">
        <v>0.25277777777777799</v>
      </c>
      <c r="G41" s="52">
        <v>44221</v>
      </c>
      <c r="H41" s="57">
        <v>1069618.7994123499</v>
      </c>
      <c r="I41" s="57">
        <v>-8722.6107768053098</v>
      </c>
      <c r="J41" s="234">
        <v>1</v>
      </c>
      <c r="K41" s="234">
        <v>1</v>
      </c>
      <c r="L41" s="54">
        <v>0</v>
      </c>
      <c r="M41" s="58">
        <v>3.1523129709496799E-2</v>
      </c>
      <c r="N41" s="52">
        <v>44130</v>
      </c>
      <c r="O41" s="56">
        <v>0.82081871226560299</v>
      </c>
      <c r="P41" s="57">
        <v>-199.51737131404801</v>
      </c>
      <c r="Q41" s="59">
        <v>0.94029769614048297</v>
      </c>
      <c r="R41" s="60">
        <v>-187.60572458660499</v>
      </c>
      <c r="T41" s="22"/>
    </row>
    <row r="42" spans="2:20" x14ac:dyDescent="0.25">
      <c r="B42" s="51">
        <v>44221</v>
      </c>
      <c r="C42" s="52">
        <v>44221</v>
      </c>
      <c r="D42" s="52">
        <v>44312</v>
      </c>
      <c r="E42" s="53">
        <v>91</v>
      </c>
      <c r="F42" s="54">
        <v>0.25277777777777799</v>
      </c>
      <c r="G42" s="52">
        <v>44312</v>
      </c>
      <c r="H42" s="57">
        <v>1078341.4101891599</v>
      </c>
      <c r="I42" s="57">
        <v>-8509.6159571511598</v>
      </c>
      <c r="J42" s="234">
        <v>1</v>
      </c>
      <c r="K42" s="234">
        <v>1</v>
      </c>
      <c r="L42" s="54">
        <v>0</v>
      </c>
      <c r="M42" s="58">
        <v>3.1477658109462299E-2</v>
      </c>
      <c r="N42" s="52">
        <v>44221</v>
      </c>
      <c r="O42" s="56">
        <v>0.81417918040884596</v>
      </c>
      <c r="P42" s="57">
        <v>70.587552304630705</v>
      </c>
      <c r="Q42" s="59">
        <v>0.93364616322649296</v>
      </c>
      <c r="R42" s="60">
        <v>65.903797380767799</v>
      </c>
      <c r="T42" s="22"/>
    </row>
    <row r="43" spans="2:20" x14ac:dyDescent="0.25">
      <c r="B43" s="51">
        <v>44312</v>
      </c>
      <c r="C43" s="52">
        <v>44312</v>
      </c>
      <c r="D43" s="52">
        <v>44403</v>
      </c>
      <c r="E43" s="53">
        <v>91</v>
      </c>
      <c r="F43" s="54">
        <v>0.25277777777777799</v>
      </c>
      <c r="G43" s="52">
        <v>44403</v>
      </c>
      <c r="H43" s="57">
        <v>1086851.0261463099</v>
      </c>
      <c r="I43" s="57">
        <v>-8218.9234928779697</v>
      </c>
      <c r="J43" s="234">
        <v>1</v>
      </c>
      <c r="K43" s="234">
        <v>1</v>
      </c>
      <c r="L43" s="54">
        <v>0</v>
      </c>
      <c r="M43" s="58">
        <v>3.1275872470739298E-2</v>
      </c>
      <c r="N43" s="52">
        <v>44312</v>
      </c>
      <c r="O43" s="56">
        <v>0.80780447773211095</v>
      </c>
      <c r="P43" s="57">
        <v>373.55284614538101</v>
      </c>
      <c r="Q43" s="59">
        <v>0.92715084484492705</v>
      </c>
      <c r="R43" s="60">
        <v>346.339836897917</v>
      </c>
      <c r="T43" s="22"/>
    </row>
    <row r="44" spans="2:20" x14ac:dyDescent="0.25">
      <c r="B44" s="51">
        <v>44403</v>
      </c>
      <c r="C44" s="52">
        <v>44403</v>
      </c>
      <c r="D44" s="52">
        <v>44494</v>
      </c>
      <c r="E44" s="53">
        <v>91</v>
      </c>
      <c r="F44" s="54">
        <v>0.25277777777777799</v>
      </c>
      <c r="G44" s="52">
        <v>44494</v>
      </c>
      <c r="H44" s="57">
        <v>1095069.94963919</v>
      </c>
      <c r="I44" s="57">
        <v>-7901.7872388076503</v>
      </c>
      <c r="J44" s="234">
        <v>1</v>
      </c>
      <c r="K44" s="234">
        <v>1</v>
      </c>
      <c r="L44" s="54">
        <v>0</v>
      </c>
      <c r="M44" s="58">
        <v>3.0977376039435699E-2</v>
      </c>
      <c r="N44" s="52">
        <v>44403</v>
      </c>
      <c r="O44" s="56">
        <v>0.80174159270648104</v>
      </c>
      <c r="P44" s="57">
        <v>673.04003722225605</v>
      </c>
      <c r="Q44" s="59">
        <v>0.92076473196219499</v>
      </c>
      <c r="R44" s="60">
        <v>619.71152947277596</v>
      </c>
      <c r="T44" s="22"/>
    </row>
    <row r="45" spans="2:20" x14ac:dyDescent="0.25">
      <c r="B45" s="51">
        <v>44494</v>
      </c>
      <c r="C45" s="52">
        <v>44494</v>
      </c>
      <c r="D45" s="52">
        <v>44585</v>
      </c>
      <c r="E45" s="53">
        <v>91</v>
      </c>
      <c r="F45" s="54">
        <v>0.25277777777777799</v>
      </c>
      <c r="G45" s="52">
        <v>44585</v>
      </c>
      <c r="H45" s="57">
        <v>1102971.73687799</v>
      </c>
      <c r="I45" s="57">
        <v>-7595.9640467085401</v>
      </c>
      <c r="J45" s="234">
        <v>1</v>
      </c>
      <c r="K45" s="234">
        <v>1</v>
      </c>
      <c r="L45" s="54">
        <v>0</v>
      </c>
      <c r="M45" s="58">
        <v>3.06229154863778E-2</v>
      </c>
      <c r="N45" s="52">
        <v>44494</v>
      </c>
      <c r="O45" s="56">
        <v>0.79599784490746495</v>
      </c>
      <c r="P45" s="57">
        <v>941.91133020065001</v>
      </c>
      <c r="Q45" s="59">
        <v>0.91442944075440902</v>
      </c>
      <c r="R45" s="60">
        <v>861.311450915622</v>
      </c>
      <c r="T45" s="22"/>
    </row>
    <row r="46" spans="2:20" x14ac:dyDescent="0.25">
      <c r="B46" s="51">
        <v>44585</v>
      </c>
      <c r="C46" s="52">
        <v>44585</v>
      </c>
      <c r="D46" s="52">
        <v>44676</v>
      </c>
      <c r="E46" s="53">
        <v>91</v>
      </c>
      <c r="F46" s="54">
        <v>0.25277777777777799</v>
      </c>
      <c r="G46" s="52">
        <v>44676</v>
      </c>
      <c r="H46" s="57">
        <v>1110567.7009246999</v>
      </c>
      <c r="I46" s="57">
        <v>-7339.1329711605704</v>
      </c>
      <c r="J46" s="234">
        <v>1</v>
      </c>
      <c r="K46" s="234">
        <v>1</v>
      </c>
      <c r="L46" s="54">
        <v>0</v>
      </c>
      <c r="M46" s="58">
        <v>3.03730026243039E-2</v>
      </c>
      <c r="N46" s="52">
        <v>44585</v>
      </c>
      <c r="O46" s="56">
        <v>0.79055344831089602</v>
      </c>
      <c r="P46" s="57">
        <v>1187.3839405434001</v>
      </c>
      <c r="Q46" s="59">
        <v>0.90813483960555397</v>
      </c>
      <c r="R46" s="60">
        <v>1078.30472439559</v>
      </c>
      <c r="T46" s="22"/>
    </row>
    <row r="47" spans="2:20" x14ac:dyDescent="0.25">
      <c r="B47" s="51">
        <v>44676</v>
      </c>
      <c r="C47" s="52">
        <v>44676</v>
      </c>
      <c r="D47" s="52">
        <v>44767</v>
      </c>
      <c r="E47" s="53">
        <v>91</v>
      </c>
      <c r="F47" s="54">
        <v>0.25277777777777799</v>
      </c>
      <c r="G47" s="52">
        <v>44767</v>
      </c>
      <c r="H47" s="57">
        <v>1117906.83389586</v>
      </c>
      <c r="I47" s="57">
        <v>-7138.8156632236196</v>
      </c>
      <c r="J47" s="234">
        <v>1</v>
      </c>
      <c r="K47" s="234">
        <v>1</v>
      </c>
      <c r="L47" s="54">
        <v>0</v>
      </c>
      <c r="M47" s="58">
        <v>3.02689825537556E-2</v>
      </c>
      <c r="N47" s="52">
        <v>44676</v>
      </c>
      <c r="O47" s="56">
        <v>0.78536341216294303</v>
      </c>
      <c r="P47" s="57">
        <v>1414.65412323343</v>
      </c>
      <c r="Q47" s="59">
        <v>0.90188604600669497</v>
      </c>
      <c r="R47" s="60">
        <v>1275.8568136700601</v>
      </c>
      <c r="T47" s="22"/>
    </row>
    <row r="48" spans="2:20" x14ac:dyDescent="0.25">
      <c r="B48" s="51">
        <v>44767</v>
      </c>
      <c r="C48" s="52">
        <v>44767</v>
      </c>
      <c r="D48" s="52">
        <v>44858</v>
      </c>
      <c r="E48" s="53">
        <v>91</v>
      </c>
      <c r="F48" s="54">
        <v>0.25277777777777799</v>
      </c>
      <c r="G48" s="52">
        <v>44858</v>
      </c>
      <c r="H48" s="57">
        <v>1125045.6495590899</v>
      </c>
      <c r="I48" s="57">
        <v>-6995.2230138969599</v>
      </c>
      <c r="J48" s="234">
        <v>1</v>
      </c>
      <c r="K48" s="234">
        <v>1</v>
      </c>
      <c r="L48" s="54">
        <v>0</v>
      </c>
      <c r="M48" s="58">
        <v>3.0313224452308399E-2</v>
      </c>
      <c r="N48" s="52">
        <v>44767</v>
      </c>
      <c r="O48" s="56">
        <v>0.78038000137399499</v>
      </c>
      <c r="P48" s="57">
        <v>1625.44997990907</v>
      </c>
      <c r="Q48" s="59">
        <v>0.89568921741088803</v>
      </c>
      <c r="R48" s="60">
        <v>1455.8980204453001</v>
      </c>
      <c r="T48" s="22"/>
    </row>
    <row r="49" spans="2:20" x14ac:dyDescent="0.25">
      <c r="B49" s="51">
        <v>44858</v>
      </c>
      <c r="C49" s="52">
        <v>44858</v>
      </c>
      <c r="D49" s="52">
        <v>44950</v>
      </c>
      <c r="E49" s="53">
        <v>92</v>
      </c>
      <c r="F49" s="54">
        <v>0.25555555555555598</v>
      </c>
      <c r="G49" s="52">
        <v>44950</v>
      </c>
      <c r="H49" s="57">
        <v>1132040.8725729799</v>
      </c>
      <c r="I49" s="57">
        <v>-6973.1745390244696</v>
      </c>
      <c r="J49" s="234">
        <v>1</v>
      </c>
      <c r="K49" s="234">
        <v>1</v>
      </c>
      <c r="L49" s="54">
        <v>0</v>
      </c>
      <c r="M49" s="58">
        <v>3.0473141277419201E-2</v>
      </c>
      <c r="N49" s="52">
        <v>44858</v>
      </c>
      <c r="O49" s="56">
        <v>0.77555779726683305</v>
      </c>
      <c r="P49" s="57">
        <v>1842.6849405286</v>
      </c>
      <c r="Q49" s="59">
        <v>0.88948163670089297</v>
      </c>
      <c r="R49" s="60">
        <v>1639.0344168254601</v>
      </c>
      <c r="T49" s="22"/>
    </row>
    <row r="50" spans="2:20" x14ac:dyDescent="0.25">
      <c r="B50" s="51">
        <v>44950</v>
      </c>
      <c r="C50" s="52">
        <v>44950</v>
      </c>
      <c r="D50" s="52">
        <v>45040</v>
      </c>
      <c r="E50" s="53">
        <v>90</v>
      </c>
      <c r="F50" s="54">
        <v>0.25</v>
      </c>
      <c r="G50" s="52">
        <v>45040</v>
      </c>
      <c r="H50" s="57">
        <v>1139014.04711201</v>
      </c>
      <c r="I50" s="57">
        <v>-6726.6228536199696</v>
      </c>
      <c r="J50" s="234">
        <v>1</v>
      </c>
      <c r="K50" s="234">
        <v>1</v>
      </c>
      <c r="L50" s="54">
        <v>0</v>
      </c>
      <c r="M50" s="58">
        <v>3.06252773892908E-2</v>
      </c>
      <c r="N50" s="52">
        <v>44950</v>
      </c>
      <c r="O50" s="56">
        <v>0.77080974354514697</v>
      </c>
      <c r="P50" s="57">
        <v>1994.0324321560099</v>
      </c>
      <c r="Q50" s="59">
        <v>0.88345838384438102</v>
      </c>
      <c r="R50" s="60">
        <v>1761.6446698458301</v>
      </c>
      <c r="T50" s="22"/>
    </row>
    <row r="51" spans="2:20" x14ac:dyDescent="0.25">
      <c r="B51" s="51">
        <v>45040</v>
      </c>
      <c r="C51" s="52">
        <v>45040</v>
      </c>
      <c r="D51" s="52">
        <v>45131</v>
      </c>
      <c r="E51" s="53">
        <v>91</v>
      </c>
      <c r="F51" s="54">
        <v>0.25277777777777799</v>
      </c>
      <c r="G51" s="52">
        <v>45131</v>
      </c>
      <c r="H51" s="57">
        <v>1145740.6699656299</v>
      </c>
      <c r="I51" s="57">
        <v>-6697.71336125582</v>
      </c>
      <c r="J51" s="234">
        <v>1</v>
      </c>
      <c r="K51" s="234">
        <v>1</v>
      </c>
      <c r="L51" s="54">
        <v>0</v>
      </c>
      <c r="M51" s="58">
        <v>3.0743046047523401E-2</v>
      </c>
      <c r="N51" s="52">
        <v>45040</v>
      </c>
      <c r="O51" s="56">
        <v>0.76628433341295799</v>
      </c>
      <c r="P51" s="57">
        <v>2206.01939971612</v>
      </c>
      <c r="Q51" s="59">
        <v>0.87740669152030404</v>
      </c>
      <c r="R51" s="60">
        <v>1935.5761829345299</v>
      </c>
      <c r="T51" s="22"/>
    </row>
    <row r="52" spans="2:20" x14ac:dyDescent="0.25">
      <c r="B52" s="51">
        <v>45131</v>
      </c>
      <c r="C52" s="52">
        <v>45131</v>
      </c>
      <c r="D52" s="52">
        <v>45223</v>
      </c>
      <c r="E52" s="53">
        <v>92</v>
      </c>
      <c r="F52" s="54">
        <v>0.25555555555555598</v>
      </c>
      <c r="G52" s="52">
        <v>45223</v>
      </c>
      <c r="H52" s="57">
        <v>1152438.3833268799</v>
      </c>
      <c r="I52" s="57">
        <v>1152438.3833268799</v>
      </c>
      <c r="J52" s="234">
        <v>1</v>
      </c>
      <c r="K52" s="234">
        <v>1</v>
      </c>
      <c r="L52" s="54">
        <v>0</v>
      </c>
      <c r="M52" s="58">
        <v>3.08243015936541E-2</v>
      </c>
      <c r="N52" s="52">
        <v>45131</v>
      </c>
      <c r="O52" s="56">
        <v>0.76183086076515805</v>
      </c>
      <c r="P52" s="57">
        <v>1161516.51100247</v>
      </c>
      <c r="Q52" s="59">
        <v>0.87131411033355299</v>
      </c>
      <c r="R52" s="60">
        <v>1012045.72542185</v>
      </c>
      <c r="T52" s="22"/>
    </row>
    <row r="53" spans="2:20" x14ac:dyDescent="0.25">
      <c r="B53" s="95" t="s">
        <v>31</v>
      </c>
      <c r="C53" s="96" t="s">
        <v>31</v>
      </c>
      <c r="D53" s="96" t="s">
        <v>31</v>
      </c>
      <c r="E53" s="97" t="s">
        <v>31</v>
      </c>
      <c r="F53" s="98" t="s">
        <v>31</v>
      </c>
      <c r="G53" s="96" t="s">
        <v>31</v>
      </c>
      <c r="H53" s="102" t="s">
        <v>31</v>
      </c>
      <c r="I53" s="102" t="s">
        <v>31</v>
      </c>
      <c r="J53" s="236" t="s">
        <v>31</v>
      </c>
      <c r="K53" s="236" t="s">
        <v>31</v>
      </c>
      <c r="L53" s="98" t="s">
        <v>31</v>
      </c>
      <c r="M53" s="103" t="s">
        <v>31</v>
      </c>
      <c r="N53" s="96" t="s">
        <v>31</v>
      </c>
      <c r="O53" s="101" t="s">
        <v>31</v>
      </c>
      <c r="P53" s="102" t="s">
        <v>31</v>
      </c>
      <c r="Q53" s="104" t="s">
        <v>31</v>
      </c>
      <c r="R53" s="105" t="s">
        <v>31</v>
      </c>
      <c r="T53" s="22"/>
    </row>
    <row r="54" spans="2:20" x14ac:dyDescent="0.25">
      <c r="T54" s="22"/>
    </row>
    <row r="55" spans="2:20" x14ac:dyDescent="0.25">
      <c r="T55" s="22"/>
    </row>
    <row r="56" spans="2:20" x14ac:dyDescent="0.25">
      <c r="T56" s="22"/>
    </row>
    <row r="57" spans="2:20" x14ac:dyDescent="0.25">
      <c r="T57" s="22"/>
    </row>
    <row r="58" spans="2:20" x14ac:dyDescent="0.25">
      <c r="T58" s="22"/>
    </row>
    <row r="59" spans="2:20" x14ac:dyDescent="0.25">
      <c r="T59" s="22"/>
    </row>
    <row r="60" spans="2:20" x14ac:dyDescent="0.25">
      <c r="T60" s="22"/>
    </row>
    <row r="61" spans="2:20" x14ac:dyDescent="0.25">
      <c r="T61" s="22"/>
    </row>
    <row r="62" spans="2:20" x14ac:dyDescent="0.25">
      <c r="T62" s="22"/>
    </row>
    <row r="63" spans="2:20" x14ac:dyDescent="0.25">
      <c r="T63" s="22"/>
    </row>
    <row r="64" spans="2:20" x14ac:dyDescent="0.25">
      <c r="T64" s="22"/>
    </row>
    <row r="65" spans="20:20" x14ac:dyDescent="0.25">
      <c r="T65" s="22"/>
    </row>
    <row r="66" spans="20:20" x14ac:dyDescent="0.25">
      <c r="T66" s="22"/>
    </row>
    <row r="67" spans="20:20" x14ac:dyDescent="0.25">
      <c r="T67" s="22"/>
    </row>
    <row r="68" spans="20:20" x14ac:dyDescent="0.25">
      <c r="T68" s="22"/>
    </row>
    <row r="69" spans="20:20" x14ac:dyDescent="0.25">
      <c r="T69" s="22"/>
    </row>
    <row r="70" spans="20:20" x14ac:dyDescent="0.25">
      <c r="T7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56</vt:i4>
      </vt:variant>
    </vt:vector>
  </HeadingPairs>
  <TitlesOfParts>
    <vt:vector size="62" baseType="lpstr">
      <vt:lpstr>XccyPricing</vt:lpstr>
      <vt:lpstr>Formulae</vt:lpstr>
      <vt:lpstr>Example</vt:lpstr>
      <vt:lpstr>CashflowDiagram</vt:lpstr>
      <vt:lpstr>LiveXccy1Y</vt:lpstr>
      <vt:lpstr>LiveXccy5Y</vt:lpstr>
      <vt:lpstr>Annuity1</vt:lpstr>
      <vt:lpstr>Annuity2</vt:lpstr>
      <vt:lpstr>CSACurrency</vt:lpstr>
      <vt:lpstr>DayCountBasis1</vt:lpstr>
      <vt:lpstr>DayCountBasis2</vt:lpstr>
      <vt:lpstr>EURDISCOUNTFACTORS</vt:lpstr>
      <vt:lpstr>EURDISCOUNTFACTORS_EURCSA</vt:lpstr>
      <vt:lpstr>EURDISCOUNTFACTORS_USDCSA</vt:lpstr>
      <vt:lpstr>EURIBOR3M</vt:lpstr>
      <vt:lpstr>FloatIndex1</vt:lpstr>
      <vt:lpstr>FloatIndex2</vt:lpstr>
      <vt:lpstr>FORWARDFX</vt:lpstr>
      <vt:lpstr>Frequency1</vt:lpstr>
      <vt:lpstr>Frequency2</vt:lpstr>
      <vt:lpstr>LegCurrency1</vt:lpstr>
      <vt:lpstr>LegCurrency2</vt:lpstr>
      <vt:lpstr>LegNotional1</vt:lpstr>
      <vt:lpstr>LegNotional2</vt:lpstr>
      <vt:lpstr>LegPV1</vt:lpstr>
      <vt:lpstr>LegPV2</vt:lpstr>
      <vt:lpstr>LegPVNoSpread1</vt:lpstr>
      <vt:lpstr>LegPVNoSpread2</vt:lpstr>
      <vt:lpstr>LegResetsRequired1</vt:lpstr>
      <vt:lpstr>LegResetsRequired2</vt:lpstr>
      <vt:lpstr>LegSpotFX1</vt:lpstr>
      <vt:lpstr>LegSpotFX2</vt:lpstr>
      <vt:lpstr>LegType1</vt:lpstr>
      <vt:lpstr>LegType2</vt:lpstr>
      <vt:lpstr>MaturityDate</vt:lpstr>
      <vt:lpstr>MaturityYears</vt:lpstr>
      <vt:lpstr>MTM</vt:lpstr>
      <vt:lpstr>NotionalExchanges</vt:lpstr>
      <vt:lpstr>NotionalExchanges1</vt:lpstr>
      <vt:lpstr>NotionalExchanges2</vt:lpstr>
      <vt:lpstr>ParRateOrSpread1</vt:lpstr>
      <vt:lpstr>ParRateOrSpread2</vt:lpstr>
      <vt:lpstr>PayReceive1</vt:lpstr>
      <vt:lpstr>PayReceive2</vt:lpstr>
      <vt:lpstr>XccyPricing!Print_Area</vt:lpstr>
      <vt:lpstr>RateOrSpread1</vt:lpstr>
      <vt:lpstr>RateOrSpread2</vt:lpstr>
      <vt:lpstr>ResetCurrency</vt:lpstr>
      <vt:lpstr>SpotFX</vt:lpstr>
      <vt:lpstr>SwapPV</vt:lpstr>
      <vt:lpstr>TradeCurrency</vt:lpstr>
      <vt:lpstr>TradeNotional</vt:lpstr>
      <vt:lpstr>USDDISCOUNTFACTORS</vt:lpstr>
      <vt:lpstr>USDDISCOUNTFACTORS_EURCSA</vt:lpstr>
      <vt:lpstr>USDDISCOUNTFACTORS_USDCSA</vt:lpstr>
      <vt:lpstr>USDEURFORWARDFX</vt:lpstr>
      <vt:lpstr>USDLIBOR3M</vt:lpstr>
      <vt:lpstr>UseMarketSchedule1</vt:lpstr>
      <vt:lpstr>UseMarketSchedule2</vt:lpstr>
      <vt:lpstr>ValuationCurrency</vt:lpstr>
      <vt:lpstr>ValuationFXAdj1</vt:lpstr>
      <vt:lpstr>ValuationFXAdj2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2018-11-03T12:54:47Z</dcterms:created>
  <dcterms:modified xsi:type="dcterms:W3CDTF">2021-09-12T19:16:44Z</dcterms:modified>
</cp:coreProperties>
</file>