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3.vml" ContentType="application/vnd.openxmlformats-officedocument.vmlDrawing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drawings/vmlDrawing4.vml" ContentType="application/vnd.openxmlformats-officedocument.vmlDrawing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drawings/vmlDrawing5.vml" ContentType="application/vnd.openxmlformats-officedocument.vmlDrawing"/>
  <Override PartName="/xl/comments5.xml" ContentType="application/vnd.openxmlformats-officedocument.spreadsheetml.comments+xml"/>
  <Override PartName="/xl/worksheets/sheet6.xml" ContentType="application/vnd.openxmlformats-officedocument.spreadsheetml.worksheet+xml"/>
  <Override PartName="/xl/drawings/vmlDrawing6.vml" ContentType="application/vnd.openxmlformats-officedocument.vmlDrawing"/>
  <Override PartName="/xl/comments6.xml" ContentType="application/vnd.openxmlformats-officedocument.spreadsheetml.comments+xml"/>
  <Override PartName="/xl/worksheets/sheet7.xml" ContentType="application/vnd.openxmlformats-officedocument.spreadsheetml.worksheet+xml"/>
  <Override PartName="/xl/drawings/vmlDrawing7.vml" ContentType="application/vnd.openxmlformats-officedocument.vmlDrawing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drawings/vmlDrawing8.vml" ContentType="application/vnd.openxmlformats-officedocument.vmlDrawing"/>
  <Override PartName="/xl/comments8.xml" ContentType="application/vnd.openxmlformats-officedocument.spreadsheetml.comments+xml"/>
  <Override PartName="/xl/worksheets/sheet9.xml" ContentType="application/vnd.openxmlformats-officedocument.spreadsheetml.worksheet+xml"/>
  <Override PartName="/xl/drawings/vmlDrawing9.vml" ContentType="application/vnd.openxmlformats-officedocument.vmlDrawing"/>
  <Override PartName="/xl/comments9.xml" ContentType="application/vnd.openxmlformats-officedocument.spreadsheetml.comments+xml"/>
  <Override PartName="/xl/worksheets/sheet10.xml" ContentType="application/vnd.openxmlformats-officedocument.spreadsheetml.worksheet+xml"/>
  <Override PartName="/xl/drawings/vmlDrawing10.vml" ContentType="application/vnd.openxmlformats-officedocument.vmlDrawing"/>
  <Override PartName="/xl/comments10.xml" ContentType="application/vnd.openxmlformats-officedocument.spreadsheetml.comments+xml"/>
  <Override PartName="/xl/worksheets/sheet11.xml" ContentType="application/vnd.openxmlformats-officedocument.spreadsheetml.worksheet+xml"/>
  <Override PartName="/xl/drawings/vmlDrawing11.vml" ContentType="application/vnd.openxmlformats-officedocument.vmlDrawing"/>
  <Override PartName="/xl/comments11.xml" ContentType="application/vnd.openxmlformats-officedocument.spreadsheetml.comments+xml"/>
  <Override PartName="/xl/worksheets/sheet12.xml" ContentType="application/vnd.openxmlformats-officedocument.spreadsheetml.worksheet+xml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worksheets/sheet13.xml" ContentType="application/vnd.openxmlformats-officedocument.spreadsheetml.worksheet+xml"/>
  <Override PartName="/xl/drawings/vmlDrawing13.vml" ContentType="application/vnd.openxmlformats-officedocument.vmlDrawing"/>
  <Override PartName="/xl/comments13.xml" ContentType="application/vnd.openxmlformats-officedocument.spreadsheetml.comments+xml"/>
  <Override PartName="/xl/worksheets/sheet14.xml" ContentType="application/vnd.openxmlformats-officedocument.spreadsheetml.worksheet+xml"/>
  <Override PartName="/xl/drawings/vmlDrawing14.vml" ContentType="application/vnd.openxmlformats-officedocument.vmlDrawing"/>
  <Override PartName="/xl/comments14.xml" ContentType="application/vnd.openxmlformats-officedocument.spreadsheetml.comments+xml"/>
  <Override PartName="/xl/worksheets/sheet15.xml" ContentType="application/vnd.openxmlformats-officedocument.spreadsheetml.worksheet+xml"/>
  <Override PartName="/xl/drawings/vmlDrawing15.vml" ContentType="application/vnd.openxmlformats-officedocument.vmlDrawing"/>
  <Override PartName="/xl/comments15.xml" ContentType="application/vnd.openxmlformats-officedocument.spreadsheetml.comments+xml"/>
  <Override PartName="/xl/worksheets/sheet16.xml" ContentType="application/vnd.openxmlformats-officedocument.spreadsheetml.worksheet+xml"/>
  <Override PartName="/xl/drawings/vmlDrawing16.vml" ContentType="application/vnd.openxmlformats-officedocument.vmlDrawing"/>
  <Override PartName="/xl/comments16.xml" ContentType="application/vnd.openxmlformats-officedocument.spreadsheetml.comment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200" windowHeight="7070" activeTab="4" tabRatio="975"/>
  </bookViews>
  <sheets>
    <sheet name="库存数据" sheetId="1" r:id="rId1"/>
    <sheet name="Inventory Status" sheetId="2" r:id="rId2"/>
    <sheet name="515637-07-12" sheetId="3" r:id="rId3"/>
    <sheet name="515638-07-12" sheetId="4" r:id="rId4"/>
    <sheet name="515639-07-12" sheetId="5" r:id="rId5"/>
    <sheet name="515641-07-12" sheetId="6" r:id="rId6"/>
    <sheet name="515642-07-12" sheetId="7" r:id="rId7"/>
    <sheet name="515643-07-12" sheetId="8" r:id="rId8"/>
    <sheet name="515644-07-12" sheetId="9" r:id="rId9"/>
    <sheet name="515646-07-12" sheetId="10" r:id="rId10"/>
    <sheet name="515650-07-12" sheetId="11" r:id="rId11"/>
    <sheet name="515652-07-12" sheetId="12" r:id="rId12"/>
    <sheet name="515654-07-12" sheetId="13" r:id="rId13"/>
    <sheet name="515655-07-12" sheetId="14" r:id="rId14"/>
    <sheet name="515656-07-12" sheetId="15" r:id="rId15"/>
    <sheet name="549396-07-12" sheetId="16" r:id="rId16"/>
  </sheets>
  <definedNames>
    <definedName name="_xlnm.Print_Area" localSheetId="1">'Inventory Status'!$A$1:$P$34</definedName>
  </definedNames>
  <calcPr calcId="144525"/>
</workbook>
</file>

<file path=xl/comments10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b/>
            <sz val="9"/>
            <rFont val="SimSun"/>
            <charset val="134"/>
          </rPr>
          <t xml:space="preserve">Author:</t>
        </r>
        <r>
          <rPr>
            <sz val="9"/>
            <rFont val="SimSun"/>
            <charset val="134"/>
          </rPr>
          <t xml:space="preserve">
可出货OK品</t>
        </r>
      </text>
    </comment>
  </commentList>
</comments>
</file>

<file path=xl/sharedStrings.xml><?xml version="1.0" encoding="utf-8"?>
<sst xmlns="http://schemas.openxmlformats.org/spreadsheetml/2006/main" uniqueCount="315" count="315">
  <si>
    <r>
      <rPr>
        <b/>
        <sz val="26"/>
        <color rgb="FF000000"/>
        <rFont val="Arial"/>
      </rPr>
      <t xml:space="preserve">Product inventory report </t>
    </r>
    <r>
      <rPr>
        <b/>
        <sz val="26"/>
        <color rgb="FF000000"/>
        <rFont val="宋体"/>
      </rPr>
      <t>（产品库存报表）</t>
    </r>
  </si>
  <si>
    <r>
      <rPr>
        <b/>
        <sz val="22"/>
        <color rgb="FF000000"/>
        <rFont val="Arial"/>
      </rPr>
      <t>EW-</t>
    </r>
    <r>
      <rPr>
        <b/>
        <sz val="22"/>
        <color rgb="FF000000"/>
        <rFont val="宋体"/>
      </rPr>
      <t>日胜</t>
    </r>
  </si>
  <si>
    <r>
      <rPr>
        <b/>
        <sz val="16"/>
        <color rgb="FF000000"/>
        <rFont val="Arial"/>
      </rPr>
      <t>Month</t>
    </r>
    <r>
      <rPr>
        <b/>
        <charset val="134"/>
        <sz val="16"/>
        <color indexed="8"/>
        <rFont val="宋体"/>
      </rPr>
      <t>：</t>
    </r>
  </si>
  <si>
    <r>
      <rPr>
        <b/>
        <charset val="134"/>
        <sz val="12"/>
        <color rgb="FF000000"/>
        <rFont val="宋体"/>
      </rPr>
      <t>产品类别</t>
    </r>
  </si>
  <si>
    <r>
      <rPr>
        <sz val="14"/>
        <color rgb="FF000000"/>
        <rFont val="Arial"/>
      </rPr>
      <t xml:space="preserve">Kode barang
</t>
    </r>
    <r>
      <rPr>
        <sz val="14"/>
        <color rgb="FF000000"/>
        <rFont val="宋体"/>
      </rPr>
      <t>产品编号</t>
    </r>
  </si>
  <si>
    <r>
      <rPr>
        <sz val="14"/>
        <color rgb="FF000000"/>
        <rFont val="Arial"/>
      </rPr>
      <t xml:space="preserve">Ukuran
</t>
    </r>
    <r>
      <rPr>
        <sz val="14"/>
        <color rgb="FF000000"/>
        <rFont val="宋体"/>
      </rPr>
      <t>规格</t>
    </r>
  </si>
  <si>
    <r>
      <rPr>
        <sz val="14"/>
        <color rgb="FF000000"/>
        <rFont val="Arial"/>
      </rPr>
      <t xml:space="preserve">Nama barang
</t>
    </r>
    <r>
      <rPr>
        <sz val="14"/>
        <color rgb="FF000000"/>
        <rFont val="宋体"/>
      </rPr>
      <t>产品名称</t>
    </r>
  </si>
  <si>
    <t>工序</t>
  </si>
  <si>
    <r>
      <rPr>
        <charset val="134"/>
        <sz val="14"/>
        <color rgb="FF000000"/>
        <rFont val="Arial"/>
      </rPr>
      <t>11</t>
    </r>
    <r>
      <rPr>
        <charset val="134"/>
        <sz val="14"/>
        <color rgb="FF000000"/>
        <rFont val="宋体"/>
      </rPr>
      <t>月结存</t>
    </r>
  </si>
  <si>
    <r>
      <rPr>
        <sz val="14"/>
        <color rgb="FF000000"/>
        <rFont val="Arial"/>
      </rPr>
      <t>12</t>
    </r>
    <r>
      <rPr>
        <sz val="14"/>
        <color rgb="FF000000"/>
        <rFont val="宋体"/>
      </rPr>
      <t>月入库</t>
    </r>
  </si>
  <si>
    <r>
      <rPr>
        <sz val="14"/>
        <color rgb="FF000000"/>
        <rFont val="Arial"/>
      </rPr>
      <t>12</t>
    </r>
    <r>
      <rPr>
        <sz val="14"/>
        <color rgb="FF000000"/>
        <rFont val="宋体"/>
      </rPr>
      <t>月出库</t>
    </r>
  </si>
  <si>
    <r>
      <rPr>
        <sz val="14"/>
        <color rgb="FF000000"/>
        <rFont val="Arial"/>
      </rPr>
      <t>12</t>
    </r>
    <r>
      <rPr>
        <sz val="14"/>
        <color rgb="FF000000"/>
        <rFont val="宋体"/>
      </rPr>
      <t>月结存</t>
    </r>
  </si>
  <si>
    <r>
      <rPr>
        <sz val="14"/>
        <color rgb="FF000000"/>
        <rFont val="Arial"/>
      </rPr>
      <t xml:space="preserve">Keterangan
</t>
    </r>
    <r>
      <rPr>
        <sz val="14"/>
        <color rgb="FF000000"/>
        <rFont val="宋体"/>
      </rPr>
      <t>备注</t>
    </r>
  </si>
  <si>
    <t>Screw Drivers</t>
  </si>
  <si>
    <t>515637-07-12</t>
  </si>
  <si>
    <t>1''</t>
  </si>
  <si>
    <t>1'' SUP 11C, PH1</t>
  </si>
  <si>
    <r>
      <rPr>
        <sz val="12"/>
        <color rgb="FF000000"/>
        <rFont val="SimSun"/>
      </rPr>
      <t>来料</t>
    </r>
    <r>
      <rPr>
        <sz val="12"/>
        <color rgb="FF000000"/>
        <rFont val="Arial"/>
      </rPr>
      <t xml:space="preserve"> </t>
    </r>
  </si>
  <si>
    <t>车工一
Pengerjaan 1</t>
  </si>
  <si>
    <t>车工二
Pengerjaan 2</t>
  </si>
  <si>
    <t>打字
Mengetik</t>
  </si>
  <si>
    <t>铣头部
Penggilingan kepala</t>
  </si>
  <si>
    <t>选货
Sortir NG</t>
  </si>
  <si>
    <t>热处理
Pembakaran</t>
  </si>
  <si>
    <r>
      <rPr>
        <sz val="12"/>
        <color rgb="FF000000"/>
        <rFont val="宋体"/>
      </rPr>
      <t>喷砂上油</t>
    </r>
    <r>
      <rPr>
        <sz val="12"/>
        <color rgb="FF000000"/>
        <rFont val="Arial"/>
      </rPr>
      <t>Peminyakan+Bungkus</t>
    </r>
  </si>
  <si>
    <t>包装Bungkus</t>
  </si>
  <si>
    <t>515638-07-12</t>
  </si>
  <si>
    <t>1'' SUP 11C, PH2</t>
  </si>
  <si>
    <t>来料</t>
  </si>
  <si>
    <r>
      <rPr>
        <sz val="12"/>
        <color rgb="FF000000"/>
        <rFont val="宋体"/>
      </rPr>
      <t>喷砂上油</t>
    </r>
    <r>
      <rPr>
        <sz val="12"/>
        <color rgb="FF000000"/>
        <rFont val="Arial"/>
      </rPr>
      <t>+Peminyakan+</t>
    </r>
  </si>
  <si>
    <t>515639-07-12</t>
  </si>
  <si>
    <t>1'' SUP 11C, PH3</t>
  </si>
  <si>
    <r>
      <rPr>
        <sz val="12"/>
        <color rgb="FF000000"/>
        <rFont val="宋体"/>
      </rPr>
      <t>喷砂上油</t>
    </r>
    <r>
      <rPr>
        <sz val="12"/>
        <color rgb="FF000000"/>
        <rFont val="Arial"/>
      </rPr>
      <t>Peminyakan</t>
    </r>
  </si>
  <si>
    <r>
      <rPr>
        <sz val="12"/>
        <color rgb="FF000000"/>
        <rFont val="宋体"/>
      </rPr>
      <t>包装</t>
    </r>
    <r>
      <rPr>
        <sz val="12"/>
        <color rgb="FF000000"/>
        <rFont val="Arial"/>
      </rPr>
      <t>Bungkus</t>
    </r>
  </si>
  <si>
    <t>515641-07-12</t>
  </si>
  <si>
    <t>1'' SUP 11C, T10</t>
  </si>
  <si>
    <t>515642-07-12</t>
  </si>
  <si>
    <t>1'' SUP 11C, T15</t>
  </si>
  <si>
    <t>515643-07-12</t>
  </si>
  <si>
    <t>1'' SUP 11C, T20</t>
  </si>
  <si>
    <t>515644-07-12</t>
  </si>
  <si>
    <t>1'' SUP 11C, T25</t>
  </si>
  <si>
    <t>515646-07-12</t>
  </si>
  <si>
    <t>1'' SUP 11C, T30</t>
  </si>
  <si>
    <t>515650-07-12</t>
  </si>
  <si>
    <t>1'' SUP 11C, SL8</t>
  </si>
  <si>
    <t>515652-07-12</t>
  </si>
  <si>
    <t>1'' SUP 11C, SL12</t>
  </si>
  <si>
    <t>515654-07-12</t>
  </si>
  <si>
    <t>1'' SUP 11C, SQ1</t>
  </si>
  <si>
    <t>515655-07-12</t>
  </si>
  <si>
    <t>1'' SUP 11C, SQ2</t>
  </si>
  <si>
    <t>515656-07-12</t>
  </si>
  <si>
    <t>1'' SUP 11C, SQ3</t>
  </si>
  <si>
    <t>549396-07-12</t>
  </si>
  <si>
    <t>2''</t>
  </si>
  <si>
    <t>8660, PH2</t>
  </si>
  <si>
    <r>
      <rPr>
        <b/>
        <charset val="134"/>
        <sz val="26"/>
        <color rgb="FF000000"/>
        <rFont val="Arial"/>
      </rPr>
      <t>Product Inventory Status</t>
    </r>
    <r>
      <rPr>
        <b/>
        <charset val="134"/>
        <sz val="26"/>
        <color rgb="FF000000"/>
        <rFont val="宋体"/>
      </rPr>
      <t>（产品库存状态）</t>
    </r>
  </si>
  <si>
    <r>
      <rPr>
        <b/>
        <charset val="134"/>
        <sz val="22"/>
        <color rgb="FF000000"/>
        <rFont val="Arial"/>
      </rPr>
      <t>EW-</t>
    </r>
    <r>
      <rPr>
        <b/>
        <charset val="134"/>
        <sz val="22"/>
        <color rgb="FF000000"/>
        <rFont val="宋体"/>
      </rPr>
      <t>日胜</t>
    </r>
  </si>
  <si>
    <r>
      <rPr>
        <b/>
        <charset val="134"/>
        <sz val="16"/>
        <color rgb="FF000000"/>
        <rFont val="Arial"/>
      </rPr>
      <t>Date</t>
    </r>
    <r>
      <rPr>
        <b/>
        <charset val="134"/>
        <sz val="16"/>
        <color rgb="FF000000"/>
        <rFont val="宋体"/>
      </rPr>
      <t>：</t>
    </r>
  </si>
  <si>
    <r>
      <rPr>
        <charset val="134"/>
        <sz val="14"/>
        <color rgb="FF000000"/>
        <rFont val="Arial"/>
      </rPr>
      <t xml:space="preserve">Kode barang
</t>
    </r>
    <r>
      <rPr>
        <charset val="134"/>
        <sz val="14"/>
        <color rgb="FF000000"/>
        <rFont val="宋体"/>
      </rPr>
      <t>产品编号</t>
    </r>
  </si>
  <si>
    <r>
      <rPr>
        <charset val="134"/>
        <sz val="14"/>
        <color rgb="FF000000"/>
        <rFont val="Arial"/>
      </rPr>
      <t xml:space="preserve">Ukuran
</t>
    </r>
    <r>
      <rPr>
        <charset val="134"/>
        <sz val="14"/>
        <color rgb="FF000000"/>
        <rFont val="宋体"/>
      </rPr>
      <t>规格</t>
    </r>
  </si>
  <si>
    <r>
      <rPr>
        <charset val="134"/>
        <sz val="14"/>
        <color rgb="FF000000"/>
        <rFont val="Arial"/>
      </rPr>
      <t xml:space="preserve">Nama barang
</t>
    </r>
    <r>
      <rPr>
        <charset val="134"/>
        <sz val="14"/>
        <color rgb="FF000000"/>
        <rFont val="宋体"/>
      </rPr>
      <t>产品名称</t>
    </r>
  </si>
  <si>
    <r>
      <rPr>
        <charset val="134"/>
        <sz val="14"/>
        <color rgb="FF000000"/>
        <rFont val="宋体"/>
      </rPr>
      <t>进料检验</t>
    </r>
    <r>
      <rPr>
        <charset val="134"/>
        <sz val="14"/>
        <color rgb="FF000000"/>
        <rFont val="Arial"/>
      </rPr>
      <t xml:space="preserve">
Masuk barang </t>
    </r>
  </si>
  <si>
    <r>
      <rPr>
        <charset val="134"/>
        <sz val="14"/>
        <color rgb="FF000000"/>
        <rFont val="宋体"/>
      </rPr>
      <t>车工一</t>
    </r>
    <r>
      <rPr>
        <charset val="134"/>
        <sz val="14"/>
        <color rgb="FF000000"/>
        <rFont val="Arial"/>
      </rPr>
      <t xml:space="preserve">
Pengerjaan 1</t>
    </r>
  </si>
  <si>
    <r>
      <rPr>
        <charset val="134"/>
        <sz val="14"/>
        <color rgb="FF000000"/>
        <rFont val="宋体"/>
      </rPr>
      <t>车工二</t>
    </r>
    <r>
      <rPr>
        <charset val="134"/>
        <sz val="14"/>
        <color rgb="FF000000"/>
        <rFont val="Arial"/>
      </rPr>
      <t xml:space="preserve">
Pengerjaan 2</t>
    </r>
  </si>
  <si>
    <r>
      <rPr>
        <charset val="134"/>
        <sz val="14"/>
        <color rgb="FF000000"/>
        <rFont val="SimSun"/>
      </rPr>
      <t>打字</t>
    </r>
    <r>
      <rPr>
        <charset val="134"/>
        <sz val="14"/>
        <color rgb="FF000000"/>
        <rFont val="Arial"/>
      </rPr>
      <t xml:space="preserve">
Mengetik</t>
    </r>
  </si>
  <si>
    <r>
      <rPr>
        <charset val="134"/>
        <sz val="14"/>
        <color rgb="FF000000"/>
        <rFont val="SimSun"/>
      </rPr>
      <t>铣头部</t>
    </r>
    <r>
      <rPr>
        <charset val="134"/>
        <sz val="14"/>
        <color rgb="FF000000"/>
        <rFont val="Arial"/>
      </rPr>
      <t xml:space="preserve">
Penggilingan kepala</t>
    </r>
  </si>
  <si>
    <r>
      <rPr>
        <charset val="134"/>
        <sz val="14"/>
        <color rgb="FF000000"/>
        <rFont val="Arial"/>
      </rPr>
      <t xml:space="preserve"> </t>
    </r>
    <r>
      <rPr>
        <charset val="134"/>
        <sz val="14"/>
        <color rgb="FF000000"/>
        <rFont val="SimSun"/>
      </rPr>
      <t>选货</t>
    </r>
    <r>
      <rPr>
        <charset val="134"/>
        <sz val="14"/>
        <color rgb="FF000000"/>
        <rFont val="Arial"/>
      </rPr>
      <t xml:space="preserve">
Sortir NG</t>
    </r>
  </si>
  <si>
    <t>喷砂上油及吹砂
Proses Penggilingan &amp; Peminyakan</t>
  </si>
  <si>
    <r>
      <rPr>
        <b/>
        <charset val="134"/>
        <sz val="12"/>
        <color rgb="FF000000"/>
        <rFont val="Arial"/>
      </rPr>
      <t xml:space="preserve">Total Q'ty in production
</t>
    </r>
    <r>
      <rPr>
        <b/>
        <charset val="134"/>
        <sz val="12"/>
        <color rgb="FF000000"/>
        <rFont val="宋体"/>
      </rPr>
      <t>生产中</t>
    </r>
    <r>
      <rPr>
        <b/>
        <charset val="134"/>
        <sz val="12"/>
        <color rgb="FF000000"/>
        <rFont val="Arial"/>
      </rPr>
      <t xml:space="preserve">
</t>
    </r>
    <r>
      <rPr>
        <b/>
        <charset val="134"/>
        <sz val="12"/>
        <color rgb="FF000000"/>
        <rFont val="宋体"/>
      </rPr>
      <t>的总数量</t>
    </r>
  </si>
  <si>
    <r>
      <rPr>
        <b/>
        <charset val="134"/>
        <sz val="12"/>
        <color rgb="FF000000"/>
        <rFont val="Arial"/>
      </rPr>
      <t xml:space="preserve">Barang jadi
</t>
    </r>
    <r>
      <rPr>
        <b/>
        <charset val="134"/>
        <sz val="12"/>
        <color rgb="FF000000"/>
        <rFont val="宋体"/>
      </rPr>
      <t>成品</t>
    </r>
    <r>
      <rPr>
        <b/>
        <charset val="134"/>
        <sz val="12"/>
        <color rgb="FF000000"/>
        <rFont val="Arial"/>
      </rPr>
      <t xml:space="preserve">
</t>
    </r>
    <r>
      <rPr>
        <b/>
        <charset val="134"/>
        <sz val="12"/>
        <color rgb="FF000000"/>
        <rFont val="宋体"/>
      </rPr>
      <t>库存数量</t>
    </r>
  </si>
  <si>
    <r>
      <rPr>
        <b/>
        <charset val="134"/>
        <sz val="12"/>
        <color rgb="FF000000"/>
        <rFont val="Arial"/>
      </rPr>
      <t xml:space="preserve">Total Inventory
</t>
    </r>
    <r>
      <rPr>
        <b/>
        <charset val="134"/>
        <sz val="12"/>
        <color rgb="FF000000"/>
        <rFont val="宋体"/>
      </rPr>
      <t>总库存</t>
    </r>
  </si>
  <si>
    <r>
      <rPr>
        <charset val="134"/>
        <sz val="12"/>
        <color rgb="FF000000"/>
        <rFont val="Arial"/>
      </rPr>
      <t xml:space="preserve">NG
</t>
    </r>
    <r>
      <rPr>
        <charset val="134"/>
        <sz val="12"/>
        <color rgb="FF000000"/>
        <rFont val="宋体"/>
      </rPr>
      <t>不良品</t>
    </r>
    <r>
      <rPr>
        <charset val="134"/>
        <sz val="12"/>
        <color rgb="FF000000"/>
        <rFont val="Arial"/>
      </rPr>
      <t xml:space="preserve">
</t>
    </r>
    <r>
      <rPr>
        <charset val="134"/>
        <sz val="12"/>
        <color rgb="FF000000"/>
        <rFont val="宋体"/>
      </rPr>
      <t>库存数</t>
    </r>
  </si>
  <si>
    <t xml:space="preserve">1'' </t>
  </si>
  <si>
    <t xml:space="preserve">2'' </t>
  </si>
  <si>
    <r>
      <rPr>
        <charset val="134"/>
        <sz val="14"/>
        <color rgb="FF000000"/>
        <rFont val="宋体"/>
      </rPr>
      <t>热处理</t>
    </r>
    <r>
      <rPr>
        <charset val="134"/>
        <sz val="14"/>
        <color rgb="FF000000"/>
        <rFont val="Arial"/>
      </rPr>
      <t xml:space="preserve">
Proses Pembakaran</t>
    </r>
  </si>
  <si>
    <r>
      <rPr>
        <charset val="134"/>
        <sz val="14"/>
        <color rgb="FF000000"/>
        <rFont val="SimSun"/>
      </rPr>
      <t>喷砂上油及吹砂</t>
    </r>
    <r>
      <rPr>
        <charset val="134"/>
        <sz val="14"/>
        <color rgb="FF000000"/>
        <rFont val="Arial"/>
      </rPr>
      <t xml:space="preserve">
Proses Penggilingan &amp; Peminyakan</t>
    </r>
  </si>
  <si>
    <t>选台及包装
Sortir NG &amp; Proses Bungkus</t>
  </si>
  <si>
    <t>515657-07-12</t>
  </si>
  <si>
    <t>1'' SUP 11C, HEX 3/32"</t>
  </si>
  <si>
    <t>515659-07-12</t>
  </si>
  <si>
    <t>1'' SUP 11C, HEX 1/8"</t>
  </si>
  <si>
    <t>515661-7-12</t>
  </si>
  <si>
    <t>1'' SUP 11C, HEX 5/32"</t>
  </si>
  <si>
    <t>515662-07-12</t>
  </si>
  <si>
    <t>1'' SUP 11C, HEX 3/16"</t>
  </si>
  <si>
    <t>Nut Drivers</t>
  </si>
  <si>
    <t>587179-06-12</t>
  </si>
  <si>
    <t>7/32"</t>
  </si>
  <si>
    <t>587180-06-12</t>
  </si>
  <si>
    <t>1/4"</t>
  </si>
  <si>
    <t>587181-06-12</t>
  </si>
  <si>
    <t>3/16"</t>
  </si>
  <si>
    <t>587182-06-12</t>
  </si>
  <si>
    <t>9/32"</t>
  </si>
  <si>
    <t>587183-06-12</t>
  </si>
  <si>
    <t>5/16"</t>
  </si>
  <si>
    <t>587184-06-12</t>
  </si>
  <si>
    <t>11/32"</t>
  </si>
  <si>
    <t>587185-06-12</t>
  </si>
  <si>
    <t>3/8"</t>
  </si>
  <si>
    <t>587186-06-12</t>
  </si>
  <si>
    <t>7/16"</t>
  </si>
  <si>
    <t>587210-06-12</t>
  </si>
  <si>
    <t>Nut Drivers Non Magnetic</t>
  </si>
  <si>
    <t>587211-06-12</t>
  </si>
  <si>
    <t>T2 - EW</t>
  </si>
  <si>
    <r>
      <rPr>
        <charset val="134"/>
        <sz val="28"/>
        <rFont val="Arial"/>
      </rPr>
      <t>T2</t>
    </r>
    <r>
      <rPr>
        <charset val="134"/>
        <sz val="28"/>
        <rFont val="宋体"/>
      </rPr>
      <t>产品流动</t>
    </r>
    <r>
      <rPr>
        <charset val="134"/>
        <sz val="28"/>
        <rFont val="Arial"/>
      </rPr>
      <t>(</t>
    </r>
    <r>
      <rPr>
        <charset val="134"/>
        <sz val="28"/>
        <rFont val="宋体"/>
      </rPr>
      <t>仓库</t>
    </r>
    <r>
      <rPr>
        <charset val="134"/>
        <sz val="28"/>
        <rFont val="Arial"/>
      </rPr>
      <t>)</t>
    </r>
    <r>
      <rPr>
        <charset val="134"/>
        <sz val="28"/>
        <rFont val="宋体"/>
      </rPr>
      <t>表</t>
    </r>
    <r>
      <rPr>
        <charset val="134"/>
        <sz val="28"/>
        <rFont val="Arial"/>
      </rPr>
      <t xml:space="preserve"> Proses pengerjaan/produksi</t>
    </r>
  </si>
  <si>
    <r>
      <rPr>
        <charset val="134"/>
        <sz val="12"/>
        <rFont val="Arial"/>
      </rPr>
      <t xml:space="preserve">
</t>
    </r>
    <r>
      <rPr>
        <charset val="134"/>
        <sz val="12"/>
        <rFont val="宋体"/>
      </rPr>
      <t xml:space="preserve">产品名称
</t>
    </r>
    <r>
      <rPr>
        <charset val="134"/>
        <sz val="12"/>
        <rFont val="Arial"/>
      </rPr>
      <t>Nama barang</t>
    </r>
  </si>
  <si>
    <r>
      <rPr>
        <charset val="134"/>
        <sz val="12"/>
        <rFont val="Arial"/>
      </rPr>
      <t xml:space="preserve">
</t>
    </r>
    <r>
      <rPr>
        <charset val="134"/>
        <sz val="12"/>
        <rFont val="宋体"/>
      </rPr>
      <t xml:space="preserve">工序名称
</t>
    </r>
    <r>
      <rPr>
        <charset val="134"/>
        <sz val="12"/>
        <rFont val="Arial"/>
      </rPr>
      <t>Proses kerja</t>
    </r>
  </si>
  <si>
    <r>
      <rPr>
        <charset val="134"/>
        <sz val="12"/>
        <rFont val="宋体"/>
      </rPr>
      <t xml:space="preserve">現在的产品情况
</t>
    </r>
    <r>
      <rPr>
        <charset val="134"/>
        <sz val="12"/>
        <rFont val="Arial"/>
      </rPr>
      <t>Daftar pengolahan yang di kerjakan</t>
    </r>
  </si>
  <si>
    <r>
      <rPr>
        <charset val="134"/>
        <sz val="12"/>
        <rFont val="宋体"/>
      </rPr>
      <t xml:space="preserve">盘点
</t>
    </r>
    <r>
      <rPr>
        <charset val="134"/>
        <sz val="12"/>
        <rFont val="Arial"/>
      </rPr>
      <t>cek barang</t>
    </r>
  </si>
  <si>
    <r>
      <rPr>
        <charset val="134"/>
        <sz val="12"/>
        <rFont val="宋体"/>
      </rPr>
      <t xml:space="preserve">原材料和規格
</t>
    </r>
    <r>
      <rPr>
        <charset val="134"/>
        <sz val="12"/>
        <rFont val="Arial"/>
      </rPr>
      <t>Bahan baku</t>
    </r>
  </si>
  <si>
    <r>
      <rPr>
        <charset val="134"/>
        <sz val="12"/>
        <rFont val="宋体"/>
      </rPr>
      <t xml:space="preserve">生产数据
</t>
    </r>
    <r>
      <rPr>
        <charset val="134"/>
        <sz val="12"/>
        <rFont val="Arial"/>
      </rPr>
      <t>Data Produksi</t>
    </r>
  </si>
  <si>
    <r>
      <rPr>
        <charset val="134"/>
        <sz val="12"/>
        <rFont val="宋体"/>
      </rPr>
      <t xml:space="preserve">领料单数据
</t>
    </r>
    <r>
      <rPr>
        <charset val="134"/>
        <sz val="12"/>
        <rFont val="Arial"/>
      </rPr>
      <t>Proses Gudang &amp; Produksi</t>
    </r>
  </si>
  <si>
    <r>
      <rPr>
        <charset val="134"/>
        <sz val="12"/>
        <rFont val="宋体"/>
      </rPr>
      <t xml:space="preserve">每月统计
</t>
    </r>
    <r>
      <rPr>
        <charset val="134"/>
        <sz val="12"/>
        <rFont val="Arial"/>
      </rPr>
      <t>Laporan bulanan</t>
    </r>
  </si>
  <si>
    <r>
      <rPr>
        <charset val="134"/>
        <sz val="12"/>
        <rFont val="宋体"/>
      </rPr>
      <t>原材料</t>
    </r>
    <r>
      <rPr>
        <charset val="134"/>
        <sz val="12"/>
        <rFont val="Arial"/>
      </rPr>
      <t>(</t>
    </r>
    <r>
      <rPr>
        <charset val="134"/>
        <sz val="12"/>
        <rFont val="宋体"/>
      </rPr>
      <t>枝</t>
    </r>
    <r>
      <rPr>
        <charset val="134"/>
        <sz val="12"/>
        <rFont val="Arial"/>
      </rPr>
      <t>)
Bahan</t>
    </r>
  </si>
  <si>
    <r>
      <rPr>
        <charset val="134"/>
        <sz val="12"/>
        <rFont val="宋体"/>
      </rPr>
      <t xml:space="preserve">可加工数
</t>
    </r>
    <r>
      <rPr>
        <charset val="134"/>
        <sz val="12"/>
        <rFont val="Arial"/>
      </rPr>
      <t>No mesin</t>
    </r>
  </si>
  <si>
    <r>
      <rPr>
        <charset val="134"/>
        <sz val="12"/>
        <rFont val="宋体"/>
      </rPr>
      <t xml:space="preserve">成品
</t>
    </r>
    <r>
      <rPr>
        <charset val="134"/>
        <sz val="12"/>
        <rFont val="Arial"/>
      </rPr>
      <t>Barang jadi</t>
    </r>
  </si>
  <si>
    <r>
      <rPr>
        <charset val="134"/>
        <sz val="12"/>
        <rFont val="宋体"/>
      </rPr>
      <t xml:space="preserve">盘点日期
</t>
    </r>
    <r>
      <rPr>
        <charset val="134"/>
        <sz val="12"/>
        <rFont val="Arial"/>
      </rPr>
      <t xml:space="preserve">Tanggal </t>
    </r>
  </si>
  <si>
    <r>
      <rPr>
        <charset val="134"/>
        <sz val="12"/>
        <rFont val="宋体"/>
      </rPr>
      <t xml:space="preserve">材料
</t>
    </r>
    <r>
      <rPr>
        <charset val="134"/>
        <sz val="12"/>
        <rFont val="Arial"/>
      </rPr>
      <t>Bahan</t>
    </r>
  </si>
  <si>
    <r>
      <rPr>
        <charset val="134"/>
        <sz val="12"/>
        <rFont val="宋体"/>
      </rPr>
      <t xml:space="preserve">规格
</t>
    </r>
    <r>
      <rPr>
        <charset val="134"/>
        <sz val="12"/>
        <rFont val="Arial"/>
      </rPr>
      <t>Ukuran</t>
    </r>
  </si>
  <si>
    <r>
      <rPr>
        <charset val="134"/>
        <sz val="12"/>
        <rFont val="宋体"/>
      </rPr>
      <t>数量</t>
    </r>
    <r>
      <rPr>
        <charset val="134"/>
        <sz val="12"/>
        <rFont val="Arial"/>
      </rPr>
      <t>/</t>
    </r>
    <r>
      <rPr>
        <charset val="134"/>
        <sz val="12"/>
        <rFont val="宋体"/>
      </rPr>
      <t>枝</t>
    </r>
    <r>
      <rPr>
        <charset val="134"/>
        <sz val="12"/>
        <rFont val="Arial"/>
      </rPr>
      <t xml:space="preserve">
Jumlah/PCS</t>
    </r>
  </si>
  <si>
    <r>
      <rPr>
        <charset val="134"/>
        <sz val="12"/>
        <rFont val="宋体"/>
      </rPr>
      <t xml:space="preserve">目标
</t>
    </r>
    <r>
      <rPr>
        <charset val="134"/>
        <sz val="12"/>
        <rFont val="Arial"/>
      </rPr>
      <t>Target</t>
    </r>
  </si>
  <si>
    <r>
      <rPr>
        <charset val="134"/>
        <sz val="12"/>
        <rFont val="宋体"/>
      </rPr>
      <t xml:space="preserve">产量
</t>
    </r>
    <r>
      <rPr>
        <charset val="134"/>
        <sz val="12"/>
        <rFont val="Arial"/>
      </rPr>
      <t>Qty/ Hari</t>
    </r>
  </si>
  <si>
    <r>
      <rPr>
        <charset val="134"/>
        <sz val="12"/>
        <rFont val="宋体"/>
      </rPr>
      <t xml:space="preserve">总数
</t>
    </r>
    <r>
      <rPr>
        <charset val="134"/>
        <sz val="12"/>
        <rFont val="Arial"/>
      </rPr>
      <t>Total</t>
    </r>
  </si>
  <si>
    <r>
      <rPr>
        <charset val="134"/>
        <sz val="12"/>
        <rFont val="宋体"/>
      </rPr>
      <t>百分比</t>
    </r>
    <r>
      <rPr>
        <charset val="134"/>
        <sz val="12"/>
        <rFont val="Arial"/>
      </rPr>
      <t xml:space="preserve">(%)
Persentase </t>
    </r>
  </si>
  <si>
    <t>515637-07-12 
SUP11C, PH1
 1"</t>
  </si>
  <si>
    <t xml:space="preserve">进料检验
Masuk barang </t>
  </si>
  <si>
    <r>
      <rPr>
        <charset val="134"/>
        <sz val="11"/>
        <rFont val="宋体"/>
      </rPr>
      <t>领料单号</t>
    </r>
    <r>
      <rPr>
        <charset val="134"/>
        <sz val="11"/>
        <rFont val="Arial"/>
      </rPr>
      <t xml:space="preserve"> list barang</t>
    </r>
  </si>
  <si>
    <r>
      <rPr>
        <charset val="134"/>
        <sz val="11"/>
        <rFont val="宋体"/>
      </rPr>
      <t>领料数量</t>
    </r>
    <r>
      <rPr>
        <charset val="134"/>
        <sz val="11"/>
        <rFont val="Arial"/>
      </rPr>
      <t>Jumlah</t>
    </r>
  </si>
  <si>
    <r>
      <rPr>
        <charset val="134"/>
        <sz val="11"/>
        <rFont val="宋体"/>
      </rPr>
      <t>退料数量</t>
    </r>
    <r>
      <rPr>
        <charset val="134"/>
        <sz val="11"/>
        <rFont val="Arial"/>
      </rPr>
      <t>Kembali</t>
    </r>
  </si>
  <si>
    <t>OK</t>
  </si>
  <si>
    <t>NG</t>
  </si>
  <si>
    <t>备注Keterangan</t>
  </si>
  <si>
    <r>
      <rPr>
        <charset val="134"/>
        <sz val="14"/>
        <rFont val="宋体"/>
      </rPr>
      <t xml:space="preserve">车工一
</t>
    </r>
    <r>
      <rPr>
        <charset val="134"/>
        <sz val="14"/>
        <rFont val="Arial"/>
      </rPr>
      <t>Pengerjaan 1</t>
    </r>
  </si>
  <si>
    <r>
      <rPr>
        <charset val="134"/>
        <sz val="14"/>
        <rFont val="宋体"/>
      </rPr>
      <t xml:space="preserve">车工二
</t>
    </r>
    <r>
      <rPr>
        <charset val="134"/>
        <sz val="14"/>
        <rFont val="Arial"/>
      </rPr>
      <t>Pengerjan 2</t>
    </r>
  </si>
  <si>
    <t>EW2101-003, EW2101-013</t>
  </si>
  <si>
    <t>EW2101-023, EW2101-033</t>
  </si>
  <si>
    <t>EW2101-033, EW2101-043</t>
  </si>
  <si>
    <t>EW2101-053, EW2101-063</t>
  </si>
  <si>
    <t>EW2101-073, EW2101</t>
  </si>
  <si>
    <t>EW2101-0083</t>
  </si>
  <si>
    <t>EW2101-0093</t>
  </si>
  <si>
    <t>EW2101-0103</t>
  </si>
  <si>
    <t>EW2101-0113</t>
  </si>
  <si>
    <r>
      <rPr>
        <charset val="134"/>
        <sz val="14"/>
        <rFont val="宋体"/>
      </rPr>
      <t xml:space="preserve">打字
</t>
    </r>
    <r>
      <rPr>
        <charset val="134"/>
        <sz val="14"/>
        <rFont val="Arial"/>
      </rPr>
      <t>Mengetik</t>
    </r>
  </si>
  <si>
    <t>EW2101-004</t>
  </si>
  <si>
    <t>EW2101-024</t>
  </si>
  <si>
    <t>EW2101-034</t>
  </si>
  <si>
    <t>EW2101-044</t>
  </si>
  <si>
    <t>EW2101-055</t>
  </si>
  <si>
    <t>EW2101-0084</t>
  </si>
  <si>
    <t>EW2101-0095</t>
  </si>
  <si>
    <t>EW2101-0104</t>
  </si>
  <si>
    <t>EW2101-0114</t>
  </si>
  <si>
    <t>EW2101-0125</t>
  </si>
  <si>
    <r>
      <rPr>
        <charset val="134"/>
        <sz val="14"/>
        <rFont val="宋体"/>
      </rPr>
      <t xml:space="preserve">铣头部
</t>
    </r>
    <r>
      <rPr>
        <charset val="134"/>
        <sz val="14"/>
        <rFont val="Arial"/>
      </rPr>
      <t>Penggilingan kepala</t>
    </r>
  </si>
  <si>
    <t>Add</t>
  </si>
  <si>
    <t>EW2101-007, EW2101-0017</t>
  </si>
  <si>
    <t>EW2101-027, EW2101-037</t>
  </si>
  <si>
    <t>EW2101-037, EW2101-047</t>
  </si>
  <si>
    <t>EW2101-057, EW2101-067, EW2101-068</t>
  </si>
  <si>
    <t>EW2101-077, EW2101-078, EW2101-087, EW2101-088</t>
  </si>
  <si>
    <t>EW2101-0087</t>
  </si>
  <si>
    <t>EW2101-0097</t>
  </si>
  <si>
    <t>EW2101-0107</t>
  </si>
  <si>
    <t>EW2101-0117</t>
  </si>
  <si>
    <t>EW2101-0127</t>
  </si>
  <si>
    <t>选台
Sortir NG</t>
  </si>
  <si>
    <t>热处理
Proses pembakaran</t>
  </si>
  <si>
    <r>
      <rPr>
        <charset val="134"/>
        <sz val="14"/>
        <rFont val="宋体"/>
      </rPr>
      <t xml:space="preserve">包装
</t>
    </r>
    <r>
      <rPr>
        <charset val="134"/>
        <sz val="14"/>
        <rFont val="Arial"/>
      </rPr>
      <t>Proses Bungkus</t>
    </r>
  </si>
  <si>
    <r>
      <rPr>
        <charset val="134"/>
        <sz val="14"/>
        <rFont val="宋体"/>
      </rPr>
      <t>总数</t>
    </r>
    <r>
      <rPr>
        <charset val="134"/>
        <sz val="14"/>
        <rFont val="Arial"/>
      </rPr>
      <t xml:space="preserve"> Total</t>
    </r>
  </si>
  <si>
    <t xml:space="preserve">  </t>
  </si>
  <si>
    <r>
      <rPr>
        <charset val="134"/>
        <sz val="11"/>
        <rFont val="宋体"/>
      </rPr>
      <t xml:space="preserve">送货单单号
</t>
    </r>
    <r>
      <rPr>
        <charset val="134"/>
        <sz val="11"/>
        <rFont val="Arial"/>
      </rPr>
      <t>Surat Jalan NO.</t>
    </r>
  </si>
  <si>
    <t>DO/EW210005/DMI/T2</t>
  </si>
  <si>
    <t>DO/EW210008/DMI/T2</t>
  </si>
  <si>
    <t>DO/EW210009/DMI/T2</t>
  </si>
  <si>
    <r>
      <rPr>
        <charset val="134"/>
        <sz val="11"/>
        <rFont val="宋体"/>
      </rPr>
      <t>数</t>
    </r>
    <r>
      <rPr>
        <charset val="134"/>
        <sz val="11"/>
        <rFont val="Arial"/>
      </rPr>
      <t xml:space="preserve"> </t>
    </r>
    <r>
      <rPr>
        <charset val="134"/>
        <sz val="11"/>
        <rFont val="宋体"/>
      </rPr>
      <t>量</t>
    </r>
    <r>
      <rPr>
        <charset val="134"/>
        <sz val="11"/>
        <rFont val="Arial"/>
      </rPr>
      <t>Jumlah</t>
    </r>
  </si>
  <si>
    <t>515638-07-12 
SUP11C, PH2
 1"</t>
  </si>
  <si>
    <t>EW2101-002, EW2101-003, EW2101-012, EW2101-013</t>
  </si>
  <si>
    <t>EW2101-022, EW2101-023, EW2101-032, EW2101-033</t>
  </si>
  <si>
    <t>EW2101-032, EW2101-033, EW2101-042, EW2101-043</t>
  </si>
  <si>
    <t>EW2101-052, EW2101-053, EW2101-062, EW2101</t>
  </si>
  <si>
    <t>EW2101-072, EW2101-073, EW2101-082, EW2101-083</t>
  </si>
  <si>
    <t>EW2101-0082</t>
  </si>
  <si>
    <t>EW2101-0092</t>
  </si>
  <si>
    <t>EW2101-0102</t>
  </si>
  <si>
    <t>EW2101-0112</t>
  </si>
  <si>
    <t>EW2101-0122</t>
  </si>
  <si>
    <t>EW2101-0132</t>
  </si>
  <si>
    <t>EW2101-0142</t>
  </si>
  <si>
    <t>EW2101-0152, EW2101-0153</t>
  </si>
  <si>
    <t>EW2101-0162</t>
  </si>
  <si>
    <t>EW2101-0172</t>
  </si>
  <si>
    <t>EW2101-0182</t>
  </si>
  <si>
    <t>EW2101-0192</t>
  </si>
  <si>
    <t>EW2101-0105</t>
  </si>
  <si>
    <t>EW2101-005</t>
  </si>
  <si>
    <t>EW2101-054</t>
  </si>
  <si>
    <t>EW2101-074</t>
  </si>
  <si>
    <t>EW2101-0094</t>
  </si>
  <si>
    <t>EW2101-0144</t>
  </si>
  <si>
    <t>EW2101-0154</t>
  </si>
  <si>
    <t>EW2101-0164</t>
  </si>
  <si>
    <t>EW2101-0174</t>
  </si>
  <si>
    <t>EW2101-0184</t>
  </si>
  <si>
    <t>EW2101-0194</t>
  </si>
  <si>
    <t>EW2101-0119</t>
  </si>
  <si>
    <t>EW2101-007, EW2101-017</t>
  </si>
  <si>
    <t>EW2101-057, EW2101-058, EW2101-066, EW2101-067, EW2101-068</t>
  </si>
  <si>
    <t>EW2101-076, EW2101-077, EW2101-086, EW2101-087</t>
  </si>
  <si>
    <t>EW2101-0086</t>
  </si>
  <si>
    <t>EW2101-0096</t>
  </si>
  <si>
    <t>EW2101-0106</t>
  </si>
  <si>
    <t>EW2101-0116</t>
  </si>
  <si>
    <t>EW2101-0126</t>
  </si>
  <si>
    <t>EW2101-0146</t>
  </si>
  <si>
    <t>EW2101-0156</t>
  </si>
  <si>
    <t>EW2101-0166</t>
  </si>
  <si>
    <t>EW2101-0176</t>
  </si>
  <si>
    <t>EW2101-0186</t>
  </si>
  <si>
    <t>EW2101-0196</t>
  </si>
  <si>
    <t>EW2101-0109</t>
  </si>
  <si>
    <t>EW2101-0121</t>
  </si>
  <si>
    <r>
      <rPr>
        <charset val="134"/>
        <sz val="14"/>
        <rFont val="SimSun"/>
      </rPr>
      <t>选台</t>
    </r>
    <r>
      <rPr>
        <charset val="134"/>
        <sz val="14"/>
        <rFont val="Arial"/>
      </rPr>
      <t xml:space="preserve">
Sortir NG</t>
    </r>
  </si>
  <si>
    <r>
      <rPr>
        <charset val="134"/>
        <sz val="14"/>
        <rFont val="SimSun"/>
      </rPr>
      <t>喷砂上油及吹砂</t>
    </r>
    <r>
      <rPr>
        <charset val="134"/>
        <sz val="14"/>
        <rFont val="Arial"/>
      </rPr>
      <t xml:space="preserve">
Proses Penggilingan &amp; Peminyakan</t>
    </r>
  </si>
  <si>
    <r>
      <rPr>
        <charset val="134"/>
        <sz val="14"/>
        <rFont val="宋体"/>
      </rPr>
      <t xml:space="preserve">出货记录
</t>
    </r>
    <r>
      <rPr>
        <charset val="134"/>
        <sz val="14"/>
        <rFont val="Arial"/>
      </rPr>
      <t>Catatan pengiriman</t>
    </r>
  </si>
  <si>
    <t>DO/EW210001/DMI/T2 &amp; DO/EW210002/DMI/T2</t>
  </si>
  <si>
    <r>
      <rPr>
        <charset val="134"/>
        <sz val="28"/>
        <rFont val="Arial"/>
      </rPr>
      <t>T2</t>
    </r>
    <r>
      <rPr>
        <charset val="134"/>
        <sz val="28"/>
        <rFont val="宋体"/>
      </rPr>
      <t>产品流动</t>
    </r>
    <r>
      <rPr>
        <charset val="134"/>
        <sz val="28"/>
        <rFont val="Arial"/>
      </rPr>
      <t>(</t>
    </r>
    <r>
      <rPr>
        <charset val="134"/>
        <sz val="28"/>
        <rFont val="宋体"/>
      </rPr>
      <t>仓库</t>
    </r>
    <r>
      <rPr>
        <charset val="134"/>
        <sz val="28"/>
        <rFont val="Arial"/>
      </rPr>
      <t>)</t>
    </r>
    <r>
      <rPr>
        <charset val="134"/>
        <sz val="28"/>
        <rFont val="宋体"/>
      </rPr>
      <t>表</t>
    </r>
    <r>
      <rPr>
        <charset val="134"/>
        <sz val="28"/>
        <rFont val="Arial"/>
      </rPr>
      <t xml:space="preserve"> Proses pegerjaan/produksi</t>
    </r>
  </si>
  <si>
    <t>515639-07-12 
SUP11C, PH3
 1"</t>
  </si>
  <si>
    <t>EW2101-058, EW2101-068</t>
  </si>
  <si>
    <t>EW2101-078, EW2101-088</t>
  </si>
  <si>
    <t>EW2101-0088</t>
  </si>
  <si>
    <t>EW2101-0098</t>
  </si>
  <si>
    <t>EW2101-0108</t>
  </si>
  <si>
    <t>EW2101-0118</t>
  </si>
  <si>
    <t>DO/EW210002/DMI/T2 &amp; DO/EW210003/DMI/T2</t>
  </si>
  <si>
    <t>DO/EW210011/DMI/T2</t>
  </si>
  <si>
    <t>515641-07-12 
SUP11C, T10
 1"</t>
  </si>
  <si>
    <t>EW2101-0158</t>
  </si>
  <si>
    <t>EW2101-0168</t>
  </si>
  <si>
    <t>EW2101-0178</t>
  </si>
  <si>
    <t>EW2101-0188</t>
  </si>
  <si>
    <t>EW2101-0198</t>
  </si>
  <si>
    <t>EW2101-0111</t>
  </si>
  <si>
    <t>EW2101-0123</t>
  </si>
  <si>
    <t>DO/EW210006/DMI/T2</t>
  </si>
  <si>
    <t>DO/EW210007/DMI/T2</t>
  </si>
  <si>
    <t>515642-07-12 
SUP11C, T15
 1"</t>
  </si>
  <si>
    <t>EW2101-0179</t>
  </si>
  <si>
    <t>EW2101-0189</t>
  </si>
  <si>
    <t>EW2101-0199</t>
  </si>
  <si>
    <t xml:space="preserve">
30/11/2020</t>
  </si>
  <si>
    <t>515643-07-12 
SUP11C, T20
 1"</t>
  </si>
  <si>
    <t>EW2101-073</t>
  </si>
  <si>
    <t>EW2101-0124</t>
  </si>
  <si>
    <t>EW2101-058, EW2101-067</t>
  </si>
  <si>
    <t>EW2101-077, EW2101-078</t>
  </si>
  <si>
    <t>EW2101-0147</t>
  </si>
  <si>
    <t>EW2101-0157</t>
  </si>
  <si>
    <t>EW2101-0197</t>
  </si>
  <si>
    <t>EW2101-0110</t>
  </si>
  <si>
    <t>515644-07-12 
SUP11C, T25
 1"</t>
  </si>
  <si>
    <t>EW2101-052, EW2101-053, EW2101-062, EW2101-062</t>
  </si>
  <si>
    <t>EW2101-0152</t>
  </si>
  <si>
    <t>EW2101-0074</t>
  </si>
  <si>
    <t>EW2101-0085</t>
  </si>
  <si>
    <t>EW2101-006, EW2101-016</t>
  </si>
  <si>
    <t>EW2101-026, EW2101-036</t>
  </si>
  <si>
    <t>EW2101-036, EW2101-046</t>
  </si>
  <si>
    <t>EW2101-056, EW2101-066</t>
  </si>
  <si>
    <t>EW2101-076, EW2101-086</t>
  </si>
  <si>
    <r>
      <rPr>
        <charset val="134"/>
        <sz val="14"/>
        <rFont val="宋体"/>
      </rPr>
      <t xml:space="preserve">选台
</t>
    </r>
    <r>
      <rPr>
        <charset val="134"/>
        <sz val="14"/>
        <rFont val="Arial"/>
      </rPr>
      <t>Sortir NG</t>
    </r>
  </si>
  <si>
    <r>
      <rPr>
        <charset val="134"/>
        <sz val="14"/>
        <rFont val="宋体"/>
      </rPr>
      <t xml:space="preserve">热处理
</t>
    </r>
    <r>
      <rPr>
        <charset val="134"/>
        <sz val="14"/>
        <rFont val="Arial"/>
      </rPr>
      <t>Proses pembakaran</t>
    </r>
  </si>
  <si>
    <t>DO/EW210009 &amp;210010/DMI/T2</t>
  </si>
  <si>
    <t>515645-07-12 
SUP11C, T30
 1"</t>
  </si>
  <si>
    <t>515650-07-12 
SUP11C, SL8
 1"</t>
  </si>
  <si>
    <t>EW2101-008, EW2101-018</t>
  </si>
  <si>
    <t>EW2101-028, EW2101-038</t>
  </si>
  <si>
    <t>EW2101-038, EW2101-048</t>
  </si>
  <si>
    <t>DO/EW210001/DMI/T2</t>
  </si>
  <si>
    <t>515652-07-12 
SUP11C, SL12
 1"</t>
  </si>
  <si>
    <t>515654-07-12 
SUP11C, SQ1
 1"</t>
  </si>
  <si>
    <t>EW2101-002, EW2101-012</t>
  </si>
  <si>
    <t>EW2101-022, EW2101-032</t>
  </si>
  <si>
    <t>EW2101-032, EW2101-033</t>
  </si>
  <si>
    <t>EW2101-052, EW2101-062</t>
  </si>
  <si>
    <t>EW2101-072</t>
  </si>
  <si>
    <t>EW2101-035</t>
  </si>
  <si>
    <t>EW2101-036, EW2101-46</t>
  </si>
  <si>
    <t>EW2101-066, EW2101-056</t>
  </si>
  <si>
    <t>EW2101-0128</t>
  </si>
  <si>
    <t>EW2101-0148</t>
  </si>
  <si>
    <t>DO/EW210004/DMI/TW</t>
  </si>
  <si>
    <t>515655-07-12 
SUP11C, SQ2
 1"</t>
  </si>
  <si>
    <t>EW2101-032, EW2101-043</t>
  </si>
  <si>
    <t>EW2101-052</t>
  </si>
  <si>
    <t>EW-2101-0102</t>
  </si>
  <si>
    <t>EW2101-0165</t>
  </si>
  <si>
    <t>EW2101-0173</t>
  </si>
  <si>
    <t>EW2101-007, 2101-008, EW2101-017, EW2101-018</t>
  </si>
  <si>
    <t>EW2101-027, EW2101-028, EW2101-037, EW2101-038</t>
  </si>
  <si>
    <t>EW2101-037, EW2101-038, EW2101-047, EW2101-048</t>
  </si>
  <si>
    <t>EW2101-057</t>
  </si>
  <si>
    <t>515656-07-12 
SUP11C, SQ3
 1"</t>
  </si>
  <si>
    <t>EW2101-0143</t>
  </si>
  <si>
    <t>EW2101-0153</t>
  </si>
  <si>
    <t>EW2101-0163</t>
  </si>
  <si>
    <t>EW2101-0183</t>
  </si>
  <si>
    <t>EW2101-0193</t>
  </si>
  <si>
    <t>EW2101-056</t>
  </si>
  <si>
    <t>549396-07-12 
8660, PH2
 2"</t>
  </si>
  <si>
    <t xml:space="preserve"> </t>
  </si>
</sst>
</file>

<file path=xl/styles.xml><?xml version="1.0" encoding="utf-8"?>
<styleSheet xmlns="http://schemas.openxmlformats.org/spreadsheetml/2006/main">
  <numFmts count="15">
    <numFmt numFmtId="0" formatCode="General"/>
    <numFmt numFmtId="164" formatCode="[$-409]mmm/yy;@"/>
    <numFmt numFmtId="175" formatCode="_ * #,##0_ ;_ * \-#,##0_ ;_ * &quot;-&quot;_ ;_ @_ "/>
    <numFmt numFmtId="166" formatCode="yyyy/mm/dd;@"/>
    <numFmt numFmtId="171" formatCode="#,##0_ "/>
    <numFmt numFmtId="3" formatCode="#,##0"/>
    <numFmt numFmtId="173" formatCode="mmm/dd/yyyy"/>
    <numFmt numFmtId="172" formatCode="m/d;@"/>
    <numFmt numFmtId="38" formatCode="#,##0_);[Red]!(#,##0!)"/>
    <numFmt numFmtId="58" formatCode="m/d/yyyy"/>
    <numFmt numFmtId="167" formatCode="_-* #,##0_-;\-* #,##0_-;_-* &quot;-&quot;??_-;_-@_-"/>
    <numFmt numFmtId="49" formatCode="@"/>
    <numFmt numFmtId="10" formatCode="0.00%"/>
    <numFmt numFmtId="174" formatCode="#,000_);[Red]\(#,000\)"/>
    <numFmt numFmtId="169" formatCode="_ * #,##0.00_ ;_ * \-#,##0.00_ ;_ * &quot;-&quot;??_ ;_ @_ "/>
  </numFmts>
  <fonts count="59">
    <font>
      <name val="Calibri"/>
      <sz val="11"/>
    </font>
    <font>
      <name val="Arial"/>
      <b/>
      <sz val="26"/>
      <color rgb="FF000000"/>
    </font>
    <font>
      <name val="Arial"/>
      <b/>
      <sz val="22"/>
      <color rgb="FF000000"/>
    </font>
    <font>
      <name val="Arial"/>
      <b/>
      <sz val="16"/>
      <color rgb="FF000000"/>
    </font>
    <font>
      <name val="Arial"/>
      <b/>
      <sz val="18"/>
      <color rgb="FF000000"/>
    </font>
    <font>
      <name val="Arial"/>
      <b/>
      <charset val="134"/>
      <sz val="12"/>
      <color rgb="FF000000"/>
    </font>
    <font>
      <name val="Arial"/>
      <sz val="14"/>
      <color rgb="FF000000"/>
    </font>
    <font>
      <name val="宋体"/>
      <sz val="14"/>
      <color rgb="FF000000"/>
    </font>
    <font>
      <name val="Arial"/>
      <charset val="134"/>
      <sz val="14"/>
      <color rgb="FF000000"/>
    </font>
    <font>
      <name val="Arial"/>
      <b/>
      <sz val="14"/>
      <color rgb="FF000000"/>
    </font>
    <font>
      <name val="Arial"/>
      <sz val="10"/>
      <color rgb="FF000000"/>
    </font>
    <font>
      <name val="SimSun"/>
      <sz val="12"/>
      <color rgb="FF000000"/>
    </font>
    <font>
      <name val="Arial"/>
      <sz val="12"/>
      <color rgb="FF000000"/>
    </font>
    <font>
      <name val="宋体"/>
      <sz val="12"/>
      <color rgb="FF000000"/>
    </font>
    <font>
      <name val="Calibri"/>
      <charset val="134"/>
      <sz val="11"/>
      <color rgb="FF000000"/>
    </font>
    <font>
      <name val="Arial"/>
      <charset val="134"/>
      <sz val="10"/>
      <color rgb="FF000000"/>
    </font>
    <font>
      <name val="Arial"/>
      <charset val="1"/>
      <sz val="11"/>
      <color rgb="FF000000"/>
    </font>
    <font>
      <name val="Arial"/>
      <b/>
      <charset val="1"/>
      <sz val="11"/>
      <color rgb="FF000000"/>
    </font>
    <font>
      <name val="Arial"/>
      <b/>
      <charset val="134"/>
      <sz val="26"/>
      <color rgb="FF000000"/>
    </font>
    <font>
      <name val="Arial"/>
      <b/>
      <charset val="134"/>
      <sz val="22"/>
      <color rgb="FF000000"/>
    </font>
    <font>
      <name val="Arial"/>
      <b/>
      <charset val="134"/>
      <sz val="16"/>
      <color rgb="FF000000"/>
    </font>
    <font>
      <name val="Arial"/>
      <b/>
      <charset val="134"/>
      <sz val="18"/>
      <color rgb="FF000000"/>
    </font>
    <font>
      <name val="Arial"/>
      <charset val="134"/>
      <sz val="14"/>
      <color rgb="FF000000"/>
    </font>
    <font>
      <name val="宋体"/>
      <charset val="134"/>
      <sz val="14"/>
      <color rgb="FF000000"/>
    </font>
    <font>
      <name val="SimSun"/>
      <charset val="134"/>
      <sz val="14"/>
      <color rgb="FF000000"/>
    </font>
    <font>
      <name val="Arial"/>
      <charset val="134"/>
      <sz val="12"/>
      <color rgb="FF000000"/>
    </font>
    <font>
      <name val="Arial"/>
      <b/>
      <charset val="1"/>
      <sz val="20"/>
      <color rgb="FF000000"/>
    </font>
    <font>
      <name val="Arial"/>
      <charset val="1"/>
      <sz val="16"/>
      <color rgb="FF000000"/>
    </font>
    <font>
      <name val="Arial"/>
      <charset val="1"/>
      <sz val="12"/>
      <color rgb="FF000000"/>
    </font>
    <font>
      <name val="Arial"/>
      <b/>
      <charset val="1"/>
      <sz val="16"/>
      <color rgb="FF000000"/>
    </font>
    <font>
      <name val="Arial"/>
      <b/>
      <i/>
      <charset val="1"/>
      <sz val="16"/>
      <color rgb="FF0070C0"/>
    </font>
    <font>
      <name val="Arial"/>
      <b/>
      <i/>
      <charset val="1"/>
      <sz val="16"/>
      <color rgb="FFFF0000"/>
    </font>
    <font>
      <name val="Arial"/>
      <b/>
      <charset val="134"/>
      <sz val="20"/>
      <color rgb="FF000000"/>
    </font>
    <font>
      <name val="Arial"/>
      <charset val="134"/>
      <sz val="16"/>
      <color rgb="FF000000"/>
    </font>
    <font>
      <name val="Arial"/>
      <charset val="134"/>
      <sz val="12"/>
    </font>
    <font>
      <name val="Arial"/>
      <charset val="134"/>
      <sz val="28"/>
    </font>
    <font>
      <name val="Arial"/>
      <charset val="134"/>
      <sz val="18"/>
    </font>
    <font>
      <name val="Arial"/>
      <charset val="134"/>
      <sz val="14"/>
    </font>
    <font>
      <name val="Arial"/>
      <charset val="134"/>
      <sz val="11"/>
    </font>
    <font>
      <name val="宋体"/>
      <charset val="134"/>
      <sz val="14"/>
    </font>
    <font>
      <name val="Arial"/>
      <charset val="134"/>
      <sz val="14"/>
      <color indexed="12"/>
    </font>
    <font>
      <name val="Arial"/>
      <charset val="134"/>
      <sz val="11"/>
      <color indexed="10"/>
    </font>
    <font>
      <name val="Arial"/>
      <i/>
      <charset val="134"/>
      <sz val="14"/>
      <color indexed="10"/>
    </font>
    <font>
      <name val="Arial"/>
      <charset val="134"/>
      <sz val="16"/>
    </font>
    <font>
      <name val="Arial"/>
      <i/>
      <charset val="134"/>
      <sz val="14"/>
    </font>
    <font>
      <name val="Arial"/>
      <i/>
      <charset val="134"/>
      <sz val="12"/>
      <color rgb="FF000000"/>
    </font>
    <font>
      <name val="Arial"/>
      <i/>
      <charset val="134"/>
      <sz val="14"/>
      <color indexed="12"/>
    </font>
    <font>
      <name val="宋体"/>
      <charset val="134"/>
      <sz val="11"/>
    </font>
    <font>
      <name val="Arial"/>
      <i/>
      <charset val="134"/>
      <sz val="11"/>
      <color rgb="FF000000"/>
    </font>
    <font>
      <name val="Calibri"/>
      <charset val="134"/>
      <sz val="12"/>
      <color rgb="FF000000"/>
    </font>
    <font>
      <name val="SimSun"/>
      <charset val="134"/>
      <sz val="14"/>
    </font>
    <font>
      <name val="Arial"/>
      <i/>
      <charset val="134"/>
      <sz val="11"/>
      <color indexed="12"/>
    </font>
    <font>
      <name val="Arial"/>
      <i/>
      <charset val="134"/>
      <sz val="11"/>
    </font>
    <font>
      <name val="Arial"/>
      <i/>
      <charset val="134"/>
      <sz val="12"/>
    </font>
    <font>
      <name val="Calibri"/>
      <charset val="134"/>
      <sz val="14"/>
      <color rgb="FF000000"/>
    </font>
    <font>
      <name val="Arial"/>
      <i/>
      <charset val="134"/>
      <sz val="14"/>
      <color rgb="FF000000"/>
    </font>
    <font>
      <name val="Arial"/>
      <charset val="134"/>
      <sz val="12"/>
      <color indexed="12"/>
    </font>
    <font>
      <name val="Calibri"/>
      <charset val="134"/>
      <sz val="12"/>
    </font>
    <font>
      <name val="Calibri"/>
      <charset val="1"/>
      <sz val="11"/>
      <color rgb="FF000000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5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4" fillId="0" borderId="0">
      <alignment vertical="bottom"/>
      <protection locked="0" hidden="0"/>
    </xf>
    <xf numFmtId="0" fontId="58" fillId="0" borderId="0">
      <alignment vertical="bottom"/>
      <protection locked="0" hidden="0"/>
    </xf>
    <xf numFmtId="169" fontId="14" fillId="0" borderId="0">
      <alignment vertical="top"/>
      <protection locked="0" hidden="0"/>
    </xf>
  </cellStyleXfs>
  <cellXfs count="385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>
      <alignment vertical="center"/>
    </xf>
    <xf numFmtId="0" fontId="2" fillId="0" borderId="0" xfId="1" applyFont="1" applyFill="1" applyAlignment="1">
      <alignment horizontal="left" vertical="center"/>
    </xf>
    <xf numFmtId="0" fontId="2" fillId="0" borderId="0" xfId="1" applyFont="1" applyFill="1">
      <alignment vertical="center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textRotation="90"/>
    </xf>
    <xf numFmtId="0" fontId="10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175" fontId="10" fillId="0" borderId="2" xfId="0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textRotation="90"/>
    </xf>
    <xf numFmtId="0" fontId="10" fillId="0" borderId="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0" fillId="0" borderId="2" xfId="1" applyFont="1" applyFill="1" applyBorder="1" applyAlignment="1">
      <alignment horizontal="center" vertical="bottom"/>
    </xf>
    <xf numFmtId="0" fontId="13" fillId="0" borderId="2" xfId="0" applyFont="1" applyFill="1" applyBorder="1" applyAlignment="1">
      <alignment horizontal="left" vertical="center"/>
    </xf>
    <xf numFmtId="175" fontId="10" fillId="0" borderId="2" xfId="0" applyNumberFormat="1" applyFont="1" applyFill="1" applyBorder="1" applyAlignment="1">
      <alignment vertical="center" wrapText="1"/>
    </xf>
    <xf numFmtId="0" fontId="14" fillId="0" borderId="5" xfId="0" applyBorder="1" applyAlignment="1">
      <alignment horizontal="left" vertical="center"/>
    </xf>
    <xf numFmtId="0" fontId="14" fillId="0" borderId="4" xfId="0" applyBorder="1" applyAlignment="1">
      <alignment horizontal="left" vertical="center"/>
    </xf>
    <xf numFmtId="0" fontId="10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175" fontId="10" fillId="0" borderId="7" xfId="0" applyNumberFormat="1" applyFont="1" applyFill="1" applyBorder="1" applyAlignment="1">
      <alignment horizontal="center" vertical="center"/>
    </xf>
    <xf numFmtId="175" fontId="10" fillId="0" borderId="8" xfId="0" applyNumberFormat="1" applyFont="1" applyFill="1" applyBorder="1" applyAlignment="1">
      <alignment horizontal="center" vertical="center"/>
    </xf>
    <xf numFmtId="175" fontId="10" fillId="0" borderId="7" xfId="0" applyNumberFormat="1" applyFont="1" applyFill="1" applyBorder="1" applyAlignment="1">
      <alignment vertical="center" wrapText="1"/>
    </xf>
    <xf numFmtId="0" fontId="10" fillId="0" borderId="7" xfId="1" applyFont="1" applyFill="1" applyBorder="1" applyAlignment="1">
      <alignment horizontal="center" vertical="bottom"/>
    </xf>
    <xf numFmtId="0" fontId="12" fillId="0" borderId="9" xfId="0" applyFont="1" applyFill="1" applyBorder="1" applyAlignment="1">
      <alignment horizontal="left" vertical="center"/>
    </xf>
    <xf numFmtId="175" fontId="10" fillId="0" borderId="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bottom"/>
    </xf>
    <xf numFmtId="175" fontId="10" fillId="0" borderId="9" xfId="0" applyNumberFormat="1" applyFont="1" applyFill="1" applyBorder="1" applyAlignment="1">
      <alignment vertical="center" wrapText="1"/>
    </xf>
    <xf numFmtId="0" fontId="10" fillId="0" borderId="9" xfId="1" applyFont="1" applyFill="1" applyBorder="1" applyAlignment="1">
      <alignment horizontal="center" vertical="bottom"/>
    </xf>
    <xf numFmtId="0" fontId="13" fillId="0" borderId="4" xfId="0" applyFont="1" applyFill="1" applyBorder="1" applyAlignment="1">
      <alignment horizontal="left" vertical="center"/>
    </xf>
    <xf numFmtId="175" fontId="10" fillId="0" borderId="4" xfId="0" applyNumberFormat="1" applyFont="1" applyFill="1" applyBorder="1" applyAlignment="1">
      <alignment horizontal="center" vertical="center"/>
    </xf>
    <xf numFmtId="175" fontId="10" fillId="0" borderId="4" xfId="0" applyNumberFormat="1" applyFont="1" applyFill="1" applyBorder="1" applyAlignment="1">
      <alignment vertical="center" wrapText="1"/>
    </xf>
    <xf numFmtId="0" fontId="10" fillId="0" borderId="4" xfId="1" applyFont="1" applyFill="1" applyBorder="1" applyAlignment="1">
      <alignment horizontal="center" vertical="center"/>
    </xf>
    <xf numFmtId="0" fontId="14" fillId="0" borderId="7" xfId="0" applyBorder="1" applyAlignment="1">
      <alignment vertical="bottom"/>
    </xf>
    <xf numFmtId="0" fontId="13" fillId="0" borderId="3" xfId="0" applyFont="1" applyFill="1" applyBorder="1" applyAlignment="1">
      <alignment horizontal="left" vertical="center"/>
    </xf>
    <xf numFmtId="175" fontId="10" fillId="0" borderId="3" xfId="0" applyNumberFormat="1" applyFont="1" applyFill="1" applyBorder="1" applyAlignment="1">
      <alignment horizontal="center" vertical="center"/>
    </xf>
    <xf numFmtId="175" fontId="10" fillId="0" borderId="3" xfId="0" applyNumberFormat="1" applyFont="1" applyFill="1" applyBorder="1" applyAlignment="1">
      <alignment vertical="center" wrapText="1"/>
    </xf>
    <xf numFmtId="0" fontId="10" fillId="0" borderId="3" xfId="1" applyFont="1" applyFill="1" applyBorder="1" applyAlignment="1">
      <alignment horizontal="center" vertical="bottom"/>
    </xf>
    <xf numFmtId="0" fontId="10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175" fontId="10" fillId="0" borderId="11" xfId="0" applyNumberFormat="1" applyFont="1" applyFill="1" applyBorder="1" applyAlignment="1">
      <alignment horizontal="center" vertical="center"/>
    </xf>
    <xf numFmtId="175" fontId="10" fillId="0" borderId="11" xfId="0" applyNumberFormat="1" applyFont="1" applyFill="1" applyBorder="1" applyAlignment="1">
      <alignment vertical="center" wrapText="1"/>
    </xf>
    <xf numFmtId="0" fontId="10" fillId="0" borderId="11" xfId="1" applyFont="1" applyFill="1" applyBorder="1" applyAlignment="1">
      <alignment horizontal="center" vertical="bottom"/>
    </xf>
    <xf numFmtId="0" fontId="10" fillId="0" borderId="4" xfId="1" applyFont="1" applyFill="1" applyBorder="1" applyAlignment="1">
      <alignment horizontal="center" vertical="bottom"/>
    </xf>
    <xf numFmtId="0" fontId="10" fillId="0" borderId="7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5" fontId="10" fillId="3" borderId="3" xfId="0" applyNumberFormat="1" applyFont="1" applyFill="1" applyBorder="1" applyAlignment="1">
      <alignment horizontal="center" vertical="center"/>
    </xf>
    <xf numFmtId="175" fontId="10" fillId="3" borderId="9" xfId="0" applyNumberFormat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 textRotation="90"/>
    </xf>
    <xf numFmtId="0" fontId="16" fillId="0" borderId="0" xfId="1" applyFont="1" applyFill="1" applyAlignment="1">
      <alignment vertical="bottom"/>
    </xf>
    <xf numFmtId="0" fontId="17" fillId="0" borderId="0" xfId="1" applyFont="1" applyFill="1" applyAlignment="1">
      <alignment vertical="bottom"/>
    </xf>
    <xf numFmtId="0" fontId="16" fillId="0" borderId="0" xfId="1" applyFont="1" applyFill="1" applyAlignment="1">
      <alignment horizontal="right" vertical="center"/>
    </xf>
    <xf numFmtId="0" fontId="16" fillId="0" borderId="0" xfId="1" applyFont="1" applyFill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right" vertical="center"/>
    </xf>
    <xf numFmtId="166" fontId="21" fillId="0" borderId="1" xfId="1" applyNumberFormat="1" applyFont="1" applyFill="1" applyBorder="1" applyAlignment="1">
      <alignment horizontal="center" vertical="center"/>
    </xf>
    <xf numFmtId="0" fontId="16" fillId="0" borderId="0" xfId="1" applyFont="1" applyFill="1" applyAlignment="1">
      <alignment horizontal="center" vertical="bottom"/>
    </xf>
    <xf numFmtId="0" fontId="5" fillId="3" borderId="2" xfId="1" applyFont="1" applyFill="1" applyBorder="1" applyAlignment="1">
      <alignment horizontal="center" vertical="center"/>
    </xf>
    <xf numFmtId="0" fontId="22" fillId="3" borderId="2" xfId="1" applyFont="1" applyFill="1" applyBorder="1" applyAlignment="1">
      <alignment horizontal="center" vertical="center" wrapText="1"/>
    </xf>
    <xf numFmtId="0" fontId="23" fillId="3" borderId="2" xfId="2" applyFont="1" applyFill="1" applyBorder="1" applyAlignment="1">
      <alignment horizontal="center" vertical="center" wrapText="1"/>
    </xf>
    <xf numFmtId="0" fontId="24" fillId="3" borderId="2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25" fillId="3" borderId="2" xfId="2" applyFont="1" applyFill="1" applyBorder="1" applyAlignment="1">
      <alignment horizontal="center" vertical="center" wrapText="1"/>
    </xf>
    <xf numFmtId="0" fontId="26" fillId="0" borderId="3" xfId="1" applyFont="1" applyFill="1" applyBorder="1" applyAlignment="1">
      <alignment horizontal="center" vertical="center" textRotation="90"/>
    </xf>
    <xf numFmtId="0" fontId="27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center"/>
    </xf>
    <xf numFmtId="171" fontId="27" fillId="0" borderId="3" xfId="1" applyNumberFormat="1" applyFont="1" applyFill="1" applyBorder="1" applyAlignment="1">
      <alignment horizontal="right" vertical="center"/>
    </xf>
    <xf numFmtId="3" fontId="27" fillId="0" borderId="2" xfId="3" applyNumberFormat="1" applyFont="1" applyFill="1" applyBorder="1" applyAlignment="1">
      <alignment horizontal="right" vertical="center"/>
    </xf>
    <xf numFmtId="3" fontId="27" fillId="0" borderId="2" xfId="3" applyNumberFormat="1" applyFont="1" applyFill="1" applyBorder="1" applyAlignment="1">
      <alignment horizontal="right" vertical="center" wrapText="1"/>
    </xf>
    <xf numFmtId="171" fontId="27" fillId="0" borderId="2" xfId="1" applyNumberFormat="1" applyFont="1" applyFill="1" applyBorder="1" applyAlignment="1">
      <alignment horizontal="right" vertical="center" wrapText="1"/>
    </xf>
    <xf numFmtId="171" fontId="29" fillId="4" borderId="2" xfId="1" applyNumberFormat="1" applyFont="1" applyFill="1" applyBorder="1" applyAlignment="1">
      <alignment horizontal="right" vertical="center" wrapText="1"/>
    </xf>
    <xf numFmtId="171" fontId="30" fillId="0" borderId="2" xfId="1" applyNumberFormat="1" applyFont="1" applyFill="1" applyBorder="1" applyAlignment="1">
      <alignment horizontal="right" vertical="center" wrapText="1"/>
    </xf>
    <xf numFmtId="171" fontId="31" fillId="0" borderId="2" xfId="1" applyNumberFormat="1" applyFont="1" applyFill="1" applyBorder="1" applyAlignment="1">
      <alignment horizontal="right" vertical="center" wrapText="1"/>
    </xf>
    <xf numFmtId="0" fontId="28" fillId="0" borderId="2" xfId="1" applyFont="1" applyFill="1" applyBorder="1" applyAlignment="1">
      <alignment horizontal="right" vertical="center"/>
    </xf>
    <xf numFmtId="0" fontId="26" fillId="0" borderId="4" xfId="1" applyFont="1" applyFill="1" applyBorder="1" applyAlignment="1">
      <alignment horizontal="center" vertical="center" textRotation="90"/>
    </xf>
    <xf numFmtId="171" fontId="27" fillId="0" borderId="4" xfId="1" applyNumberFormat="1" applyFont="1" applyFill="1" applyBorder="1" applyAlignment="1">
      <alignment horizontal="right" vertical="center"/>
    </xf>
    <xf numFmtId="3" fontId="27" fillId="0" borderId="2" xfId="3" applyNumberFormat="1" applyFont="1" applyFill="1" applyBorder="1" applyAlignment="1">
      <alignment horizontal="right" vertical="center"/>
    </xf>
    <xf numFmtId="0" fontId="28" fillId="5" borderId="2" xfId="1" applyFont="1" applyFill="1" applyBorder="1" applyAlignment="1">
      <alignment horizontal="right" vertical="center"/>
    </xf>
    <xf numFmtId="171" fontId="27" fillId="0" borderId="9" xfId="1" applyNumberFormat="1" applyFont="1" applyFill="1" applyBorder="1" applyAlignment="1">
      <alignment horizontal="right" vertical="center"/>
    </xf>
    <xf numFmtId="171" fontId="27" fillId="0" borderId="2" xfId="1" applyNumberFormat="1" applyFont="1" applyFill="1" applyBorder="1" applyAlignment="1">
      <alignment horizontal="right" vertical="center"/>
    </xf>
    <xf numFmtId="171" fontId="30" fillId="0" borderId="2" xfId="1" applyNumberFormat="1" applyFont="1" applyFill="1" applyBorder="1" applyAlignment="1">
      <alignment horizontal="right" vertical="center"/>
    </xf>
    <xf numFmtId="171" fontId="31" fillId="0" borderId="2" xfId="1" applyNumberFormat="1" applyFont="1" applyFill="1" applyBorder="1" applyAlignment="1">
      <alignment horizontal="right" vertical="center"/>
    </xf>
    <xf numFmtId="0" fontId="16" fillId="0" borderId="2" xfId="1" applyFont="1" applyFill="1" applyBorder="1" applyAlignment="1">
      <alignment horizontal="right" vertical="center"/>
    </xf>
    <xf numFmtId="0" fontId="23" fillId="3" borderId="12" xfId="2" applyFont="1" applyFill="1" applyBorder="1" applyAlignment="1">
      <alignment horizontal="center" vertical="center" wrapText="1"/>
    </xf>
    <xf numFmtId="0" fontId="22" fillId="3" borderId="13" xfId="2" applyFont="1" applyFill="1" applyBorder="1" applyAlignment="1">
      <alignment horizontal="center" vertical="center" wrapText="1"/>
    </xf>
    <xf numFmtId="0" fontId="24" fillId="3" borderId="12" xfId="2" applyFont="1" applyFill="1" applyBorder="1" applyAlignment="1">
      <alignment horizontal="center" vertical="center" wrapText="1"/>
    </xf>
    <xf numFmtId="0" fontId="23" fillId="3" borderId="14" xfId="2" applyFont="1" applyFill="1" applyBorder="1" applyAlignment="1">
      <alignment horizontal="center" vertical="center" wrapText="1"/>
    </xf>
    <xf numFmtId="0" fontId="23" fillId="3" borderId="13" xfId="2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left" vertical="center" wrapText="1"/>
    </xf>
    <xf numFmtId="171" fontId="27" fillId="0" borderId="12" xfId="1" applyNumberFormat="1" applyFont="1" applyFill="1" applyBorder="1" applyAlignment="1">
      <alignment horizontal="right" vertical="center"/>
    </xf>
    <xf numFmtId="171" fontId="27" fillId="0" borderId="13" xfId="1" applyNumberFormat="1" applyFont="1" applyFill="1" applyBorder="1" applyAlignment="1">
      <alignment horizontal="right" vertical="center"/>
    </xf>
    <xf numFmtId="171" fontId="27" fillId="0" borderId="14" xfId="1" applyNumberFormat="1" applyFont="1" applyFill="1" applyBorder="1" applyAlignment="1">
      <alignment horizontal="right" vertical="center"/>
    </xf>
    <xf numFmtId="171" fontId="29" fillId="4" borderId="2" xfId="1" applyNumberFormat="1" applyFont="1" applyFill="1" applyBorder="1" applyAlignment="1">
      <alignment horizontal="right" vertical="center"/>
    </xf>
    <xf numFmtId="0" fontId="32" fillId="0" borderId="2" xfId="1" applyFont="1" applyFill="1" applyBorder="1" applyAlignment="1">
      <alignment horizontal="center" vertical="center" textRotation="90"/>
    </xf>
    <xf numFmtId="0" fontId="33" fillId="0" borderId="2" xfId="1" applyFont="1" applyFill="1" applyBorder="1" applyAlignment="1">
      <alignment horizontal="center" vertical="center"/>
    </xf>
    <xf numFmtId="0" fontId="25" fillId="0" borderId="2" xfId="1" applyFont="1" applyFill="1" applyBorder="1" applyAlignment="1">
      <alignment horizontal="center" vertical="center"/>
    </xf>
    <xf numFmtId="0" fontId="33" fillId="0" borderId="2" xfId="1" applyFont="1" applyFill="1" applyBorder="1" applyAlignment="1">
      <alignment horizontal="left" vertical="center"/>
    </xf>
    <xf numFmtId="171" fontId="27" fillId="0" borderId="12" xfId="1" applyNumberFormat="1" applyFont="1" applyFill="1" applyBorder="1" applyAlignment="1">
      <alignment horizontal="center" vertical="center"/>
    </xf>
    <xf numFmtId="171" fontId="27" fillId="0" borderId="13" xfId="1" applyNumberFormat="1" applyFont="1" applyFill="1" applyBorder="1" applyAlignment="1">
      <alignment horizontal="center" vertical="center"/>
    </xf>
    <xf numFmtId="171" fontId="27" fillId="0" borderId="14" xfId="1" applyNumberFormat="1" applyFont="1" applyFill="1" applyBorder="1" applyAlignment="1">
      <alignment horizontal="center" vertical="center"/>
    </xf>
    <xf numFmtId="0" fontId="25" fillId="0" borderId="2" xfId="1" applyFont="1" applyFill="1" applyBorder="1" applyAlignment="1">
      <alignment horizontal="left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35" fillId="0" borderId="0" xfId="0" applyFont="1" applyFill="1">
      <alignment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5" xfId="0" applyFont="1" applyFill="1" applyBorder="1">
      <alignment vertical="center"/>
    </xf>
    <xf numFmtId="0" fontId="36" fillId="0" borderId="0" xfId="0" applyFont="1" applyFill="1" applyBorder="1" applyAlignment="1">
      <alignment horizontal="left" vertical="center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8" xfId="3" applyNumberFormat="1" applyFont="1" applyFill="1" applyBorder="1" applyAlignment="1">
      <alignment horizontal="center" vertical="center" wrapText="1"/>
    </xf>
    <xf numFmtId="0" fontId="34" fillId="0" borderId="19" xfId="3" applyNumberFormat="1" applyFont="1" applyFill="1" applyBorder="1" applyAlignment="1">
      <alignment horizontal="center" vertical="center" wrapText="1"/>
    </xf>
    <xf numFmtId="0" fontId="34" fillId="0" borderId="20" xfId="3" applyNumberFormat="1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173" fontId="34" fillId="0" borderId="21" xfId="0" applyNumberFormat="1" applyFont="1" applyFill="1" applyBorder="1" applyAlignment="1">
      <alignment horizontal="center" vertical="center" wrapText="1"/>
    </xf>
    <xf numFmtId="173" fontId="34" fillId="0" borderId="20" xfId="0" applyNumberFormat="1" applyFont="1" applyFill="1" applyBorder="1" applyAlignment="1">
      <alignment horizontal="center" vertical="center" wrapText="1"/>
    </xf>
    <xf numFmtId="0" fontId="34" fillId="0" borderId="16" xfId="3" applyNumberFormat="1" applyFont="1" applyFill="1" applyBorder="1" applyAlignment="1">
      <alignment horizontal="center" vertical="center" wrapText="1"/>
    </xf>
    <xf numFmtId="0" fontId="37" fillId="0" borderId="17" xfId="0" applyNumberFormat="1" applyFont="1" applyFill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 wrapText="1"/>
    </xf>
    <xf numFmtId="0" fontId="34" fillId="0" borderId="20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4" fillId="0" borderId="23" xfId="3" applyNumberFormat="1" applyFont="1" applyFill="1" applyBorder="1" applyAlignment="1">
      <alignment horizontal="center" vertical="center" wrapText="1"/>
    </xf>
    <xf numFmtId="0" fontId="34" fillId="0" borderId="24" xfId="3" applyNumberFormat="1" applyFont="1" applyFill="1" applyBorder="1" applyAlignment="1">
      <alignment horizontal="center" vertical="center" wrapText="1"/>
    </xf>
    <xf numFmtId="0" fontId="34" fillId="0" borderId="25" xfId="3" applyNumberFormat="1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34" fillId="0" borderId="27" xfId="0" applyFont="1" applyFill="1" applyBorder="1" applyAlignment="1">
      <alignment horizontal="center" vertical="center" wrapText="1"/>
    </xf>
    <xf numFmtId="173" fontId="34" fillId="0" borderId="24" xfId="0" applyNumberFormat="1" applyFont="1" applyFill="1" applyBorder="1" applyAlignment="1">
      <alignment horizontal="center" vertical="center" wrapText="1"/>
    </xf>
    <xf numFmtId="173" fontId="34" fillId="0" borderId="25" xfId="0" applyNumberFormat="1" applyFont="1" applyFill="1" applyBorder="1" applyAlignment="1">
      <alignment horizontal="center" vertical="center" wrapText="1"/>
    </xf>
    <xf numFmtId="0" fontId="34" fillId="0" borderId="22" xfId="3" applyNumberFormat="1" applyFont="1" applyFill="1" applyBorder="1" applyAlignment="1">
      <alignment horizontal="center" vertical="center" wrapText="1"/>
    </xf>
    <xf numFmtId="172" fontId="37" fillId="0" borderId="24" xfId="0" applyNumberFormat="1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 wrapText="1"/>
    </xf>
    <xf numFmtId="0" fontId="34" fillId="0" borderId="25" xfId="0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37" fillId="0" borderId="28" xfId="0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 vertical="center" wrapText="1"/>
    </xf>
    <xf numFmtId="38" fontId="38" fillId="0" borderId="28" xfId="3" applyNumberFormat="1" applyFont="1" applyFill="1" applyBorder="1" applyAlignment="1">
      <alignment horizontal="center" vertical="center"/>
    </xf>
    <xf numFmtId="38" fontId="40" fillId="6" borderId="3" xfId="3" applyNumberFormat="1" applyFont="1" applyFill="1" applyBorder="1" applyAlignment="1">
      <alignment horizontal="center" vertical="center"/>
    </xf>
    <xf numFmtId="38" fontId="41" fillId="0" borderId="29" xfId="3" applyNumberFormat="1" applyFont="1" applyFill="1" applyBorder="1" applyAlignment="1">
      <alignment horizontal="center" vertical="center"/>
    </xf>
    <xf numFmtId="38" fontId="42" fillId="7" borderId="28" xfId="3" applyNumberFormat="1" applyFont="1" applyFill="1" applyBorder="1" applyAlignment="1">
      <alignment horizontal="center" vertical="center"/>
    </xf>
    <xf numFmtId="58" fontId="38" fillId="0" borderId="29" xfId="0" applyNumberFormat="1" applyFont="1" applyFill="1" applyBorder="1" applyAlignment="1">
      <alignment horizontal="center" vertical="center" wrapText="1"/>
    </xf>
    <xf numFmtId="0" fontId="38" fillId="0" borderId="28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/>
    </xf>
    <xf numFmtId="167" fontId="38" fillId="0" borderId="3" xfId="3" applyNumberFormat="1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44" fillId="0" borderId="31" xfId="0" applyFont="1" applyFill="1" applyBorder="1" applyAlignment="1">
      <alignment horizontal="center" vertical="center"/>
    </xf>
    <xf numFmtId="0" fontId="44" fillId="0" borderId="32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38" fontId="38" fillId="0" borderId="33" xfId="3" applyNumberFormat="1" applyFont="1" applyFill="1" applyBorder="1" applyAlignment="1">
      <alignment horizontal="center" vertical="center"/>
    </xf>
    <xf numFmtId="38" fontId="40" fillId="6" borderId="4" xfId="3" applyNumberFormat="1" applyFont="1" applyFill="1" applyBorder="1" applyAlignment="1">
      <alignment horizontal="center" vertical="center"/>
    </xf>
    <xf numFmtId="38" fontId="41" fillId="0" borderId="34" xfId="3" applyNumberFormat="1" applyFont="1" applyFill="1" applyBorder="1" applyAlignment="1">
      <alignment horizontal="center" vertical="center"/>
    </xf>
    <xf numFmtId="38" fontId="42" fillId="7" borderId="33" xfId="3" applyNumberFormat="1" applyFont="1" applyFill="1" applyBorder="1" applyAlignment="1">
      <alignment horizontal="center" vertical="center"/>
    </xf>
    <xf numFmtId="58" fontId="38" fillId="0" borderId="34" xfId="0" applyNumberFormat="1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67" fontId="38" fillId="0" borderId="4" xfId="3" applyNumberFormat="1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center" vertical="center"/>
    </xf>
    <xf numFmtId="0" fontId="38" fillId="5" borderId="35" xfId="0" applyFont="1" applyFill="1" applyBorder="1" applyAlignment="1">
      <alignment horizontal="center" vertical="center" wrapText="1"/>
    </xf>
    <xf numFmtId="38" fontId="45" fillId="0" borderId="36" xfId="0" applyNumberFormat="1" applyFont="1" applyFill="1" applyBorder="1" applyAlignment="1">
      <alignment horizontal="center" vertical="center" wrapText="1"/>
    </xf>
    <xf numFmtId="38" fontId="25" fillId="0" borderId="37" xfId="0" applyNumberFormat="1" applyFont="1" applyFill="1" applyBorder="1" applyAlignment="1">
      <alignment horizontal="center" vertical="center" wrapText="1"/>
    </xf>
    <xf numFmtId="38" fontId="46" fillId="0" borderId="36" xfId="0" applyNumberFormat="1" applyFont="1" applyFill="1" applyBorder="1" applyAlignment="1">
      <alignment horizontal="center" vertical="center"/>
    </xf>
    <xf numFmtId="38" fontId="44" fillId="0" borderId="38" xfId="3" applyNumberFormat="1" applyFont="1" applyFill="1" applyBorder="1" applyAlignment="1">
      <alignment horizontal="center" vertical="center"/>
    </xf>
    <xf numFmtId="0" fontId="38" fillId="0" borderId="39" xfId="0" applyFont="1" applyFill="1" applyBorder="1" applyAlignment="1">
      <alignment horizontal="center" vertical="center" wrapText="1"/>
    </xf>
    <xf numFmtId="10" fontId="44" fillId="0" borderId="40" xfId="0" applyNumberFormat="1" applyFont="1" applyFill="1" applyBorder="1" applyAlignment="1">
      <alignment horizontal="center" vertical="center"/>
    </xf>
    <xf numFmtId="0" fontId="38" fillId="4" borderId="39" xfId="0" applyFont="1" applyFill="1" applyBorder="1" applyAlignment="1">
      <alignment horizontal="center" vertical="center" wrapText="1"/>
    </xf>
    <xf numFmtId="38" fontId="46" fillId="4" borderId="36" xfId="0" applyNumberFormat="1" applyFont="1" applyFill="1" applyBorder="1" applyAlignment="1">
      <alignment horizontal="center" vertical="center"/>
    </xf>
    <xf numFmtId="10" fontId="46" fillId="0" borderId="40" xfId="0" applyNumberFormat="1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 wrapText="1"/>
    </xf>
    <xf numFmtId="38" fontId="45" fillId="0" borderId="24" xfId="0" applyNumberFormat="1" applyFont="1" applyFill="1" applyBorder="1" applyAlignment="1">
      <alignment horizontal="center" vertical="center" wrapText="1"/>
    </xf>
    <xf numFmtId="10" fontId="46" fillId="0" borderId="41" xfId="0" applyNumberFormat="1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 wrapText="1"/>
    </xf>
    <xf numFmtId="38" fontId="38" fillId="0" borderId="22" xfId="3" applyNumberFormat="1" applyFont="1" applyFill="1" applyBorder="1" applyAlignment="1">
      <alignment horizontal="center" vertical="center"/>
    </xf>
    <xf numFmtId="38" fontId="40" fillId="6" borderId="9" xfId="3" applyNumberFormat="1" applyFont="1" applyFill="1" applyBorder="1" applyAlignment="1">
      <alignment horizontal="center" vertical="center"/>
    </xf>
    <xf numFmtId="38" fontId="41" fillId="0" borderId="42" xfId="3" applyNumberFormat="1" applyFont="1" applyFill="1" applyBorder="1" applyAlignment="1">
      <alignment horizontal="center" vertical="center"/>
    </xf>
    <xf numFmtId="38" fontId="42" fillId="7" borderId="22" xfId="3" applyNumberFormat="1" applyFont="1" applyFill="1" applyBorder="1" applyAlignment="1">
      <alignment horizontal="center" vertical="center"/>
    </xf>
    <xf numFmtId="58" fontId="38" fillId="0" borderId="42" xfId="0" applyNumberFormat="1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167" fontId="38" fillId="0" borderId="9" xfId="3" applyNumberFormat="1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47" fillId="0" borderId="22" xfId="0" applyFont="1" applyFill="1" applyBorder="1" applyAlignment="1">
      <alignment horizontal="center" vertical="center"/>
    </xf>
    <xf numFmtId="38" fontId="45" fillId="0" borderId="9" xfId="0" applyNumberFormat="1" applyFont="1" applyFill="1" applyBorder="1" applyAlignment="1">
      <alignment horizontal="center" vertical="center" wrapText="1"/>
    </xf>
    <xf numFmtId="38" fontId="46" fillId="0" borderId="43" xfId="3" applyNumberFormat="1" applyFont="1" applyFill="1" applyBorder="1" applyAlignment="1">
      <alignment horizontal="center" vertical="center"/>
    </xf>
    <xf numFmtId="38" fontId="44" fillId="0" borderId="44" xfId="3" applyNumberFormat="1" applyFont="1" applyFill="1" applyBorder="1" applyAlignment="1">
      <alignment horizontal="center" vertical="center"/>
    </xf>
    <xf numFmtId="0" fontId="37" fillId="0" borderId="45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 vertical="center" wrapText="1"/>
    </xf>
    <xf numFmtId="0" fontId="38" fillId="8" borderId="35" xfId="0" applyFont="1" applyFill="1" applyBorder="1" applyAlignment="1">
      <alignment horizontal="center" vertical="center" wrapText="1"/>
    </xf>
    <xf numFmtId="38" fontId="46" fillId="8" borderId="47" xfId="3" applyNumberFormat="1" applyFont="1" applyFill="1" applyBorder="1" applyAlignment="1">
      <alignment horizontal="center" vertical="center"/>
    </xf>
    <xf numFmtId="0" fontId="38" fillId="9" borderId="39" xfId="0" applyFont="1" applyFill="1" applyBorder="1" applyAlignment="1">
      <alignment horizontal="center" vertical="center" wrapText="1"/>
    </xf>
    <xf numFmtId="38" fontId="46" fillId="9" borderId="36" xfId="0" applyNumberFormat="1" applyFont="1" applyFill="1" applyBorder="1" applyAlignment="1">
      <alignment horizontal="center" vertical="center"/>
    </xf>
    <xf numFmtId="38" fontId="46" fillId="0" borderId="24" xfId="0" applyNumberFormat="1" applyFont="1" applyFill="1" applyBorder="1" applyAlignment="1">
      <alignment horizontal="center" vertical="center"/>
    </xf>
    <xf numFmtId="0" fontId="37" fillId="0" borderId="43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58" fontId="38" fillId="0" borderId="29" xfId="0" applyNumberFormat="1" applyFont="1" applyFill="1" applyBorder="1" applyAlignment="1">
      <alignment horizontal="center" vertical="center"/>
    </xf>
    <xf numFmtId="38" fontId="48" fillId="0" borderId="36" xfId="0" applyNumberFormat="1" applyFont="1" applyFill="1" applyBorder="1" applyAlignment="1">
      <alignment horizontal="center" vertical="center" wrapText="1"/>
    </xf>
    <xf numFmtId="38" fontId="25" fillId="0" borderId="36" xfId="0" applyNumberFormat="1" applyFont="1" applyFill="1" applyBorder="1" applyAlignment="1">
      <alignment horizontal="center" vertical="center" wrapText="1"/>
    </xf>
    <xf numFmtId="3" fontId="25" fillId="0" borderId="9" xfId="0" applyNumberFormat="1" applyFont="1" applyFill="1" applyBorder="1" applyAlignment="1">
      <alignment horizontal="center" vertical="center" wrapText="1"/>
    </xf>
    <xf numFmtId="174" fontId="49" fillId="0" borderId="2" xfId="0" applyNumberFormat="1" applyFont="1" applyFill="1" applyBorder="1" applyAlignment="1">
      <alignment horizontal="center" vertical="center" wrapText="1"/>
    </xf>
    <xf numFmtId="38" fontId="45" fillId="0" borderId="9" xfId="0" applyNumberFormat="1" applyFont="1" applyFill="1" applyBorder="1" applyAlignment="1">
      <alignment horizontal="center" vertical="center" wrapText="1"/>
    </xf>
    <xf numFmtId="38" fontId="45" fillId="0" borderId="43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174" fontId="49" fillId="0" borderId="9" xfId="0" applyNumberFormat="1" applyFont="1" applyFill="1" applyBorder="1" applyAlignment="1">
      <alignment horizontal="center" vertical="center" wrapText="1"/>
    </xf>
    <xf numFmtId="174" fontId="49" fillId="0" borderId="9" xfId="0" applyNumberFormat="1" applyFont="1" applyFill="1" applyBorder="1" applyAlignment="1">
      <alignment vertical="center" wrapText="1"/>
    </xf>
    <xf numFmtId="0" fontId="50" fillId="0" borderId="3" xfId="0" applyFont="1" applyFill="1" applyBorder="1" applyAlignment="1">
      <alignment horizontal="center" vertical="center" wrapText="1"/>
    </xf>
    <xf numFmtId="0" fontId="47" fillId="0" borderId="28" xfId="0" applyFont="1" applyFill="1" applyBorder="1" applyAlignment="1">
      <alignment horizontal="center" vertical="center"/>
    </xf>
    <xf numFmtId="38" fontId="40" fillId="0" borderId="3" xfId="3" applyNumberFormat="1" applyFont="1" applyFill="1" applyBorder="1" applyAlignment="1">
      <alignment horizontal="center" vertical="center"/>
    </xf>
    <xf numFmtId="171" fontId="42" fillId="10" borderId="29" xfId="0" applyNumberFormat="1" applyFont="1" applyFill="1" applyBorder="1" applyAlignment="1">
      <alignment horizontal="center" vertical="center"/>
    </xf>
    <xf numFmtId="171" fontId="42" fillId="7" borderId="3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0" fontId="38" fillId="0" borderId="45" xfId="0" applyFont="1" applyFill="1" applyBorder="1" applyAlignment="1">
      <alignment horizontal="center" vertical="center"/>
    </xf>
    <xf numFmtId="38" fontId="40" fillId="0" borderId="4" xfId="3" applyNumberFormat="1" applyFont="1" applyFill="1" applyBorder="1" applyAlignment="1">
      <alignment horizontal="center" vertical="center"/>
    </xf>
    <xf numFmtId="171" fontId="42" fillId="10" borderId="34" xfId="0" applyNumberFormat="1" applyFont="1" applyFill="1" applyBorder="1" applyAlignment="1">
      <alignment horizontal="center" vertical="center"/>
    </xf>
    <xf numFmtId="171" fontId="42" fillId="7" borderId="4" xfId="0" applyNumberFormat="1" applyFont="1" applyFill="1" applyBorder="1" applyAlignment="1">
      <alignment horizontal="center" vertical="center"/>
    </xf>
    <xf numFmtId="0" fontId="38" fillId="0" borderId="49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38" fontId="40" fillId="0" borderId="9" xfId="3" applyNumberFormat="1" applyFont="1" applyFill="1" applyBorder="1" applyAlignment="1">
      <alignment horizontal="center" vertical="center"/>
    </xf>
    <xf numFmtId="171" fontId="42" fillId="10" borderId="42" xfId="0" applyNumberFormat="1" applyFont="1" applyFill="1" applyBorder="1" applyAlignment="1">
      <alignment horizontal="center" vertical="center"/>
    </xf>
    <xf numFmtId="171" fontId="42" fillId="7" borderId="9" xfId="0" applyNumberFormat="1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38" fillId="0" borderId="43" xfId="0" applyFont="1" applyFill="1" applyBorder="1" applyAlignment="1">
      <alignment horizontal="center" vertical="center"/>
    </xf>
    <xf numFmtId="0" fontId="37" fillId="0" borderId="48" xfId="0" applyFont="1" applyFill="1" applyBorder="1" applyAlignment="1">
      <alignment horizontal="center" vertical="center" wrapText="1"/>
    </xf>
    <xf numFmtId="0" fontId="37" fillId="0" borderId="51" xfId="0" applyFont="1" applyFill="1" applyBorder="1" applyAlignment="1">
      <alignment horizontal="center" vertical="center" wrapText="1"/>
    </xf>
    <xf numFmtId="38" fontId="46" fillId="11" borderId="51" xfId="3" applyNumberFormat="1" applyFont="1" applyFill="1" applyBorder="1" applyAlignment="1">
      <alignment horizontal="center" vertical="center"/>
    </xf>
    <xf numFmtId="38" fontId="46" fillId="11" borderId="52" xfId="3" applyNumberFormat="1" applyFont="1" applyFill="1" applyBorder="1" applyAlignment="1">
      <alignment horizontal="center" vertical="center"/>
    </xf>
    <xf numFmtId="0" fontId="39" fillId="0" borderId="48" xfId="0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38" fontId="25" fillId="0" borderId="2" xfId="0" applyNumberFormat="1" applyFont="1" applyFill="1" applyBorder="1" applyAlignment="1">
      <alignment horizontal="center" vertical="center" wrapText="1"/>
    </xf>
    <xf numFmtId="38" fontId="25" fillId="0" borderId="12" xfId="0" applyNumberFormat="1" applyFont="1" applyFill="1" applyBorder="1" applyAlignment="1">
      <alignment horizontal="center" vertical="center" wrapText="1"/>
    </xf>
    <xf numFmtId="38" fontId="44" fillId="0" borderId="53" xfId="0" applyNumberFormat="1" applyFont="1" applyFill="1" applyBorder="1" applyAlignment="1">
      <alignment horizontal="center" vertical="center"/>
    </xf>
    <xf numFmtId="10" fontId="44" fillId="0" borderId="54" xfId="0" applyNumberFormat="1" applyFont="1" applyFill="1" applyBorder="1" applyAlignment="1">
      <alignment horizontal="center" vertical="center"/>
    </xf>
    <xf numFmtId="0" fontId="37" fillId="0" borderId="49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38" fontId="46" fillId="11" borderId="0" xfId="3" applyNumberFormat="1" applyFont="1" applyFill="1" applyBorder="1" applyAlignment="1">
      <alignment horizontal="center" vertical="center"/>
    </xf>
    <xf numFmtId="38" fontId="46" fillId="11" borderId="55" xfId="3" applyNumberFormat="1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 wrapText="1"/>
    </xf>
    <xf numFmtId="0" fontId="38" fillId="0" borderId="56" xfId="0" applyFont="1" applyFill="1" applyBorder="1" applyAlignment="1">
      <alignment horizontal="center" vertical="center"/>
    </xf>
    <xf numFmtId="38" fontId="45" fillId="0" borderId="57" xfId="0" applyNumberFormat="1" applyFont="1" applyFill="1" applyBorder="1" applyAlignment="1">
      <alignment horizontal="center" vertical="center" wrapText="1"/>
    </xf>
    <xf numFmtId="38" fontId="45" fillId="0" borderId="58" xfId="0" applyNumberFormat="1" applyFont="1" applyFill="1" applyBorder="1" applyAlignment="1">
      <alignment horizontal="center" vertical="center" wrapText="1"/>
    </xf>
    <xf numFmtId="38" fontId="46" fillId="0" borderId="57" xfId="0" applyNumberFormat="1" applyFont="1" applyFill="1" applyBorder="1" applyAlignment="1">
      <alignment horizontal="center" vertical="center"/>
    </xf>
    <xf numFmtId="10" fontId="44" fillId="0" borderId="59" xfId="0" applyNumberFormat="1" applyFont="1" applyFill="1" applyBorder="1" applyAlignment="1">
      <alignment horizontal="center" vertical="center"/>
    </xf>
    <xf numFmtId="0" fontId="37" fillId="0" borderId="60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38" fontId="46" fillId="11" borderId="15" xfId="3" applyNumberFormat="1" applyFont="1" applyFill="1" applyBorder="1" applyAlignment="1">
      <alignment horizontal="center" vertical="center"/>
    </xf>
    <xf numFmtId="38" fontId="46" fillId="11" borderId="61" xfId="3" applyNumberFormat="1" applyFont="1" applyFill="1" applyBorder="1" applyAlignment="1">
      <alignment horizontal="center" vertical="center"/>
    </xf>
    <xf numFmtId="0" fontId="37" fillId="0" borderId="61" xfId="0" applyFont="1" applyFill="1" applyBorder="1" applyAlignment="1">
      <alignment horizontal="center" vertical="center" wrapText="1"/>
    </xf>
    <xf numFmtId="0" fontId="47" fillId="0" borderId="62" xfId="0" applyFont="1" applyFill="1" applyBorder="1" applyAlignment="1">
      <alignment horizontal="center" vertical="center"/>
    </xf>
    <xf numFmtId="38" fontId="51" fillId="0" borderId="63" xfId="0" applyNumberFormat="1" applyFont="1" applyFill="1" applyBorder="1" applyAlignment="1">
      <alignment horizontal="center" vertical="center"/>
    </xf>
    <xf numFmtId="38" fontId="51" fillId="0" borderId="63" xfId="0" applyNumberFormat="1" applyFont="1" applyFill="1" applyBorder="1" applyAlignment="1">
      <alignment horizontal="center" vertical="center"/>
    </xf>
    <xf numFmtId="38" fontId="51" fillId="0" borderId="64" xfId="0" applyNumberFormat="1" applyFont="1" applyFill="1" applyBorder="1" applyAlignment="1">
      <alignment horizontal="center" vertical="center"/>
    </xf>
    <xf numFmtId="38" fontId="46" fillId="0" borderId="64" xfId="3" applyNumberFormat="1" applyFont="1" applyFill="1" applyBorder="1" applyAlignment="1">
      <alignment horizontal="center" vertical="center"/>
    </xf>
    <xf numFmtId="38" fontId="38" fillId="0" borderId="65" xfId="3" applyNumberFormat="1" applyFont="1" applyFill="1" applyBorder="1" applyAlignment="1">
      <alignment horizontal="center" vertical="center"/>
    </xf>
    <xf numFmtId="38" fontId="46" fillId="0" borderId="47" xfId="3" applyNumberFormat="1" applyFont="1" applyFill="1" applyBorder="1" applyAlignment="1">
      <alignment horizontal="center" vertical="center"/>
    </xf>
    <xf numFmtId="10" fontId="46" fillId="0" borderId="40" xfId="0" applyNumberFormat="1" applyFont="1" applyFill="1" applyBorder="1" applyAlignment="1">
      <alignment horizontal="center" vertical="center" shrinkToFit="1"/>
    </xf>
    <xf numFmtId="38" fontId="45" fillId="0" borderId="37" xfId="0" applyNumberFormat="1" applyFont="1" applyFill="1" applyBorder="1" applyAlignment="1">
      <alignment horizontal="center" vertical="center" wrapText="1"/>
    </xf>
    <xf numFmtId="38" fontId="45" fillId="0" borderId="43" xfId="0" applyNumberFormat="1" applyFont="1" applyFill="1" applyBorder="1" applyAlignment="1">
      <alignment horizontal="center" vertical="center" wrapText="1"/>
    </xf>
    <xf numFmtId="38" fontId="45" fillId="0" borderId="2" xfId="0" applyNumberFormat="1" applyFont="1" applyFill="1" applyBorder="1" applyAlignment="1">
      <alignment horizontal="center" vertical="center" wrapText="1"/>
    </xf>
    <xf numFmtId="49" fontId="25" fillId="0" borderId="37" xfId="0" applyNumberFormat="1" applyFont="1" applyFill="1" applyBorder="1" applyAlignment="1">
      <alignment horizontal="center" vertical="center" wrapText="1"/>
    </xf>
    <xf numFmtId="38" fontId="25" fillId="0" borderId="9" xfId="0" applyNumberFormat="1" applyFont="1" applyFill="1" applyBorder="1" applyAlignment="1">
      <alignment horizontal="center" vertical="center" wrapText="1"/>
    </xf>
    <xf numFmtId="38" fontId="52" fillId="0" borderId="36" xfId="0" applyNumberFormat="1" applyFont="1" applyFill="1" applyBorder="1" applyAlignment="1">
      <alignment horizontal="center" vertical="center"/>
    </xf>
    <xf numFmtId="38" fontId="25" fillId="0" borderId="2" xfId="0" applyNumberFormat="1" applyFont="1" applyFill="1" applyBorder="1" applyAlignment="1">
      <alignment horizontal="center" vertical="center" wrapText="1" shrinkToFit="1"/>
    </xf>
    <xf numFmtId="0" fontId="25" fillId="0" borderId="9" xfId="0" applyFont="1" applyFill="1" applyBorder="1" applyAlignment="1">
      <alignment horizontal="center" vertical="center" wrapText="1"/>
    </xf>
    <xf numFmtId="38" fontId="45" fillId="0" borderId="24" xfId="0" applyNumberFormat="1" applyFont="1" applyFill="1" applyBorder="1" applyAlignment="1">
      <alignment horizontal="center" vertical="center" wrapText="1"/>
    </xf>
    <xf numFmtId="38" fontId="34" fillId="0" borderId="36" xfId="0" applyNumberFormat="1" applyFont="1" applyFill="1" applyBorder="1" applyAlignment="1">
      <alignment horizontal="center" vertical="center" wrapText="1"/>
    </xf>
    <xf numFmtId="38" fontId="53" fillId="0" borderId="36" xfId="0" applyNumberFormat="1" applyFont="1" applyFill="1" applyBorder="1" applyAlignment="1">
      <alignment horizontal="center" vertical="center" wrapText="1"/>
    </xf>
    <xf numFmtId="38" fontId="53" fillId="0" borderId="24" xfId="0" applyNumberFormat="1" applyFont="1" applyFill="1" applyBorder="1" applyAlignment="1">
      <alignment horizontal="center" vertical="center" wrapText="1"/>
    </xf>
    <xf numFmtId="38" fontId="34" fillId="0" borderId="2" xfId="0" applyNumberFormat="1" applyFont="1" applyFill="1" applyBorder="1" applyAlignment="1">
      <alignment horizontal="center" vertical="center" wrapText="1"/>
    </xf>
    <xf numFmtId="38" fontId="34" fillId="0" borderId="12" xfId="0" applyNumberFormat="1" applyFont="1" applyFill="1" applyBorder="1" applyAlignment="1">
      <alignment horizontal="center" vertical="center" wrapText="1"/>
    </xf>
    <xf numFmtId="38" fontId="53" fillId="0" borderId="57" xfId="0" applyNumberFormat="1" applyFont="1" applyFill="1" applyBorder="1" applyAlignment="1">
      <alignment horizontal="center" vertical="center" wrapText="1"/>
    </xf>
    <xf numFmtId="38" fontId="53" fillId="0" borderId="58" xfId="0" applyNumberFormat="1" applyFont="1" applyFill="1" applyBorder="1" applyAlignment="1">
      <alignment horizontal="center" vertical="center" wrapText="1"/>
    </xf>
    <xf numFmtId="38" fontId="52" fillId="0" borderId="57" xfId="0" applyNumberFormat="1" applyFont="1" applyFill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38" fontId="25" fillId="0" borderId="37" xfId="0" applyNumberFormat="1" applyFont="1" applyFill="1" applyBorder="1" applyAlignment="1">
      <alignment horizontal="center" vertical="center"/>
    </xf>
    <xf numFmtId="38" fontId="45" fillId="0" borderId="36" xfId="0" applyNumberFormat="1" applyFont="1" applyFill="1" applyBorder="1" applyAlignment="1">
      <alignment horizontal="center" vertical="center"/>
    </xf>
    <xf numFmtId="38" fontId="45" fillId="0" borderId="37" xfId="0" applyNumberFormat="1" applyFont="1" applyFill="1" applyBorder="1" applyAlignment="1">
      <alignment horizontal="center" vertical="center"/>
    </xf>
    <xf numFmtId="38" fontId="25" fillId="0" borderId="36" xfId="0" applyNumberFormat="1" applyFont="1" applyFill="1" applyBorder="1" applyAlignment="1">
      <alignment horizontal="center" vertical="center"/>
    </xf>
    <xf numFmtId="38" fontId="45" fillId="0" borderId="24" xfId="0" applyNumberFormat="1" applyFont="1" applyFill="1" applyBorder="1" applyAlignment="1">
      <alignment horizontal="center" vertical="center"/>
    </xf>
    <xf numFmtId="38" fontId="25" fillId="0" borderId="24" xfId="0" applyNumberFormat="1" applyFont="1" applyFill="1" applyBorder="1" applyAlignment="1">
      <alignment horizontal="center" vertical="center"/>
    </xf>
    <xf numFmtId="38" fontId="25" fillId="0" borderId="24" xfId="0" applyNumberFormat="1" applyFont="1" applyFill="1" applyBorder="1" applyAlignment="1">
      <alignment horizontal="center" vertical="center" wrapText="1"/>
    </xf>
    <xf numFmtId="38" fontId="45" fillId="0" borderId="9" xfId="0" applyNumberFormat="1" applyFont="1" applyFill="1" applyBorder="1" applyAlignment="1">
      <alignment horizontal="center" vertical="center"/>
    </xf>
    <xf numFmtId="38" fontId="45" fillId="0" borderId="9" xfId="0" applyNumberFormat="1" applyFont="1" applyFill="1" applyBorder="1" applyAlignment="1">
      <alignment horizontal="center" vertical="center"/>
    </xf>
    <xf numFmtId="174" fontId="49" fillId="0" borderId="2" xfId="0" applyNumberFormat="1" applyFont="1" applyFill="1" applyBorder="1" applyAlignment="1">
      <alignment vertical="center" wrapText="1"/>
    </xf>
    <xf numFmtId="174" fontId="54" fillId="0" borderId="2" xfId="0" applyNumberFormat="1" applyFont="1" applyFill="1" applyBorder="1" applyAlignment="1">
      <alignment horizontal="center" vertical="center" wrapText="1"/>
    </xf>
    <xf numFmtId="38" fontId="55" fillId="0" borderId="36" xfId="0" applyNumberFormat="1" applyFont="1" applyFill="1" applyBorder="1" applyAlignment="1">
      <alignment horizontal="center" vertical="center" wrapText="1"/>
    </xf>
    <xf numFmtId="38" fontId="25" fillId="0" borderId="2" xfId="0" applyNumberFormat="1" applyFont="1" applyFill="1" applyBorder="1" applyAlignment="1">
      <alignment horizontal="center" vertical="center"/>
    </xf>
    <xf numFmtId="38" fontId="45" fillId="0" borderId="57" xfId="0" applyNumberFormat="1" applyFont="1" applyFill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center" vertical="center" wrapText="1" shrinkToFit="1"/>
    </xf>
    <xf numFmtId="0" fontId="25" fillId="0" borderId="66" xfId="0" applyFont="1" applyFill="1" applyBorder="1" applyAlignment="1">
      <alignment horizontal="center" vertical="center" wrapText="1"/>
    </xf>
    <xf numFmtId="0" fontId="25" fillId="0" borderId="67" xfId="0" applyFont="1" applyFill="1" applyBorder="1" applyAlignment="1">
      <alignment horizontal="center" vertical="center" wrapText="1"/>
    </xf>
    <xf numFmtId="0" fontId="25" fillId="0" borderId="6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58" fontId="38" fillId="0" borderId="34" xfId="0" applyNumberFormat="1" applyFont="1" applyFill="1" applyBorder="1" applyAlignment="1">
      <alignment horizontal="center" vertical="center" wrapText="1"/>
    </xf>
    <xf numFmtId="58" fontId="38" fillId="0" borderId="42" xfId="0" applyNumberFormat="1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38" fontId="34" fillId="0" borderId="37" xfId="0" applyNumberFormat="1" applyFont="1" applyFill="1" applyBorder="1" applyAlignment="1">
      <alignment horizontal="center" vertical="center" wrapText="1"/>
    </xf>
    <xf numFmtId="38" fontId="53" fillId="0" borderId="37" xfId="0" applyNumberFormat="1" applyFont="1" applyFill="1" applyBorder="1" applyAlignment="1">
      <alignment horizontal="center" vertical="center" wrapText="1"/>
    </xf>
    <xf numFmtId="38" fontId="34" fillId="0" borderId="24" xfId="0" applyNumberFormat="1" applyFont="1" applyFill="1" applyBorder="1" applyAlignment="1">
      <alignment horizontal="center" vertical="center" wrapText="1"/>
    </xf>
    <xf numFmtId="38" fontId="53" fillId="0" borderId="9" xfId="0" applyNumberFormat="1" applyFont="1" applyFill="1" applyBorder="1" applyAlignment="1">
      <alignment horizontal="center" vertical="center" wrapText="1"/>
    </xf>
    <xf numFmtId="38" fontId="53" fillId="0" borderId="9" xfId="0" applyNumberFormat="1" applyFont="1" applyFill="1" applyBorder="1" applyAlignment="1">
      <alignment horizontal="center" vertical="center" wrapText="1"/>
    </xf>
    <xf numFmtId="38" fontId="53" fillId="0" borderId="43" xfId="0" applyNumberFormat="1" applyFont="1" applyFill="1" applyBorder="1" applyAlignment="1">
      <alignment horizontal="center" vertical="center" wrapText="1"/>
    </xf>
    <xf numFmtId="38" fontId="56" fillId="6" borderId="3" xfId="3" applyNumberFormat="1" applyFont="1" applyFill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 wrapText="1"/>
    </xf>
    <xf numFmtId="38" fontId="56" fillId="6" borderId="4" xfId="3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38" fontId="56" fillId="6" borderId="9" xfId="3" applyNumberFormat="1" applyFont="1" applyFill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 wrapText="1" shrinkToFit="1"/>
    </xf>
    <xf numFmtId="0" fontId="34" fillId="0" borderId="2" xfId="0" applyFont="1" applyFill="1" applyBorder="1" applyAlignment="1">
      <alignment horizontal="center" vertical="center" wrapText="1" shrinkToFit="1"/>
    </xf>
    <xf numFmtId="174" fontId="57" fillId="0" borderId="2" xfId="0" applyNumberFormat="1" applyFont="1" applyFill="1" applyBorder="1" applyAlignment="1">
      <alignment horizontal="center" vertical="center" wrapText="1"/>
    </xf>
    <xf numFmtId="38" fontId="34" fillId="0" borderId="9" xfId="0" applyNumberFormat="1" applyFont="1" applyFill="1" applyBorder="1" applyAlignment="1">
      <alignment horizontal="center" vertical="center" wrapText="1"/>
    </xf>
    <xf numFmtId="38" fontId="34" fillId="0" borderId="9" xfId="0" applyNumberFormat="1" applyFont="1" applyFill="1" applyBorder="1" applyAlignment="1">
      <alignment horizontal="center" vertical="center" wrapText="1"/>
    </xf>
    <xf numFmtId="38" fontId="34" fillId="0" borderId="43" xfId="0" applyNumberFormat="1" applyFont="1" applyFill="1" applyBorder="1" applyAlignment="1">
      <alignment horizontal="center" vertical="center" wrapText="1"/>
    </xf>
    <xf numFmtId="174" fontId="34" fillId="0" borderId="0" xfId="0" applyNumberFormat="1" applyFont="1" applyFill="1" applyAlignment="1">
      <alignment horizontal="center" vertical="center" wrapText="1"/>
    </xf>
    <xf numFmtId="174" fontId="57" fillId="0" borderId="37" xfId="0" applyNumberFormat="1" applyFont="1" applyFill="1" applyBorder="1" applyAlignment="1">
      <alignment vertical="center" wrapText="1"/>
    </xf>
    <xf numFmtId="174" fontId="34" fillId="0" borderId="66" xfId="0" applyNumberFormat="1" applyFont="1" applyFill="1" applyBorder="1" applyAlignment="1">
      <alignment horizontal="center" vertical="center" wrapText="1"/>
    </xf>
    <xf numFmtId="0" fontId="34" fillId="0" borderId="47" xfId="0" applyFont="1" applyFill="1" applyBorder="1" applyAlignment="1">
      <alignment horizontal="center" vertical="center" wrapText="1"/>
    </xf>
    <xf numFmtId="3" fontId="34" fillId="0" borderId="36" xfId="0" applyNumberFormat="1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38" fontId="34" fillId="0" borderId="57" xfId="0" applyNumberFormat="1" applyFont="1" applyFill="1" applyBorder="1" applyAlignment="1">
      <alignment horizontal="center" vertical="center" wrapText="1"/>
    </xf>
    <xf numFmtId="38" fontId="34" fillId="0" borderId="63" xfId="0" applyNumberFormat="1" applyFont="1" applyFill="1" applyBorder="1" applyAlignment="1">
      <alignment horizontal="center" vertical="center" wrapText="1"/>
    </xf>
    <xf numFmtId="38" fontId="34" fillId="0" borderId="63" xfId="0" applyNumberFormat="1" applyFont="1" applyFill="1" applyBorder="1" applyAlignment="1">
      <alignment horizontal="center" vertical="center" wrapText="1"/>
    </xf>
    <xf numFmtId="38" fontId="34" fillId="0" borderId="58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 wrapText="1"/>
    </xf>
    <xf numFmtId="0" fontId="34" fillId="0" borderId="13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4" fillId="0" borderId="69" xfId="0" applyFont="1" applyFill="1" applyBorder="1" applyAlignment="1">
      <alignment horizontal="center" vertical="center" wrapText="1"/>
    </xf>
    <xf numFmtId="38" fontId="25" fillId="0" borderId="9" xfId="0" applyNumberFormat="1" applyFont="1" applyFill="1" applyBorder="1" applyAlignment="1">
      <alignment horizontal="center" vertical="center" wrapText="1"/>
    </xf>
    <xf numFmtId="38" fontId="25" fillId="0" borderId="43" xfId="0" applyNumberFormat="1" applyFont="1" applyFill="1" applyBorder="1" applyAlignment="1">
      <alignment horizontal="center" vertical="center" wrapText="1"/>
    </xf>
    <xf numFmtId="38" fontId="25" fillId="0" borderId="70" xfId="0" applyNumberFormat="1" applyFont="1" applyFill="1" applyBorder="1" applyAlignment="1">
      <alignment horizontal="center" vertical="center" wrapText="1"/>
    </xf>
    <xf numFmtId="38" fontId="25" fillId="0" borderId="71" xfId="0" applyNumberFormat="1" applyFont="1" applyFill="1" applyBorder="1" applyAlignment="1">
      <alignment horizontal="center" vertical="center" wrapText="1"/>
    </xf>
    <xf numFmtId="38" fontId="25" fillId="0" borderId="57" xfId="0" applyNumberFormat="1" applyFont="1" applyFill="1" applyBorder="1" applyAlignment="1">
      <alignment horizontal="center" vertical="center" wrapText="1"/>
    </xf>
    <xf numFmtId="38" fontId="25" fillId="0" borderId="58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38" fontId="25" fillId="0" borderId="9" xfId="0" applyNumberFormat="1" applyFont="1" applyFill="1" applyBorder="1" applyAlignment="1">
      <alignment horizontal="center" vertical="center"/>
    </xf>
    <xf numFmtId="38" fontId="25" fillId="0" borderId="9" xfId="0" applyNumberFormat="1" applyFont="1" applyFill="1" applyBorder="1" applyAlignment="1">
      <alignment horizontal="center" vertical="center"/>
    </xf>
    <xf numFmtId="38" fontId="25" fillId="0" borderId="43" xfId="0" applyNumberFormat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38" fontId="25" fillId="0" borderId="12" xfId="0" applyNumberFormat="1" applyFont="1" applyFill="1" applyBorder="1" applyAlignment="1">
      <alignment horizontal="center" vertical="center"/>
    </xf>
    <xf numFmtId="38" fontId="25" fillId="0" borderId="57" xfId="0" applyNumberFormat="1" applyFont="1" applyFill="1" applyBorder="1" applyAlignment="1">
      <alignment horizontal="center" vertical="center"/>
    </xf>
    <xf numFmtId="38" fontId="25" fillId="0" borderId="58" xfId="0" applyNumberFormat="1" applyFont="1" applyFill="1" applyBorder="1" applyAlignment="1">
      <alignment horizontal="center" vertical="center"/>
    </xf>
    <xf numFmtId="38" fontId="25" fillId="0" borderId="63" xfId="0" applyNumberFormat="1" applyFont="1" applyFill="1" applyBorder="1" applyAlignment="1">
      <alignment horizontal="center" vertical="center" wrapText="1"/>
    </xf>
    <xf numFmtId="38" fontId="25" fillId="0" borderId="63" xfId="0" applyNumberFormat="1" applyFont="1" applyFill="1" applyBorder="1" applyAlignment="1">
      <alignment horizontal="center" vertical="center" wrapText="1"/>
    </xf>
    <xf numFmtId="38" fontId="25" fillId="0" borderId="64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38" fontId="38" fillId="0" borderId="36" xfId="0" applyNumberFormat="1" applyFont="1" applyFill="1" applyBorder="1" applyAlignment="1">
      <alignment horizontal="center" vertical="center"/>
    </xf>
    <xf numFmtId="38" fontId="52" fillId="0" borderId="24" xfId="0" applyNumberFormat="1" applyFont="1" applyFill="1" applyBorder="1" applyAlignment="1">
      <alignment horizontal="center" vertical="center"/>
    </xf>
    <xf numFmtId="38" fontId="38" fillId="0" borderId="24" xfId="0" applyNumberFormat="1" applyFont="1" applyFill="1" applyBorder="1" applyAlignment="1">
      <alignment horizontal="center" vertical="center"/>
    </xf>
    <xf numFmtId="38" fontId="51" fillId="0" borderId="9" xfId="0" applyNumberFormat="1" applyFont="1" applyFill="1" applyBorder="1" applyAlignment="1">
      <alignment horizontal="center" vertical="center"/>
    </xf>
    <xf numFmtId="38" fontId="51" fillId="0" borderId="9" xfId="0" applyNumberFormat="1" applyFont="1" applyFill="1" applyBorder="1" applyAlignment="1">
      <alignment horizontal="center" vertical="center"/>
    </xf>
    <xf numFmtId="38" fontId="51" fillId="0" borderId="43" xfId="0" applyNumberFormat="1" applyFont="1" applyFill="1" applyBorder="1" applyAlignment="1">
      <alignment horizontal="center" vertical="center"/>
    </xf>
    <xf numFmtId="38" fontId="38" fillId="0" borderId="37" xfId="0" applyNumberFormat="1" applyFont="1" applyFill="1" applyBorder="1" applyAlignment="1">
      <alignment horizontal="center" vertical="center"/>
    </xf>
    <xf numFmtId="38" fontId="38" fillId="0" borderId="2" xfId="0" applyNumberFormat="1" applyFont="1" applyFill="1" applyBorder="1" applyAlignment="1">
      <alignment horizontal="center" vertical="center"/>
    </xf>
    <xf numFmtId="38" fontId="38" fillId="0" borderId="12" xfId="0" applyNumberFormat="1" applyFont="1" applyFill="1" applyBorder="1" applyAlignment="1">
      <alignment horizontal="center" vertical="center"/>
    </xf>
    <xf numFmtId="38" fontId="52" fillId="0" borderId="58" xfId="0" applyNumberFormat="1" applyFont="1" applyFill="1" applyBorder="1" applyAlignment="1">
      <alignment horizontal="center" vertical="center"/>
    </xf>
  </cellXfs>
  <cellStyles count="4">
    <cellStyle name="常规" xfId="0" builtinId="0"/>
    <cellStyle name="Normal 2" xfId="1"/>
    <cellStyle name="Normal 2 2" xfId="2"/>
    <cellStyle name="千位分隔" xfId="3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www.wps.cn/officeDocument/2020/cellImage" Target="cellimages.xml"/><Relationship Id="rId18" Type="http://schemas.openxmlformats.org/officeDocument/2006/relationships/sharedStrings" Target="sharedStrings.xml"/><Relationship Id="rId19" Type="http://schemas.openxmlformats.org/officeDocument/2006/relationships/styles" Target="styles.xml"/><Relationship Id="rId2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30"/>
  <sheetViews>
    <sheetView workbookViewId="0" zoomScale="90">
      <selection activeCell="H20" sqref="H20"/>
    </sheetView>
  </sheetViews>
  <sheetFormatPr defaultRowHeight="14.5" defaultColWidth="9"/>
  <cols>
    <col min="2" max="2" customWidth="1" width="14.371094" style="0"/>
    <col min="4" max="4" customWidth="1" width="16.625" style="0"/>
    <col min="5" max="5" customWidth="1" width="34.625" style="0"/>
    <col min="6" max="9" customWidth="1" width="11.0" style="0"/>
    <col min="10" max="10" customWidth="1" width="15.5078125" style="0"/>
  </cols>
  <sheetData>
    <row r="1" spans="8:8" ht="33.0">
      <c r="A1" s="1" t="s">
        <v>0</v>
      </c>
      <c r="B1" s="1"/>
      <c r="C1" s="1"/>
      <c r="D1" s="1"/>
      <c r="E1" s="2"/>
      <c r="F1" s="1"/>
      <c r="G1" s="1"/>
      <c r="H1" s="1"/>
      <c r="I1" s="1"/>
      <c r="J1" s="1"/>
    </row>
    <row r="2" spans="8:8" ht="28.0">
      <c r="A2" s="3" t="s">
        <v>1</v>
      </c>
      <c r="B2" s="3"/>
      <c r="C2" s="3"/>
      <c r="D2" s="4"/>
      <c r="E2" s="5"/>
      <c r="F2" s="6"/>
      <c r="G2" s="6"/>
      <c r="H2" s="7"/>
      <c r="I2" s="8" t="s">
        <v>2</v>
      </c>
      <c r="J2" s="9">
        <v>44175.0</v>
      </c>
    </row>
    <row r="3" spans="8:8" ht="52.5">
      <c r="A3" s="10" t="s">
        <v>3</v>
      </c>
      <c r="B3" s="11" t="s">
        <v>4</v>
      </c>
      <c r="C3" s="11" t="s">
        <v>5</v>
      </c>
      <c r="D3" s="11" t="s">
        <v>6</v>
      </c>
      <c r="E3" s="12" t="s">
        <v>7</v>
      </c>
      <c r="F3" s="13" t="s">
        <v>8</v>
      </c>
      <c r="G3" s="11" t="s">
        <v>9</v>
      </c>
      <c r="H3" s="11" t="s">
        <v>10</v>
      </c>
      <c r="I3" s="11" t="s">
        <v>11</v>
      </c>
      <c r="J3" s="11" t="s">
        <v>12</v>
      </c>
    </row>
    <row r="4" spans="8:8" ht="17.5">
      <c r="A4" s="14" t="s">
        <v>13</v>
      </c>
      <c r="B4" s="15" t="s">
        <v>14</v>
      </c>
      <c r="C4" s="15" t="s">
        <v>15</v>
      </c>
      <c r="D4" s="15" t="s">
        <v>16</v>
      </c>
      <c r="E4" s="16" t="s">
        <v>17</v>
      </c>
      <c r="F4" s="17">
        <f>'515637-07-12'!F5</f>
        <v>0.0</v>
      </c>
      <c r="G4" s="17">
        <f>'515637-07-12'!AS6</f>
        <v>0.0</v>
      </c>
      <c r="H4" s="17">
        <f>'515637-07-12'!AS14+'515637-07-12'!AS15</f>
        <v>0.0</v>
      </c>
      <c r="I4" s="17">
        <f>'515637-07-12'!D5</f>
        <v>0.0</v>
      </c>
      <c r="J4" s="11"/>
    </row>
    <row r="5" spans="8:8" ht="15.5">
      <c r="A5" s="18"/>
      <c r="B5" s="19"/>
      <c r="C5" s="19"/>
      <c r="D5" s="19"/>
      <c r="E5" s="20" t="s">
        <v>18</v>
      </c>
      <c r="F5" s="17">
        <f>'515637-07-12'!F11</f>
        <v>0.0</v>
      </c>
      <c r="G5" s="17">
        <f t="shared" si="0" ref="G5:G12">H4</f>
        <v>0.0</v>
      </c>
      <c r="H5" s="17">
        <f>'515637-07-12'!AS20+'515637-07-12'!AS21</f>
        <v>206827.0</v>
      </c>
      <c r="I5" s="17">
        <f>'515637-07-12'!D11</f>
        <v>-206827.0</v>
      </c>
      <c r="J5" s="21"/>
    </row>
    <row r="6" spans="8:8" ht="15.5">
      <c r="A6" s="18"/>
      <c r="B6" s="19"/>
      <c r="C6" s="19"/>
      <c r="D6" s="19"/>
      <c r="E6" s="20" t="s">
        <v>19</v>
      </c>
      <c r="F6" s="17">
        <f>'515637-07-12'!F17</f>
        <v>61264.0</v>
      </c>
      <c r="G6" s="17">
        <f t="shared" si="0"/>
        <v>206827.0</v>
      </c>
      <c r="H6" s="17">
        <f>'515637-07-12'!AS26+'515637-07-12'!AS27</f>
        <v>268054.0</v>
      </c>
      <c r="I6" s="17">
        <f>'515637-07-12'!D17</f>
        <v>0.0</v>
      </c>
      <c r="J6" s="21"/>
    </row>
    <row r="7" spans="8:8" ht="15.5">
      <c r="A7" s="18"/>
      <c r="B7" s="19"/>
      <c r="C7" s="19"/>
      <c r="D7" s="19"/>
      <c r="E7" s="20" t="s">
        <v>20</v>
      </c>
      <c r="F7" s="17">
        <f>'515637-07-12'!F23</f>
        <v>12768.0</v>
      </c>
      <c r="G7" s="17">
        <f t="shared" si="0"/>
        <v>268054.0</v>
      </c>
      <c r="H7" s="17">
        <f>'515637-07-12'!AS32+'515637-07-12'!AS33</f>
        <v>280216.0</v>
      </c>
      <c r="I7" s="17">
        <f>'515637-07-12'!D23</f>
        <v>0.0</v>
      </c>
      <c r="J7" s="21"/>
    </row>
    <row r="8" spans="8:8" ht="15.5">
      <c r="A8" s="18"/>
      <c r="B8" s="19"/>
      <c r="C8" s="19"/>
      <c r="D8" s="19"/>
      <c r="E8" s="20" t="s">
        <v>21</v>
      </c>
      <c r="F8" s="17">
        <f>'515637-07-12'!F29</f>
        <v>0.0</v>
      </c>
      <c r="G8" s="17">
        <f t="shared" si="0"/>
        <v>280216.0</v>
      </c>
      <c r="H8" s="17">
        <f>'515637-07-12'!AS38+'515637-07-12'!AS39</f>
        <v>271061.0</v>
      </c>
      <c r="I8" s="17">
        <f>'515637-07-12'!D29</f>
        <v>0.0</v>
      </c>
      <c r="J8" s="21"/>
    </row>
    <row r="9" spans="8:8" ht="15.5">
      <c r="A9" s="18"/>
      <c r="B9" s="19"/>
      <c r="C9" s="19"/>
      <c r="D9" s="19"/>
      <c r="E9" s="20" t="s">
        <v>22</v>
      </c>
      <c r="F9" s="17">
        <f>'515637-07-12'!F35</f>
        <v>11321.0</v>
      </c>
      <c r="G9" s="17">
        <f t="shared" si="0"/>
        <v>271061.0</v>
      </c>
      <c r="H9" s="17">
        <f>'515637-07-12'!AS44+'515637-07-12'!AS45</f>
        <v>279719.0</v>
      </c>
      <c r="I9" s="17">
        <f>'515637-07-12'!D35</f>
        <v>0.0</v>
      </c>
      <c r="J9" s="21"/>
    </row>
    <row r="10" spans="8:8" ht="15.5">
      <c r="A10" s="18"/>
      <c r="B10" s="19"/>
      <c r="C10" s="19"/>
      <c r="D10" s="19"/>
      <c r="E10" s="20" t="s">
        <v>23</v>
      </c>
      <c r="F10" s="17">
        <f>'515637-07-12'!F41</f>
        <v>65531.0</v>
      </c>
      <c r="G10" s="17">
        <f t="shared" si="0"/>
        <v>279719.0</v>
      </c>
      <c r="H10" s="17">
        <f>'515637-07-12'!AS50+'515637-07-12'!AS51</f>
        <v>267465.0</v>
      </c>
      <c r="I10" s="17">
        <f>'515637-07-12'!D41</f>
        <v>77384.0</v>
      </c>
      <c r="J10" s="21"/>
    </row>
    <row r="11" spans="8:8" ht="15.5">
      <c r="A11" s="18"/>
      <c r="B11" s="19"/>
      <c r="C11" s="19"/>
      <c r="D11" s="19"/>
      <c r="E11" s="22" t="s">
        <v>24</v>
      </c>
      <c r="F11" s="17">
        <f>'515637-07-12'!F47</f>
        <v>0.0</v>
      </c>
      <c r="G11" s="17">
        <f t="shared" si="0"/>
        <v>267465.0</v>
      </c>
      <c r="H11" s="23">
        <f>'515637-07-12'!AS59</f>
        <v>267064.0</v>
      </c>
      <c r="I11" s="17">
        <f>'515637-07-12'!E53</f>
        <v>0.0</v>
      </c>
      <c r="J11" s="21"/>
    </row>
    <row r="12" spans="8:8" ht="15.25">
      <c r="A12" s="18"/>
      <c r="B12" s="19"/>
      <c r="C12" s="19"/>
      <c r="D12" s="19"/>
      <c r="E12" s="24" t="s">
        <v>25</v>
      </c>
      <c r="F12" s="17">
        <f>'515637-07-12'!F53</f>
        <v>0.0</v>
      </c>
      <c r="G12" s="17">
        <f t="shared" si="0"/>
        <v>267064.0</v>
      </c>
      <c r="H12" s="23">
        <f>'515637-07-12'!AS56</f>
        <v>267064.0</v>
      </c>
      <c r="I12" s="17">
        <f>'515637-07-12'!E53</f>
        <v>0.0</v>
      </c>
      <c r="J12" s="25"/>
    </row>
    <row r="13" spans="8:8" ht="16.25">
      <c r="A13" s="18"/>
      <c r="B13" s="26" t="s">
        <v>26</v>
      </c>
      <c r="C13" s="26" t="s">
        <v>15</v>
      </c>
      <c r="D13" s="26" t="s">
        <v>27</v>
      </c>
      <c r="E13" s="27" t="s">
        <v>28</v>
      </c>
      <c r="F13" s="28">
        <f>'515638-07-12'!F5</f>
        <v>0.0</v>
      </c>
      <c r="G13" s="29">
        <f>'515638-07-12'!AS6</f>
        <v>0.0</v>
      </c>
      <c r="H13" s="30">
        <f>'515638-07-12'!AS14+'515638-07-12'!AS15</f>
        <v>0.0</v>
      </c>
      <c r="I13" s="28">
        <f>'515638-07-12'!D5</f>
        <v>0.0</v>
      </c>
      <c r="J13" s="31"/>
    </row>
    <row r="14" spans="8:8" ht="15.5">
      <c r="A14" s="18"/>
      <c r="B14" s="19"/>
      <c r="C14" s="19"/>
      <c r="D14" s="19"/>
      <c r="E14" s="32" t="s">
        <v>18</v>
      </c>
      <c r="F14" s="33">
        <f>'515638-07-12'!F11</f>
        <v>0.0</v>
      </c>
      <c r="G14" s="34">
        <f t="shared" si="1" ref="G14:G21">H13</f>
        <v>0.0</v>
      </c>
      <c r="H14" s="35">
        <f>'515638-07-12'!AS20+'515638-07-12'!AS21</f>
        <v>1016999.0</v>
      </c>
      <c r="I14" s="33">
        <f>'515638-07-12'!D11</f>
        <v>-1016999.0</v>
      </c>
      <c r="J14" s="36"/>
    </row>
    <row r="15" spans="8:8" ht="15.5">
      <c r="A15" s="18"/>
      <c r="B15" s="19"/>
      <c r="C15" s="19"/>
      <c r="D15" s="19"/>
      <c r="E15" s="20" t="s">
        <v>19</v>
      </c>
      <c r="F15" s="17">
        <f>'515638-07-12'!F17</f>
        <v>39244.0</v>
      </c>
      <c r="G15" s="17">
        <f t="shared" si="1"/>
        <v>1016999.0</v>
      </c>
      <c r="H15" s="23">
        <f>'515638-07-12'!AS26+'515638-07-12'!AS27</f>
        <v>1016386.0</v>
      </c>
      <c r="I15" s="17">
        <f>'515638-07-12'!D17</f>
        <v>39653.0</v>
      </c>
      <c r="J15" s="21"/>
    </row>
    <row r="16" spans="8:8" ht="15.5">
      <c r="A16" s="18"/>
      <c r="B16" s="19"/>
      <c r="C16" s="19"/>
      <c r="D16" s="19"/>
      <c r="E16" s="20" t="s">
        <v>20</v>
      </c>
      <c r="F16" s="17">
        <f>'515638-07-12'!F23</f>
        <v>0.0</v>
      </c>
      <c r="G16" s="17">
        <f t="shared" si="1"/>
        <v>1016386.0</v>
      </c>
      <c r="H16" s="23">
        <f>'515638-07-12'!AS32+'515638-07-12'!AS33</f>
        <v>1003544.0</v>
      </c>
      <c r="I16" s="17">
        <f>'515638-07-12'!D23</f>
        <v>10538.0</v>
      </c>
      <c r="J16" s="21"/>
    </row>
    <row r="17" spans="8:8" ht="15.5">
      <c r="A17" s="18"/>
      <c r="B17" s="19"/>
      <c r="C17" s="19"/>
      <c r="D17" s="19"/>
      <c r="E17" s="20" t="s">
        <v>21</v>
      </c>
      <c r="F17" s="17">
        <f>'515638-07-12'!F29</f>
        <v>0.0</v>
      </c>
      <c r="G17" s="17">
        <f t="shared" si="1"/>
        <v>1003544.0</v>
      </c>
      <c r="H17" s="23">
        <f>'515638-07-12'!AS38+'515638-07-12'!AS39</f>
        <v>1003225.0</v>
      </c>
      <c r="I17" s="17">
        <f>'515638-07-12'!D29</f>
        <v>0.0</v>
      </c>
      <c r="J17" s="21"/>
    </row>
    <row r="18" spans="8:8" ht="15.5">
      <c r="A18" s="18"/>
      <c r="B18" s="19"/>
      <c r="C18" s="19"/>
      <c r="D18" s="19"/>
      <c r="E18" s="20" t="s">
        <v>22</v>
      </c>
      <c r="F18" s="17">
        <f>'515638-07-12'!F35</f>
        <v>20502.0</v>
      </c>
      <c r="G18" s="17">
        <f t="shared" si="1"/>
        <v>1003225.0</v>
      </c>
      <c r="H18" s="23">
        <f>'515638-07-12'!AS44+'515638-07-12'!AS45</f>
        <v>1015976.0</v>
      </c>
      <c r="I18" s="17">
        <f>'515638-07-12'!D35</f>
        <v>0.0</v>
      </c>
      <c r="J18" s="21"/>
    </row>
    <row r="19" spans="8:8" ht="15.5">
      <c r="A19" s="18"/>
      <c r="B19" s="19"/>
      <c r="C19" s="19"/>
      <c r="D19" s="19"/>
      <c r="E19" s="20" t="s">
        <v>23</v>
      </c>
      <c r="F19" s="17">
        <f>'515638-07-12'!F41</f>
        <v>120921.0</v>
      </c>
      <c r="G19" s="17">
        <f t="shared" si="1"/>
        <v>1015976.0</v>
      </c>
      <c r="H19" s="23">
        <f>'515638-07-12'!AS50+'515638-07-12'!AS51</f>
        <v>539608.0</v>
      </c>
      <c r="I19" s="17">
        <f>'515638-07-12'!D41</f>
        <v>597289.0</v>
      </c>
      <c r="J19" s="21"/>
    </row>
    <row r="20" spans="8:8" ht="15.5">
      <c r="A20" s="18"/>
      <c r="B20" s="19"/>
      <c r="C20" s="19"/>
      <c r="D20" s="19"/>
      <c r="E20" s="22" t="s">
        <v>29</v>
      </c>
      <c r="F20" s="17">
        <f>'515638-07-12'!F47</f>
        <v>0.0</v>
      </c>
      <c r="G20" s="17">
        <f t="shared" si="1"/>
        <v>539608.0</v>
      </c>
      <c r="H20" s="23">
        <f>'515638-07-12'!AS56+'515638-07-12'!AS57</f>
        <v>539608.0</v>
      </c>
      <c r="I20" s="17">
        <f>'515638-07-12'!D47</f>
        <v>0.0</v>
      </c>
      <c r="J20" s="21"/>
    </row>
    <row r="21" spans="8:8" ht="15.75">
      <c r="A21" s="18"/>
      <c r="B21" s="19"/>
      <c r="C21" s="19"/>
      <c r="D21" s="19"/>
      <c r="E21" s="37" t="s">
        <v>25</v>
      </c>
      <c r="F21" s="38">
        <f>'515638-07-12'!F53</f>
        <v>0.0</v>
      </c>
      <c r="G21" s="38">
        <f t="shared" si="1"/>
        <v>539608.0</v>
      </c>
      <c r="H21" s="39">
        <f>'515638-07-12'!AS59</f>
        <v>539608.0</v>
      </c>
      <c r="I21" s="38">
        <f>'515638-07-12'!E53</f>
        <v>0.0</v>
      </c>
      <c r="J21" s="40"/>
    </row>
    <row r="22" spans="8:8" ht="15.25">
      <c r="A22" s="18"/>
      <c r="B22" s="26" t="s">
        <v>30</v>
      </c>
      <c r="C22" s="26" t="s">
        <v>15</v>
      </c>
      <c r="D22" s="26" t="s">
        <v>31</v>
      </c>
      <c r="E22" s="41" t="s">
        <v>28</v>
      </c>
      <c r="F22" s="41">
        <f>'515639-07-12'!F5</f>
        <v>0.0</v>
      </c>
      <c r="G22" s="41">
        <f>'515639-07-12'!AS8</f>
        <v>0.0</v>
      </c>
      <c r="H22" s="41">
        <f>'515639-07-12'!AS14+'515639-07-12'!AS15</f>
        <v>0.0</v>
      </c>
      <c r="I22" s="41">
        <f>'515639-07-12'!D5</f>
        <v>0.0</v>
      </c>
      <c r="J22" s="41"/>
    </row>
    <row r="23" spans="8:8" ht="15.5">
      <c r="A23" s="18"/>
      <c r="B23" s="19"/>
      <c r="C23" s="19"/>
      <c r="D23" s="19"/>
      <c r="E23" s="32" t="s">
        <v>18</v>
      </c>
      <c r="F23" s="33">
        <f>'515639-07-12'!F11</f>
        <v>0.0</v>
      </c>
      <c r="G23" s="33">
        <f t="shared" si="2" ref="G23:G30">H22</f>
        <v>0.0</v>
      </c>
      <c r="H23" s="35">
        <f>'515639-07-12'!AS20+'515639-07-12'!AS21</f>
        <v>12878.0</v>
      </c>
      <c r="I23" s="33">
        <f>'515639-07-12'!D17</f>
        <v>0.0</v>
      </c>
      <c r="J23" s="36"/>
    </row>
    <row r="24" spans="8:8" ht="15.5">
      <c r="A24" s="18"/>
      <c r="B24" s="19"/>
      <c r="C24" s="19"/>
      <c r="D24" s="19"/>
      <c r="E24" s="20" t="s">
        <v>19</v>
      </c>
      <c r="F24" s="17">
        <f>'515639-07-12'!F17</f>
        <v>42193.0</v>
      </c>
      <c r="G24" s="17">
        <f t="shared" si="2"/>
        <v>12878.0</v>
      </c>
      <c r="H24" s="23">
        <f>'515639-07-12'!AS26+'515639-07-12'!AS27</f>
        <v>55071.0</v>
      </c>
      <c r="I24" s="17">
        <f>'515639-07-12'!D17</f>
        <v>0.0</v>
      </c>
      <c r="J24" s="21"/>
    </row>
    <row r="25" spans="8:8" ht="15.5">
      <c r="A25" s="18"/>
      <c r="B25" s="19"/>
      <c r="C25" s="19"/>
      <c r="D25" s="19"/>
      <c r="E25" s="20" t="s">
        <v>20</v>
      </c>
      <c r="F25" s="17">
        <f>'515639-07-12'!F23</f>
        <v>60123.0</v>
      </c>
      <c r="G25" s="17">
        <f t="shared" si="2"/>
        <v>55071.0</v>
      </c>
      <c r="H25" s="23">
        <f>'515639-07-12'!AS32+'515639-07-12'!AS33</f>
        <v>114822.0</v>
      </c>
      <c r="I25" s="17">
        <f>'515639-07-12'!D23</f>
        <v>0.0</v>
      </c>
      <c r="J25" s="21"/>
    </row>
    <row r="26" spans="8:8" ht="15.5">
      <c r="A26" s="18"/>
      <c r="B26" s="19"/>
      <c r="C26" s="19"/>
      <c r="D26" s="19"/>
      <c r="E26" s="20" t="s">
        <v>21</v>
      </c>
      <c r="F26" s="17">
        <f>'515639-07-12'!F29</f>
        <v>0.0</v>
      </c>
      <c r="G26" s="17">
        <f t="shared" si="2"/>
        <v>114822.0</v>
      </c>
      <c r="H26" s="23">
        <f>'515639-07-12'!AS38+'515639-07-12'!AS39</f>
        <v>114780.0</v>
      </c>
      <c r="I26" s="17">
        <f>'515639-07-12'!D29</f>
        <v>0.0</v>
      </c>
      <c r="J26" s="21"/>
    </row>
    <row r="27" spans="8:8" ht="15.5">
      <c r="A27" s="18"/>
      <c r="B27" s="19"/>
      <c r="C27" s="19"/>
      <c r="D27" s="19"/>
      <c r="E27" s="20" t="s">
        <v>22</v>
      </c>
      <c r="F27" s="17">
        <f>'515639-07-12'!F35</f>
        <v>0.0</v>
      </c>
      <c r="G27" s="17">
        <f t="shared" si="2"/>
        <v>114780.0</v>
      </c>
      <c r="H27" s="23">
        <f>'515639-07-12'!AS44+'515639-07-12'!AS45</f>
        <v>113467.0</v>
      </c>
      <c r="I27" s="17">
        <f>'515639-07-12'!D35</f>
        <v>0.0</v>
      </c>
      <c r="J27" s="21"/>
    </row>
    <row r="28" spans="8:8" ht="15.5">
      <c r="A28" s="18"/>
      <c r="B28" s="19"/>
      <c r="C28" s="19"/>
      <c r="D28" s="19"/>
      <c r="E28" s="20" t="s">
        <v>23</v>
      </c>
      <c r="F28" s="17">
        <f>'515639-07-12'!F41</f>
        <v>5807.0</v>
      </c>
      <c r="G28" s="17">
        <f t="shared" si="2"/>
        <v>113467.0</v>
      </c>
      <c r="H28" s="23">
        <f>'515639-07-12'!AS50+'515639-07-12'!AS51</f>
        <v>86317.0</v>
      </c>
      <c r="I28" s="17">
        <f>'515639-07-12'!D41</f>
        <v>32957.0</v>
      </c>
      <c r="J28" s="21"/>
    </row>
    <row r="29" spans="8:8" ht="15.5">
      <c r="A29" s="18"/>
      <c r="B29" s="19"/>
      <c r="C29" s="19"/>
      <c r="D29" s="19"/>
      <c r="E29" s="42" t="s">
        <v>32</v>
      </c>
      <c r="F29" s="43">
        <f>'515639-07-12'!F47</f>
        <v>0.0</v>
      </c>
      <c r="G29" s="43">
        <f t="shared" si="2"/>
        <v>86317.0</v>
      </c>
      <c r="H29" s="44">
        <f>'515639-07-12'!AS56+'515639-07-12'!AS57</f>
        <v>86317.0</v>
      </c>
      <c r="I29" s="43">
        <f>'515639-07-12'!D47</f>
        <v>0.0</v>
      </c>
      <c r="J29" s="45"/>
    </row>
    <row r="30" spans="8:8" ht="16.25">
      <c r="A30" s="18"/>
      <c r="B30" s="46"/>
      <c r="C30" s="46"/>
      <c r="D30" s="46"/>
      <c r="E30" s="47" t="s">
        <v>33</v>
      </c>
      <c r="F30" s="48">
        <f>'515639-07-12'!F53</f>
        <v>0.0</v>
      </c>
      <c r="G30" s="48">
        <f t="shared" si="2"/>
        <v>86317.0</v>
      </c>
      <c r="H30" s="49">
        <f>'515639-07-12'!AS59</f>
        <v>85783.0</v>
      </c>
      <c r="I30" s="48">
        <f>'515639-07-12'!E53</f>
        <v>129.0</v>
      </c>
      <c r="J30" s="50"/>
    </row>
    <row r="31" spans="8:8" ht="15.75">
      <c r="A31" s="18"/>
      <c r="B31" s="19" t="s">
        <v>34</v>
      </c>
      <c r="C31" s="19" t="s">
        <v>15</v>
      </c>
      <c r="D31" s="19" t="s">
        <v>35</v>
      </c>
      <c r="E31" s="37" t="s">
        <v>28</v>
      </c>
      <c r="F31" s="38">
        <f>'515641-07-12'!F5</f>
        <v>0.0</v>
      </c>
      <c r="G31" s="38">
        <f>'515641-07-12'!AS6</f>
        <v>0.0</v>
      </c>
      <c r="H31" s="39">
        <f>'515641-07-12'!AS14+'515641-07-12'!AS15</f>
        <v>13800.0</v>
      </c>
      <c r="I31" s="38">
        <f>'515641-07-12'!D5</f>
        <v>-13800.0</v>
      </c>
      <c r="J31" s="51"/>
    </row>
    <row r="32" spans="8:8" ht="15.5">
      <c r="A32" s="18"/>
      <c r="B32" s="19"/>
      <c r="C32" s="19"/>
      <c r="D32" s="19"/>
      <c r="E32" s="20" t="s">
        <v>18</v>
      </c>
      <c r="F32" s="17">
        <f>'515641-07-12'!F11</f>
        <v>0.0</v>
      </c>
      <c r="G32" s="17">
        <f t="shared" si="3" ref="G32:G39">H31</f>
        <v>13800.0</v>
      </c>
      <c r="H32" s="23">
        <f>'515641-07-12'!AS20+'515641-07-12'!AS21</f>
        <v>13800.0</v>
      </c>
      <c r="I32" s="17">
        <f>'515641-07-12'!D11</f>
        <v>0.0</v>
      </c>
      <c r="J32" s="21"/>
    </row>
    <row r="33" spans="8:8" ht="15.5">
      <c r="A33" s="18"/>
      <c r="B33" s="19"/>
      <c r="C33" s="19"/>
      <c r="D33" s="19"/>
      <c r="E33" s="20" t="s">
        <v>19</v>
      </c>
      <c r="F33" s="17">
        <f>'515641-07-12'!F17</f>
        <v>6128.0</v>
      </c>
      <c r="G33" s="17">
        <f t="shared" si="3"/>
        <v>13800.0</v>
      </c>
      <c r="H33" s="23">
        <f>'515641-07-12'!AS26+'515641-07-12'!AS27</f>
        <v>19928.0</v>
      </c>
      <c r="I33" s="17">
        <f>'515641-07-12'!D17</f>
        <v>0.0</v>
      </c>
      <c r="J33" s="21"/>
    </row>
    <row r="34" spans="8:8" ht="15.5">
      <c r="A34" s="18"/>
      <c r="B34" s="19"/>
      <c r="C34" s="19"/>
      <c r="D34" s="19"/>
      <c r="E34" s="20" t="s">
        <v>20</v>
      </c>
      <c r="F34" s="17">
        <f>'515641-07-12'!F23</f>
        <v>205798.0</v>
      </c>
      <c r="G34" s="17">
        <f t="shared" si="3"/>
        <v>19928.0</v>
      </c>
      <c r="H34" s="23">
        <f>'515641-07-12'!AS32+'515641-07-12'!AS33</f>
        <v>196467.0</v>
      </c>
      <c r="I34" s="17">
        <f>'515641-07-12'!D23</f>
        <v>29259.0</v>
      </c>
      <c r="J34" s="21"/>
    </row>
    <row r="35" spans="8:8" ht="15.5">
      <c r="A35" s="18"/>
      <c r="B35" s="19"/>
      <c r="C35" s="19"/>
      <c r="D35" s="19"/>
      <c r="E35" s="20" t="s">
        <v>21</v>
      </c>
      <c r="F35" s="17">
        <f>'515641-07-12'!F29</f>
        <v>0.0</v>
      </c>
      <c r="G35" s="17">
        <f t="shared" si="3"/>
        <v>196467.0</v>
      </c>
      <c r="H35" s="23">
        <f>'515641-07-12'!AS38+'515641-07-12'!AS39</f>
        <v>196337.0</v>
      </c>
      <c r="I35" s="17">
        <f>'515641-07-12'!D29</f>
        <v>0.0</v>
      </c>
      <c r="J35" s="21"/>
    </row>
    <row r="36" spans="8:8" ht="15.5">
      <c r="A36" s="18"/>
      <c r="B36" s="19"/>
      <c r="C36" s="19"/>
      <c r="D36" s="19"/>
      <c r="E36" s="20" t="s">
        <v>22</v>
      </c>
      <c r="F36" s="17">
        <f>'515641-07-12'!F35</f>
        <v>0.0</v>
      </c>
      <c r="G36" s="17">
        <f t="shared" si="3"/>
        <v>196337.0</v>
      </c>
      <c r="H36" s="23">
        <f>'515641-07-12'!AS44+'515641-07-12'!AS45</f>
        <v>196288.0</v>
      </c>
      <c r="I36" s="17">
        <f>'515641-07-12'!D35</f>
        <v>0.0</v>
      </c>
      <c r="J36" s="21"/>
    </row>
    <row r="37" spans="8:8" ht="15.5">
      <c r="A37" s="18"/>
      <c r="B37" s="19"/>
      <c r="C37" s="19"/>
      <c r="D37" s="19"/>
      <c r="E37" s="20" t="s">
        <v>23</v>
      </c>
      <c r="F37" s="17">
        <f>'515641-07-12'!F41</f>
        <v>0.0</v>
      </c>
      <c r="G37" s="17">
        <f t="shared" si="3"/>
        <v>196288.0</v>
      </c>
      <c r="H37" s="23">
        <f>'515641-07-12'!AS50+'515641-07-12'!AS51</f>
        <v>34135.0</v>
      </c>
      <c r="I37" s="17">
        <f>'515641-07-12'!D41</f>
        <v>162153.0</v>
      </c>
      <c r="J37" s="21"/>
    </row>
    <row r="38" spans="8:8" ht="15.5">
      <c r="A38" s="18"/>
      <c r="B38" s="19"/>
      <c r="C38" s="19"/>
      <c r="D38" s="19"/>
      <c r="E38" s="42" t="s">
        <v>32</v>
      </c>
      <c r="F38" s="43">
        <f>'515641-07-12'!F47</f>
        <v>0.0</v>
      </c>
      <c r="G38" s="43">
        <f t="shared" si="3"/>
        <v>34135.0</v>
      </c>
      <c r="H38" s="44">
        <f>'515641-07-12'!AS56+'515641-07-12'!AS57</f>
        <v>34135.0</v>
      </c>
      <c r="I38" s="43">
        <f>'515641-07-12'!D47</f>
        <v>0.0</v>
      </c>
      <c r="J38" s="45"/>
    </row>
    <row r="39" spans="8:8" ht="16.25">
      <c r="A39" s="18"/>
      <c r="B39" s="19"/>
      <c r="C39" s="19"/>
      <c r="D39" s="19"/>
      <c r="E39" s="47" t="s">
        <v>33</v>
      </c>
      <c r="F39" s="43">
        <f>'515641-07-12'!F53</f>
        <v>44094.0</v>
      </c>
      <c r="G39" s="43">
        <f t="shared" si="3"/>
        <v>34135.0</v>
      </c>
      <c r="H39" s="44">
        <f>'515641-07-12'!AS59</f>
        <v>60000.0</v>
      </c>
      <c r="I39" s="43">
        <f>'515641-07-12'!E53</f>
        <v>18229.0</v>
      </c>
      <c r="J39" s="45"/>
    </row>
    <row r="40" spans="8:8" ht="15.75">
      <c r="A40" s="18"/>
      <c r="B40" s="52" t="s">
        <v>36</v>
      </c>
      <c r="C40" s="52" t="s">
        <v>15</v>
      </c>
      <c r="D40" s="52" t="s">
        <v>37</v>
      </c>
      <c r="E40" s="37" t="s">
        <v>28</v>
      </c>
      <c r="F40" s="28">
        <f>'515642-07-12'!F5</f>
        <v>0.0</v>
      </c>
      <c r="G40" s="28">
        <f>'515642-07-12'!AS6</f>
        <v>-193.0</v>
      </c>
      <c r="H40" s="30">
        <f>'515642-07-12'!AS14+'515642-07-12'!AS15</f>
        <v>-1679.0</v>
      </c>
      <c r="I40" s="28">
        <f>'515642-07-12'!D5</f>
        <v>1486.0</v>
      </c>
      <c r="J40" s="31"/>
    </row>
    <row r="41" spans="8:8" ht="15.5">
      <c r="A41" s="18"/>
      <c r="B41" s="53"/>
      <c r="C41" s="53"/>
      <c r="D41" s="53"/>
      <c r="E41" s="20" t="s">
        <v>18</v>
      </c>
      <c r="F41" s="33">
        <f>'515642-07-12'!F11</f>
        <v>0.0</v>
      </c>
      <c r="G41" s="33">
        <f t="shared" si="4" ref="G41:G48">H40</f>
        <v>-1679.0</v>
      </c>
      <c r="H41" s="35">
        <f>'515642-07-12'!AS20+'515642-07-12'!AS21</f>
        <v>-1679.0</v>
      </c>
      <c r="I41" s="33">
        <f>'515642-07-12'!D11</f>
        <v>0.0</v>
      </c>
      <c r="J41" s="36"/>
    </row>
    <row r="42" spans="8:8" ht="15.5">
      <c r="A42" s="18"/>
      <c r="B42" s="53"/>
      <c r="C42" s="53"/>
      <c r="D42" s="53"/>
      <c r="E42" s="20" t="s">
        <v>19</v>
      </c>
      <c r="F42" s="33">
        <f>'515642-07-12'!F17</f>
        <v>10575.0</v>
      </c>
      <c r="G42" s="33">
        <f t="shared" si="4"/>
        <v>-1679.0</v>
      </c>
      <c r="H42" s="35">
        <f>'515642-07-12'!AS26+'515642-07-12'!AS27</f>
        <v>8896.0</v>
      </c>
      <c r="I42" s="33">
        <f>'515642-07-12'!D17</f>
        <v>0.0</v>
      </c>
      <c r="J42" s="36"/>
    </row>
    <row r="43" spans="8:8" ht="15.5">
      <c r="A43" s="18"/>
      <c r="B43" s="54"/>
      <c r="C43" s="54"/>
      <c r="D43" s="54"/>
      <c r="E43" s="20" t="s">
        <v>20</v>
      </c>
      <c r="F43" s="17">
        <f>'515642-07-12'!F23</f>
        <v>38447.0</v>
      </c>
      <c r="G43" s="17">
        <f t="shared" si="4"/>
        <v>8896.0</v>
      </c>
      <c r="H43" s="23">
        <f>'515642-07-12'!AS32+'515642-07-12'!AS33</f>
        <v>47343.0</v>
      </c>
      <c r="I43" s="17">
        <f>'515642-07-12'!D23</f>
        <v>0.0</v>
      </c>
      <c r="J43" s="21"/>
    </row>
    <row r="44" spans="8:8" ht="15.5">
      <c r="A44" s="18"/>
      <c r="B44" s="54"/>
      <c r="C44" s="54"/>
      <c r="D44" s="54"/>
      <c r="E44" s="20" t="s">
        <v>21</v>
      </c>
      <c r="F44" s="17">
        <f>'515642-07-12'!F29</f>
        <v>0.0</v>
      </c>
      <c r="G44" s="17">
        <f t="shared" si="4"/>
        <v>47343.0</v>
      </c>
      <c r="H44" s="23">
        <f>'515642-07-12'!AS38+'515642-07-12'!AS39</f>
        <v>47301.0</v>
      </c>
      <c r="I44" s="17">
        <f>'515642-07-12'!D29</f>
        <v>0.0</v>
      </c>
      <c r="J44" s="21"/>
    </row>
    <row r="45" spans="8:8" ht="15.5">
      <c r="A45" s="18"/>
      <c r="B45" s="54"/>
      <c r="C45" s="54"/>
      <c r="D45" s="54"/>
      <c r="E45" s="20" t="s">
        <v>22</v>
      </c>
      <c r="F45" s="17">
        <f>'515642-07-12'!F35</f>
        <v>0.0</v>
      </c>
      <c r="G45" s="17">
        <f t="shared" si="4"/>
        <v>47301.0</v>
      </c>
      <c r="H45" s="23">
        <f>'515642-07-12'!AS44+'515642-07-12'!AS45</f>
        <v>47301.0</v>
      </c>
      <c r="I45" s="17">
        <f>'515642-07-12'!D35</f>
        <v>0.0</v>
      </c>
      <c r="J45" s="21"/>
    </row>
    <row r="46" spans="8:8" ht="15.5">
      <c r="A46" s="18"/>
      <c r="B46" s="54"/>
      <c r="C46" s="54"/>
      <c r="D46" s="54"/>
      <c r="E46" s="20" t="s">
        <v>23</v>
      </c>
      <c r="F46" s="17">
        <f>'515642-07-12'!F41</f>
        <v>0.0</v>
      </c>
      <c r="G46" s="17">
        <f t="shared" si="4"/>
        <v>47301.0</v>
      </c>
      <c r="H46" s="23">
        <f>'515642-07-12'!AS50+'515642-07-12'!AS51</f>
        <v>0.0</v>
      </c>
      <c r="I46" s="17">
        <f>'515642-07-12'!D41</f>
        <v>47301.0</v>
      </c>
      <c r="J46" s="21"/>
    </row>
    <row r="47" spans="8:8" ht="15.5">
      <c r="A47" s="18"/>
      <c r="B47" s="54"/>
      <c r="C47" s="54"/>
      <c r="D47" s="54"/>
      <c r="E47" s="42" t="s">
        <v>32</v>
      </c>
      <c r="F47" s="17">
        <f>'515642-07-12'!F47</f>
        <v>0.0</v>
      </c>
      <c r="G47" s="17">
        <f t="shared" si="4"/>
        <v>0.0</v>
      </c>
      <c r="H47" s="23">
        <f>'515642-07-12'!AS56+'515642-07-12'!AS57</f>
        <v>0.0</v>
      </c>
      <c r="I47" s="17">
        <f>'515642-07-12'!D47</f>
        <v>0.0</v>
      </c>
      <c r="J47" s="21"/>
    </row>
    <row r="48" spans="8:8" ht="16.25">
      <c r="A48" s="18"/>
      <c r="B48" s="55"/>
      <c r="C48" s="55"/>
      <c r="D48" s="55"/>
      <c r="E48" s="47" t="s">
        <v>33</v>
      </c>
      <c r="F48" s="48">
        <f>'515642-07-12'!F53</f>
        <v>0.0</v>
      </c>
      <c r="G48" s="48">
        <f t="shared" si="4"/>
        <v>0.0</v>
      </c>
      <c r="H48" s="49">
        <f>'515642-07-12'!AS59</f>
        <v>0.0</v>
      </c>
      <c r="I48" s="48">
        <f>'515642-07-12'!E53</f>
        <v>0.0</v>
      </c>
      <c r="J48" s="50"/>
    </row>
    <row r="49" spans="8:8" ht="15.75">
      <c r="A49" s="18"/>
      <c r="B49" s="53" t="s">
        <v>38</v>
      </c>
      <c r="C49" s="53" t="s">
        <v>15</v>
      </c>
      <c r="D49" s="53" t="s">
        <v>39</v>
      </c>
      <c r="E49" s="37" t="s">
        <v>28</v>
      </c>
      <c r="F49" s="33">
        <f>'515643-07-12'!F5</f>
        <v>0.0</v>
      </c>
      <c r="G49" s="33">
        <f>'515643-07-12'!AS6</f>
        <v>0.0</v>
      </c>
      <c r="H49" s="35">
        <f>'515643-07-12'!AS14+'515643-07-12'!AS15</f>
        <v>0.0</v>
      </c>
      <c r="I49" s="33">
        <f>'515643-07-12'!D5</f>
        <v>0.0</v>
      </c>
      <c r="J49" s="36"/>
    </row>
    <row r="50" spans="8:8" ht="15.5">
      <c r="A50" s="18"/>
      <c r="B50" s="54"/>
      <c r="C50" s="54"/>
      <c r="D50" s="54"/>
      <c r="E50" s="20" t="s">
        <v>18</v>
      </c>
      <c r="F50" s="17">
        <f>'515643-07-12'!F11</f>
        <v>0.0</v>
      </c>
      <c r="G50" s="17">
        <f t="shared" si="5" ref="G50:G57">H49</f>
        <v>0.0</v>
      </c>
      <c r="H50" s="23">
        <f>'515643-07-12'!AS20+'515643-07-12'!AS21</f>
        <v>115852.0</v>
      </c>
      <c r="I50" s="17">
        <f>'515643-07-12'!D11</f>
        <v>-115852.0</v>
      </c>
      <c r="J50" s="21"/>
    </row>
    <row r="51" spans="8:8" ht="15.5">
      <c r="A51" s="18"/>
      <c r="B51" s="54"/>
      <c r="C51" s="54"/>
      <c r="D51" s="54"/>
      <c r="E51" s="20" t="s">
        <v>19</v>
      </c>
      <c r="F51" s="17">
        <f>'515643-07-12'!F17</f>
        <v>0.0</v>
      </c>
      <c r="G51" s="17">
        <f t="shared" si="5"/>
        <v>115852.0</v>
      </c>
      <c r="H51" s="23">
        <f>'515643-07-12'!AS26+'515643-07-12'!AS27</f>
        <v>115835.0</v>
      </c>
      <c r="I51" s="17">
        <f>'515643-07-12'!D17</f>
        <v>0.0</v>
      </c>
      <c r="J51" s="21"/>
    </row>
    <row r="52" spans="8:8" ht="15.5">
      <c r="A52" s="18"/>
      <c r="B52" s="54"/>
      <c r="C52" s="54"/>
      <c r="D52" s="54"/>
      <c r="E52" s="20" t="s">
        <v>20</v>
      </c>
      <c r="F52" s="17">
        <f>'515643-07-12'!F23</f>
        <v>33342.0</v>
      </c>
      <c r="G52" s="17">
        <f t="shared" si="5"/>
        <v>115835.0</v>
      </c>
      <c r="H52" s="23">
        <f>'515643-07-12'!AS32+'515643-07-12'!AS33</f>
        <v>142275.0</v>
      </c>
      <c r="I52" s="17">
        <f>'515643-07-12'!D23</f>
        <v>0.0</v>
      </c>
      <c r="J52" s="21"/>
    </row>
    <row r="53" spans="8:8" ht="15.5">
      <c r="A53" s="18"/>
      <c r="B53" s="54"/>
      <c r="C53" s="54"/>
      <c r="D53" s="54"/>
      <c r="E53" s="20" t="s">
        <v>21</v>
      </c>
      <c r="F53" s="17">
        <f>'515643-07-12'!F29</f>
        <v>0.0</v>
      </c>
      <c r="G53" s="17">
        <f t="shared" si="5"/>
        <v>142275.0</v>
      </c>
      <c r="H53" s="23">
        <f>'515643-07-12'!AS38+'515643-07-12'!AS39</f>
        <v>142056.0</v>
      </c>
      <c r="I53" s="17">
        <f>'515643-07-12'!D29</f>
        <v>0.0</v>
      </c>
      <c r="J53" s="21"/>
    </row>
    <row r="54" spans="8:8" ht="15.5">
      <c r="A54" s="18"/>
      <c r="B54" s="54"/>
      <c r="C54" s="54"/>
      <c r="D54" s="54"/>
      <c r="E54" s="20" t="s">
        <v>22</v>
      </c>
      <c r="F54" s="17">
        <f>'515643-07-12'!F35</f>
        <v>0.0</v>
      </c>
      <c r="G54" s="17">
        <f t="shared" si="5"/>
        <v>142056.0</v>
      </c>
      <c r="H54" s="23">
        <f>'515643-07-12'!AS44+'515643-07-12'!AS45</f>
        <v>141213.0</v>
      </c>
      <c r="I54" s="17">
        <f>'515643-07-12'!D35</f>
        <v>0.0</v>
      </c>
      <c r="J54" s="21"/>
    </row>
    <row r="55" spans="8:8" ht="15.5">
      <c r="A55" s="18"/>
      <c r="B55" s="54"/>
      <c r="C55" s="54"/>
      <c r="D55" s="54"/>
      <c r="E55" s="20" t="s">
        <v>23</v>
      </c>
      <c r="F55" s="17">
        <f>'515643-07-12'!F41</f>
        <v>0.0</v>
      </c>
      <c r="G55" s="17">
        <f t="shared" si="5"/>
        <v>141213.0</v>
      </c>
      <c r="H55" s="23">
        <f>'515643-07-12'!AS50+'515643-07-12'!AS51</f>
        <v>56556.0</v>
      </c>
      <c r="I55" s="17">
        <f>'515643-07-12'!D41</f>
        <v>84657.0</v>
      </c>
      <c r="J55" s="21"/>
    </row>
    <row r="56" spans="8:8" ht="15.5">
      <c r="A56" s="18"/>
      <c r="B56" s="54"/>
      <c r="C56" s="54"/>
      <c r="D56" s="54"/>
      <c r="E56" s="42" t="s">
        <v>32</v>
      </c>
      <c r="F56" s="17">
        <f>'515643-07-12'!F47</f>
        <v>0.0</v>
      </c>
      <c r="G56" s="17">
        <f t="shared" si="5"/>
        <v>56556.0</v>
      </c>
      <c r="H56" s="23">
        <f>'515643-07-12'!AS56+'515643-07-12'!AS57</f>
        <v>56556.0</v>
      </c>
      <c r="I56" s="17">
        <f>'515643-07-12'!D47</f>
        <v>0.0</v>
      </c>
      <c r="J56" s="21"/>
    </row>
    <row r="57" spans="8:8" ht="16.25">
      <c r="A57" s="18"/>
      <c r="B57" s="15"/>
      <c r="C57" s="15"/>
      <c r="D57" s="15"/>
      <c r="E57" s="47" t="s">
        <v>33</v>
      </c>
      <c r="F57" s="43">
        <f>'515643-07-12'!F53</f>
        <v>0.0</v>
      </c>
      <c r="G57" s="43">
        <f t="shared" si="5"/>
        <v>56556.0</v>
      </c>
      <c r="H57" s="44">
        <f>'515643-07-12'!AS59</f>
        <v>56165.0</v>
      </c>
      <c r="I57" s="56">
        <f>'515643-07-12'!E53</f>
        <v>0.0</v>
      </c>
      <c r="J57" s="45"/>
    </row>
    <row r="58" spans="8:8" ht="15.75">
      <c r="A58" s="18"/>
      <c r="B58" s="52" t="s">
        <v>40</v>
      </c>
      <c r="C58" s="52" t="s">
        <v>15</v>
      </c>
      <c r="D58" s="52" t="s">
        <v>41</v>
      </c>
      <c r="E58" s="37" t="s">
        <v>28</v>
      </c>
      <c r="F58" s="28">
        <f>'515644-07-12'!F5</f>
        <v>0.0</v>
      </c>
      <c r="G58" s="28">
        <f>'515644-07-12'!AS6</f>
        <v>0.0</v>
      </c>
      <c r="H58" s="30">
        <f>'515644-07-12'!AS14+'515644-07-12'!AS15</f>
        <v>0.0</v>
      </c>
      <c r="I58" s="28">
        <f>'515644-07-12'!D5</f>
        <v>0.0</v>
      </c>
      <c r="J58" s="31"/>
    </row>
    <row r="59" spans="8:8" ht="15.5">
      <c r="A59" s="18"/>
      <c r="B59" s="53"/>
      <c r="C59" s="53"/>
      <c r="D59" s="53"/>
      <c r="E59" s="20" t="s">
        <v>18</v>
      </c>
      <c r="F59" s="33">
        <f>'515644-07-12'!F11</f>
        <v>0.0</v>
      </c>
      <c r="G59" s="33">
        <f t="shared" si="6" ref="G59:G66">H58</f>
        <v>0.0</v>
      </c>
      <c r="H59" s="35">
        <f>'515644-07-12'!AS20+'515644-07-12'!AS21</f>
        <v>533767.0</v>
      </c>
      <c r="I59" s="33">
        <f>'515644-07-12'!D11</f>
        <v>-533767.0</v>
      </c>
      <c r="J59" s="36"/>
    </row>
    <row r="60" spans="8:8" ht="15.5">
      <c r="A60" s="18"/>
      <c r="B60" s="53"/>
      <c r="C60" s="53"/>
      <c r="D60" s="53"/>
      <c r="E60" s="20" t="s">
        <v>19</v>
      </c>
      <c r="F60" s="33">
        <f>'515644-07-12'!F17</f>
        <v>141990.0</v>
      </c>
      <c r="G60" s="33">
        <f t="shared" si="6"/>
        <v>533767.0</v>
      </c>
      <c r="H60" s="35">
        <f>'515644-07-12'!AS26+'515644-07-12'!AS27</f>
        <v>642423.0</v>
      </c>
      <c r="I60" s="33">
        <f>'515644-07-12'!D17</f>
        <v>33258.0</v>
      </c>
      <c r="J60" s="36"/>
    </row>
    <row r="61" spans="8:8" ht="15.5">
      <c r="A61" s="18"/>
      <c r="B61" s="54"/>
      <c r="C61" s="54"/>
      <c r="D61" s="54"/>
      <c r="E61" s="20" t="s">
        <v>20</v>
      </c>
      <c r="F61" s="17">
        <f>'515644-07-12'!F23</f>
        <v>44919.0</v>
      </c>
      <c r="G61" s="17">
        <f t="shared" si="6"/>
        <v>642423.0</v>
      </c>
      <c r="H61" s="23">
        <f>'515644-07-12'!AS32+'515644-07-12'!AS33</f>
        <v>572629.0</v>
      </c>
      <c r="I61" s="17">
        <f>'515644-07-12'!D23</f>
        <v>113721.0</v>
      </c>
      <c r="J61" s="21"/>
    </row>
    <row r="62" spans="8:8" ht="15.5">
      <c r="A62" s="18"/>
      <c r="B62" s="54"/>
      <c r="C62" s="54"/>
      <c r="D62" s="54"/>
      <c r="E62" s="20" t="s">
        <v>21</v>
      </c>
      <c r="F62" s="17">
        <f>'515644-07-12'!F29</f>
        <v>0.0</v>
      </c>
      <c r="G62" s="17">
        <f t="shared" si="6"/>
        <v>572629.0</v>
      </c>
      <c r="H62" s="23">
        <f>'515644-07-12'!AS38+'515644-07-12'!AS39</f>
        <v>572276.0</v>
      </c>
      <c r="I62" s="17">
        <f>'515644-07-12'!D29</f>
        <v>0.0</v>
      </c>
      <c r="J62" s="21"/>
    </row>
    <row r="63" spans="8:8" ht="15.5">
      <c r="A63" s="18"/>
      <c r="B63" s="54"/>
      <c r="C63" s="54"/>
      <c r="D63" s="54"/>
      <c r="E63" s="20" t="s">
        <v>22</v>
      </c>
      <c r="F63" s="17">
        <f>'515644-07-12'!F35</f>
        <v>15083.0</v>
      </c>
      <c r="G63" s="17">
        <f t="shared" si="6"/>
        <v>572276.0</v>
      </c>
      <c r="H63" s="23">
        <f>'515644-07-12'!AS44+'515644-07-12'!AS45</f>
        <v>585503.0</v>
      </c>
      <c r="I63" s="17">
        <f>'515644-07-12'!D35</f>
        <v>0.0</v>
      </c>
      <c r="J63" s="21"/>
    </row>
    <row r="64" spans="8:8" ht="15.5">
      <c r="A64" s="18"/>
      <c r="B64" s="54"/>
      <c r="C64" s="54"/>
      <c r="D64" s="54"/>
      <c r="E64" s="20" t="s">
        <v>23</v>
      </c>
      <c r="F64" s="17">
        <f>'515644-07-12'!F41</f>
        <v>81836.0</v>
      </c>
      <c r="G64" s="17">
        <f t="shared" si="6"/>
        <v>585503.0</v>
      </c>
      <c r="H64" s="23">
        <f>'515644-07-12'!AS50+'515644-07-12'!AS51</f>
        <v>265452.0</v>
      </c>
      <c r="I64" s="17">
        <f>'515644-07-12'!D41</f>
        <v>401887.0</v>
      </c>
      <c r="J64" s="21"/>
    </row>
    <row r="65" spans="8:8" ht="15.5">
      <c r="A65" s="18"/>
      <c r="B65" s="54"/>
      <c r="C65" s="54"/>
      <c r="D65" s="54"/>
      <c r="E65" s="42" t="s">
        <v>32</v>
      </c>
      <c r="F65" s="17">
        <f>'515644-07-12'!F47</f>
        <v>0.0</v>
      </c>
      <c r="G65" s="17">
        <f t="shared" si="6"/>
        <v>265452.0</v>
      </c>
      <c r="H65" s="23">
        <f>'515644-07-12'!AS56+'515644-07-12'!AS57</f>
        <v>265452.0</v>
      </c>
      <c r="I65" s="17">
        <f>'515644-07-12'!D47</f>
        <v>0.0</v>
      </c>
      <c r="J65" s="21"/>
    </row>
    <row r="66" spans="8:8" ht="16.25">
      <c r="A66" s="18"/>
      <c r="B66" s="55"/>
      <c r="C66" s="55"/>
      <c r="D66" s="55"/>
      <c r="E66" s="47" t="s">
        <v>33</v>
      </c>
      <c r="F66" s="48">
        <f>'515644-07-12'!F53</f>
        <v>0.0</v>
      </c>
      <c r="G66" s="48">
        <f t="shared" si="6"/>
        <v>265452.0</v>
      </c>
      <c r="H66" s="49">
        <f>'515644-07-12'!AS59</f>
        <v>260819.0</v>
      </c>
      <c r="I66" s="48">
        <f>'515644-07-12'!E53</f>
        <v>0.0</v>
      </c>
      <c r="J66" s="50"/>
    </row>
    <row r="67" spans="8:8" ht="15.75">
      <c r="A67" s="18"/>
      <c r="B67" s="53" t="s">
        <v>42</v>
      </c>
      <c r="C67" s="53" t="s">
        <v>15</v>
      </c>
      <c r="D67" s="53" t="s">
        <v>43</v>
      </c>
      <c r="E67" s="37" t="s">
        <v>28</v>
      </c>
      <c r="F67" s="57">
        <f>'515646-07-12'!F5</f>
        <v>0.0</v>
      </c>
      <c r="G67" s="33">
        <f>'515646-07-12'!AS6</f>
        <v>-10243.0</v>
      </c>
      <c r="H67" s="35">
        <f>'515646-07-12'!AS14+'515646-07-12'!AS15</f>
        <v>-10243.0</v>
      </c>
      <c r="I67" s="33">
        <f>'515646-07-12'!D5</f>
        <v>0.0</v>
      </c>
      <c r="J67" s="36"/>
    </row>
    <row r="68" spans="8:8" ht="15.5">
      <c r="A68" s="18"/>
      <c r="B68" s="53"/>
      <c r="C68" s="53"/>
      <c r="D68" s="53"/>
      <c r="E68" s="20" t="s">
        <v>18</v>
      </c>
      <c r="F68" s="33">
        <f>'515646-07-12'!F11</f>
        <v>0.0</v>
      </c>
      <c r="G68" s="33">
        <f t="shared" si="7" ref="G68:G75">H67</f>
        <v>-10243.0</v>
      </c>
      <c r="H68" s="35">
        <f>'515646-07-12'!AS20+'515646-07-12'!AS21</f>
        <v>-10243.0</v>
      </c>
      <c r="I68" s="33">
        <f>'515646-07-12'!D11</f>
        <v>0.0</v>
      </c>
      <c r="J68" s="36"/>
    </row>
    <row r="69" spans="8:8" ht="15.5">
      <c r="A69" s="18"/>
      <c r="B69" s="53"/>
      <c r="C69" s="53"/>
      <c r="D69" s="53"/>
      <c r="E69" s="20" t="s">
        <v>19</v>
      </c>
      <c r="F69" s="33">
        <f>'515646-07-12'!F17</f>
        <v>10243.0</v>
      </c>
      <c r="G69" s="33">
        <f t="shared" si="7"/>
        <v>-10243.0</v>
      </c>
      <c r="H69" s="35">
        <f>'515646-07-12'!AS26+'515646-07-12'!AS27</f>
        <v>0.0</v>
      </c>
      <c r="I69" s="33">
        <f>'515646-07-12'!D17</f>
        <v>0.0</v>
      </c>
      <c r="J69" s="36"/>
    </row>
    <row r="70" spans="8:8" ht="15.5">
      <c r="A70" s="18"/>
      <c r="B70" s="54"/>
      <c r="C70" s="54"/>
      <c r="D70" s="54"/>
      <c r="E70" s="20" t="s">
        <v>20</v>
      </c>
      <c r="F70" s="17">
        <f>'515646-07-12'!F23</f>
        <v>0.0</v>
      </c>
      <c r="G70" s="17">
        <f t="shared" si="7"/>
        <v>0.0</v>
      </c>
      <c r="H70" s="23">
        <f>'515646-07-12'!AS32+'515646-07-12'!AS33</f>
        <v>0.0</v>
      </c>
      <c r="I70" s="17">
        <f>'515646-07-12'!D23</f>
        <v>0.0</v>
      </c>
      <c r="J70" s="21"/>
    </row>
    <row r="71" spans="8:8" ht="15.5">
      <c r="A71" s="18"/>
      <c r="B71" s="54"/>
      <c r="C71" s="54"/>
      <c r="D71" s="54"/>
      <c r="E71" s="20" t="s">
        <v>21</v>
      </c>
      <c r="F71" s="17">
        <f>'515646-07-12'!F29</f>
        <v>0.0</v>
      </c>
      <c r="G71" s="17">
        <f t="shared" si="7"/>
        <v>0.0</v>
      </c>
      <c r="H71" s="23">
        <f>'515646-07-12'!AS38+'515646-07-12'!AS39</f>
        <v>0.0</v>
      </c>
      <c r="I71" s="17">
        <f>'515646-07-12'!D29</f>
        <v>0.0</v>
      </c>
      <c r="J71" s="21"/>
    </row>
    <row r="72" spans="8:8" ht="15.5">
      <c r="A72" s="18"/>
      <c r="B72" s="54"/>
      <c r="C72" s="54"/>
      <c r="D72" s="54"/>
      <c r="E72" s="20" t="s">
        <v>22</v>
      </c>
      <c r="F72" s="17">
        <f>'515646-07-12'!F35</f>
        <v>0.0</v>
      </c>
      <c r="G72" s="17">
        <f t="shared" si="7"/>
        <v>0.0</v>
      </c>
      <c r="H72" s="23">
        <f>'515646-07-12'!AS44+'515646-07-12'!AS45</f>
        <v>0.0</v>
      </c>
      <c r="I72" s="17">
        <f>'515646-07-12'!D35</f>
        <v>0.0</v>
      </c>
      <c r="J72" s="21"/>
    </row>
    <row r="73" spans="8:8" ht="15.5">
      <c r="A73" s="18"/>
      <c r="B73" s="54"/>
      <c r="C73" s="54"/>
      <c r="D73" s="54"/>
      <c r="E73" s="20" t="s">
        <v>23</v>
      </c>
      <c r="F73" s="17">
        <f>'515646-07-12'!F41</f>
        <v>0.0</v>
      </c>
      <c r="G73" s="17">
        <f t="shared" si="7"/>
        <v>0.0</v>
      </c>
      <c r="H73" s="23">
        <f>'515646-07-12'!AS50+'515646-07-12'!AS51</f>
        <v>0.0</v>
      </c>
      <c r="I73" s="17">
        <f>'515646-07-12'!D41</f>
        <v>0.0</v>
      </c>
      <c r="J73" s="21"/>
    </row>
    <row r="74" spans="8:8" ht="15.5">
      <c r="A74" s="18"/>
      <c r="B74" s="54"/>
      <c r="C74" s="54"/>
      <c r="D74" s="54"/>
      <c r="E74" s="42" t="s">
        <v>32</v>
      </c>
      <c r="F74" s="17">
        <f>'515646-07-12'!F47</f>
        <v>0.0</v>
      </c>
      <c r="G74" s="17">
        <f t="shared" si="7"/>
        <v>0.0</v>
      </c>
      <c r="H74" s="23">
        <f>'515646-07-12'!AS56+'515646-07-12'!AS57</f>
        <v>0.0</v>
      </c>
      <c r="I74" s="17">
        <f>'515646-07-12'!D47</f>
        <v>0.0</v>
      </c>
      <c r="J74" s="21"/>
    </row>
    <row r="75" spans="8:8" ht="16.25">
      <c r="A75" s="18"/>
      <c r="B75" s="15"/>
      <c r="C75" s="15"/>
      <c r="D75" s="15"/>
      <c r="E75" s="47" t="s">
        <v>33</v>
      </c>
      <c r="F75" s="43">
        <f>'515646-07-12'!F53</f>
        <v>0.0</v>
      </c>
      <c r="G75" s="43">
        <f t="shared" si="7"/>
        <v>0.0</v>
      </c>
      <c r="H75" s="44">
        <f>'515646-07-12'!AS59</f>
        <v>0.0</v>
      </c>
      <c r="I75" s="43">
        <f>'515646-07-12'!E53</f>
        <v>0.0</v>
      </c>
      <c r="J75" s="45"/>
    </row>
    <row r="76" spans="8:8" ht="15.75">
      <c r="A76" s="18"/>
      <c r="B76" s="52" t="s">
        <v>44</v>
      </c>
      <c r="C76" s="52" t="s">
        <v>15</v>
      </c>
      <c r="D76" s="52" t="s">
        <v>45</v>
      </c>
      <c r="E76" s="37" t="s">
        <v>28</v>
      </c>
      <c r="F76" s="28">
        <f>'515650-07-12'!F5</f>
        <v>0.0</v>
      </c>
      <c r="G76" s="28">
        <f>'515650-07-12'!AS6</f>
        <v>2376.0</v>
      </c>
      <c r="H76" s="30">
        <f>'515650-07-12'!AS14+'515650-07-12'!AS15</f>
        <v>2376.0</v>
      </c>
      <c r="I76" s="28">
        <f>'515650-07-12'!D5</f>
        <v>0.0</v>
      </c>
      <c r="J76" s="31"/>
    </row>
    <row r="77" spans="8:8" ht="15.5">
      <c r="A77" s="18"/>
      <c r="B77" s="54"/>
      <c r="C77" s="54"/>
      <c r="D77" s="54"/>
      <c r="E77" s="20" t="s">
        <v>18</v>
      </c>
      <c r="F77" s="17">
        <f>'515650-07-12'!F11</f>
        <v>0.0</v>
      </c>
      <c r="G77" s="17">
        <f t="shared" si="8" ref="G77:G84">H76</f>
        <v>2376.0</v>
      </c>
      <c r="H77" s="23">
        <f>'515650-07-12'!AS20+'515650-07-12'!AS21</f>
        <v>2376.0</v>
      </c>
      <c r="I77" s="17">
        <f>'515650-07-12'!D11</f>
        <v>0.0</v>
      </c>
      <c r="J77" s="21"/>
    </row>
    <row r="78" spans="8:8" ht="15.5">
      <c r="A78" s="18"/>
      <c r="B78" s="54"/>
      <c r="C78" s="54"/>
      <c r="D78" s="54"/>
      <c r="E78" s="20" t="s">
        <v>19</v>
      </c>
      <c r="F78" s="17">
        <f>'515650-07-12'!F17</f>
        <v>40139.0</v>
      </c>
      <c r="G78" s="17">
        <f t="shared" si="8"/>
        <v>2376.0</v>
      </c>
      <c r="H78" s="23">
        <f>'515650-07-12'!AS26+'515650-07-12'!AS27</f>
        <v>42515.0</v>
      </c>
      <c r="I78" s="17">
        <f>'515650-07-12'!D17</f>
        <v>0.0</v>
      </c>
      <c r="J78" s="21"/>
    </row>
    <row r="79" spans="8:8" ht="15.5">
      <c r="A79" s="18"/>
      <c r="B79" s="54"/>
      <c r="C79" s="54"/>
      <c r="D79" s="54"/>
      <c r="E79" s="20" t="s">
        <v>20</v>
      </c>
      <c r="F79" s="17">
        <f>'515650-07-12'!F23</f>
        <v>20845.0</v>
      </c>
      <c r="G79" s="17">
        <f t="shared" si="8"/>
        <v>42515.0</v>
      </c>
      <c r="H79" s="23">
        <f>'515650-07-12'!AS32+'515650-07-12'!AS33</f>
        <v>62828.0</v>
      </c>
      <c r="I79" s="17">
        <f>'515650-07-12'!D23</f>
        <v>500.0</v>
      </c>
      <c r="J79" s="21"/>
    </row>
    <row r="80" spans="8:8" ht="15.5">
      <c r="A80" s="18"/>
      <c r="B80" s="54"/>
      <c r="C80" s="54"/>
      <c r="D80" s="54"/>
      <c r="E80" s="20" t="s">
        <v>21</v>
      </c>
      <c r="F80" s="17">
        <f>'515650-07-12'!F29</f>
        <v>0.0</v>
      </c>
      <c r="G80" s="17">
        <f t="shared" si="8"/>
        <v>62828.0</v>
      </c>
      <c r="H80" s="23">
        <f>'515650-07-12'!AS38+'515650-07-12'!AS39</f>
        <v>62820.0</v>
      </c>
      <c r="I80" s="17">
        <f>'515650-07-12'!D29</f>
        <v>0.0</v>
      </c>
      <c r="J80" s="21"/>
    </row>
    <row r="81" spans="8:8" ht="15.5">
      <c r="A81" s="18"/>
      <c r="B81" s="54"/>
      <c r="C81" s="54"/>
      <c r="D81" s="54"/>
      <c r="E81" s="20" t="s">
        <v>22</v>
      </c>
      <c r="F81" s="17">
        <f>'515650-07-12'!F35</f>
        <v>8699.0</v>
      </c>
      <c r="G81" s="17">
        <f t="shared" si="8"/>
        <v>62820.0</v>
      </c>
      <c r="H81" s="23">
        <f>'515650-07-12'!AS44+'515650-07-12'!AS45</f>
        <v>71450.0</v>
      </c>
      <c r="I81" s="17">
        <f>'515650-07-12'!D35</f>
        <v>0.0</v>
      </c>
      <c r="J81" s="21"/>
    </row>
    <row r="82" spans="8:8" ht="15.5">
      <c r="A82" s="18"/>
      <c r="B82" s="54"/>
      <c r="C82" s="54"/>
      <c r="D82" s="54"/>
      <c r="E82" s="20" t="s">
        <v>23</v>
      </c>
      <c r="F82" s="17">
        <f>'515650-07-12'!F41</f>
        <v>46533.0</v>
      </c>
      <c r="G82" s="17">
        <f t="shared" si="8"/>
        <v>71450.0</v>
      </c>
      <c r="H82" s="23">
        <f>'515650-07-12'!AS50+'515650-07-12'!AS51</f>
        <v>117983.0</v>
      </c>
      <c r="I82" s="17">
        <f>'515650-07-12'!D41</f>
        <v>0.0</v>
      </c>
      <c r="J82" s="21"/>
    </row>
    <row r="83" spans="8:8" ht="15.5">
      <c r="A83" s="18"/>
      <c r="B83" s="54"/>
      <c r="C83" s="54"/>
      <c r="D83" s="54"/>
      <c r="E83" s="42" t="s">
        <v>32</v>
      </c>
      <c r="F83" s="17">
        <f>'515650-07-12'!F47</f>
        <v>0.0</v>
      </c>
      <c r="G83" s="17">
        <f t="shared" si="8"/>
        <v>117983.0</v>
      </c>
      <c r="H83" s="23">
        <f>'515650-07-12'!AS56+'515650-07-12'!AS57</f>
        <v>117983.0</v>
      </c>
      <c r="I83" s="17">
        <f>'515650-07-12'!D47</f>
        <v>0.0</v>
      </c>
      <c r="J83" s="21"/>
    </row>
    <row r="84" spans="8:8" ht="16.25">
      <c r="A84" s="18"/>
      <c r="B84" s="55"/>
      <c r="C84" s="55"/>
      <c r="D84" s="55"/>
      <c r="E84" s="47" t="s">
        <v>33</v>
      </c>
      <c r="F84" s="48">
        <f>'515650-07-12'!F53</f>
        <v>0.0</v>
      </c>
      <c r="G84" s="48">
        <f t="shared" si="8"/>
        <v>117983.0</v>
      </c>
      <c r="H84" s="49">
        <f>'515650-07-12'!AS59</f>
        <v>115831.0</v>
      </c>
      <c r="I84" s="48">
        <f>'515650-07-12'!E53</f>
        <v>0.0</v>
      </c>
      <c r="J84" s="50"/>
    </row>
    <row r="85" spans="8:8" ht="15.75">
      <c r="A85" s="18"/>
      <c r="B85" s="53" t="s">
        <v>46</v>
      </c>
      <c r="C85" s="53" t="s">
        <v>15</v>
      </c>
      <c r="D85" s="53" t="s">
        <v>47</v>
      </c>
      <c r="E85" s="37" t="s">
        <v>28</v>
      </c>
      <c r="F85" s="33">
        <f>'515652-07-12'!F5</f>
        <v>0.0</v>
      </c>
      <c r="G85" s="33">
        <f>'515652-07-12'!AS6</f>
        <v>0.0</v>
      </c>
      <c r="H85" s="35">
        <f>'515652-07-12'!AS14+'515652-07-12'!AS15</f>
        <v>51544.0</v>
      </c>
      <c r="I85" s="33">
        <f>'515652-07-12'!D5</f>
        <v>-51544.0</v>
      </c>
      <c r="J85" s="36"/>
    </row>
    <row r="86" spans="8:8" ht="15.5">
      <c r="A86" s="18"/>
      <c r="B86" s="54"/>
      <c r="C86" s="54"/>
      <c r="D86" s="54"/>
      <c r="E86" s="20" t="s">
        <v>18</v>
      </c>
      <c r="F86" s="17">
        <f>'515652-07-12'!F11</f>
        <v>0.0</v>
      </c>
      <c r="G86" s="17">
        <f t="shared" si="9" ref="G86:G93">H85</f>
        <v>51544.0</v>
      </c>
      <c r="H86" s="23">
        <f>'515652-07-12'!AS20+'515652-07-12'!AS21</f>
        <v>51544.0</v>
      </c>
      <c r="I86" s="17">
        <f>'515652-07-12'!D11</f>
        <v>0.0</v>
      </c>
      <c r="J86" s="21"/>
    </row>
    <row r="87" spans="8:8" ht="15.5">
      <c r="A87" s="18"/>
      <c r="B87" s="54"/>
      <c r="C87" s="54"/>
      <c r="D87" s="54"/>
      <c r="E87" s="20" t="s">
        <v>19</v>
      </c>
      <c r="F87" s="17">
        <f>'515652-07-12'!F17</f>
        <v>0.0</v>
      </c>
      <c r="G87" s="17">
        <f t="shared" si="9"/>
        <v>51544.0</v>
      </c>
      <c r="H87" s="23">
        <f>'515652-07-12'!AS26+'515652-07-12'!AS27</f>
        <v>51544.0</v>
      </c>
      <c r="I87" s="17">
        <f>'515652-07-12'!D17</f>
        <v>0.0</v>
      </c>
      <c r="J87" s="21"/>
    </row>
    <row r="88" spans="8:8" ht="15.5">
      <c r="A88" s="18"/>
      <c r="B88" s="54"/>
      <c r="C88" s="54"/>
      <c r="D88" s="54"/>
      <c r="E88" s="20" t="s">
        <v>20</v>
      </c>
      <c r="F88" s="17">
        <f>'515652-07-12'!F23</f>
        <v>0.0</v>
      </c>
      <c r="G88" s="17">
        <f t="shared" si="9"/>
        <v>51544.0</v>
      </c>
      <c r="H88" s="23">
        <f>'515652-07-12'!AS32+'515652-07-12'!AS33</f>
        <v>48563.0</v>
      </c>
      <c r="I88" s="17">
        <f>'515652-07-12'!D23</f>
        <v>2981.0</v>
      </c>
      <c r="J88" s="21"/>
    </row>
    <row r="89" spans="8:8" ht="15.5">
      <c r="A89" s="18"/>
      <c r="B89" s="54"/>
      <c r="C89" s="54"/>
      <c r="D89" s="54"/>
      <c r="E89" s="20" t="s">
        <v>21</v>
      </c>
      <c r="F89" s="17">
        <f>'515652-07-12'!F29</f>
        <v>0.0</v>
      </c>
      <c r="G89" s="17">
        <f t="shared" si="9"/>
        <v>48563.0</v>
      </c>
      <c r="H89" s="23">
        <f>'515652-07-12'!AS38+'515652-07-12'!AS39</f>
        <v>48563.0</v>
      </c>
      <c r="I89" s="17">
        <f>'515652-07-12'!D29</f>
        <v>0.0</v>
      </c>
      <c r="J89" s="21"/>
    </row>
    <row r="90" spans="8:8" ht="15.5">
      <c r="A90" s="18"/>
      <c r="B90" s="54"/>
      <c r="C90" s="54"/>
      <c r="D90" s="54"/>
      <c r="E90" s="20" t="s">
        <v>22</v>
      </c>
      <c r="F90" s="17">
        <f>'515652-07-12'!F35</f>
        <v>0.0</v>
      </c>
      <c r="G90" s="17">
        <f t="shared" si="9"/>
        <v>48563.0</v>
      </c>
      <c r="H90" s="23">
        <f>'515652-07-12'!AS44+'515652-07-12'!AS45</f>
        <v>48563.0</v>
      </c>
      <c r="I90" s="17">
        <f>'515652-07-12'!D35</f>
        <v>0.0</v>
      </c>
      <c r="J90" s="21"/>
    </row>
    <row r="91" spans="8:8" ht="15.5">
      <c r="A91" s="18"/>
      <c r="B91" s="54"/>
      <c r="C91" s="54"/>
      <c r="D91" s="54"/>
      <c r="E91" s="20" t="s">
        <v>23</v>
      </c>
      <c r="F91" s="17">
        <f>'515652-07-12'!D41</f>
        <v>0.0</v>
      </c>
      <c r="G91" s="17">
        <f t="shared" si="9"/>
        <v>48563.0</v>
      </c>
      <c r="H91" s="23">
        <f>'515652-07-12'!AS50+'515652-07-12'!AS51</f>
        <v>48563.0</v>
      </c>
      <c r="I91" s="17">
        <f>'515652-07-12'!D41</f>
        <v>0.0</v>
      </c>
      <c r="J91" s="21"/>
    </row>
    <row r="92" spans="8:8" ht="15.5">
      <c r="A92" s="18"/>
      <c r="B92" s="54"/>
      <c r="C92" s="54"/>
      <c r="D92" s="54"/>
      <c r="E92" s="42" t="s">
        <v>32</v>
      </c>
      <c r="F92" s="17">
        <f>'515652-07-12'!F47</f>
        <v>0.0</v>
      </c>
      <c r="G92" s="17">
        <f t="shared" si="9"/>
        <v>48563.0</v>
      </c>
      <c r="H92" s="23">
        <f>'515652-07-12'!AS56+'515652-07-12'!AS57</f>
        <v>48563.0</v>
      </c>
      <c r="I92" s="17">
        <f>'515652-07-12'!D47</f>
        <v>0.0</v>
      </c>
      <c r="J92" s="21"/>
    </row>
    <row r="93" spans="8:8" ht="16.25">
      <c r="A93" s="18"/>
      <c r="B93" s="15"/>
      <c r="C93" s="15"/>
      <c r="D93" s="15"/>
      <c r="E93" s="47" t="s">
        <v>33</v>
      </c>
      <c r="F93" s="43">
        <f>'515652-07-12'!F53</f>
        <v>40755.0</v>
      </c>
      <c r="G93" s="43">
        <f t="shared" si="9"/>
        <v>48563.0</v>
      </c>
      <c r="H93" s="44">
        <f>'515652-07-12'!AS59</f>
        <v>60000.0</v>
      </c>
      <c r="I93" s="43">
        <f>'515652-07-12'!E53</f>
        <v>29318.0</v>
      </c>
      <c r="J93" s="45"/>
    </row>
    <row r="94" spans="8:8" ht="15.75">
      <c r="A94" s="18"/>
      <c r="B94" s="52" t="s">
        <v>48</v>
      </c>
      <c r="C94" s="52" t="s">
        <v>15</v>
      </c>
      <c r="D94" s="52" t="s">
        <v>49</v>
      </c>
      <c r="E94" s="37" t="s">
        <v>28</v>
      </c>
      <c r="F94" s="28">
        <f>'515654-07-12'!F5</f>
        <v>0.0</v>
      </c>
      <c r="G94" s="28">
        <f>'515654-07-12'!AS6</f>
        <v>0.0</v>
      </c>
      <c r="H94" s="30">
        <f>'515654-07-12'!AS14+'515654-07-12'!AS15</f>
        <v>0.0</v>
      </c>
      <c r="I94" s="28">
        <f>'515654-07-12'!D5</f>
        <v>0.0</v>
      </c>
      <c r="J94" s="31"/>
    </row>
    <row r="95" spans="8:8" ht="15.5">
      <c r="A95" s="18"/>
      <c r="B95" s="53"/>
      <c r="C95" s="53"/>
      <c r="D95" s="53"/>
      <c r="E95" s="20" t="s">
        <v>18</v>
      </c>
      <c r="F95" s="33">
        <f>'515654-07-12'!F11</f>
        <v>0.0</v>
      </c>
      <c r="G95" s="33">
        <f t="shared" si="10" ref="G95:G102">H94</f>
        <v>0.0</v>
      </c>
      <c r="H95" s="35">
        <f>'515654-07-12'!AS20+'515654-07-12'!AS21</f>
        <v>168327.0</v>
      </c>
      <c r="I95" s="33">
        <f>'515654-07-12'!D11</f>
        <v>-168327.0</v>
      </c>
      <c r="J95" s="36"/>
    </row>
    <row r="96" spans="8:8" ht="15.5">
      <c r="A96" s="18"/>
      <c r="B96" s="53"/>
      <c r="C96" s="53"/>
      <c r="D96" s="53"/>
      <c r="E96" s="20" t="s">
        <v>19</v>
      </c>
      <c r="F96" s="33">
        <f>'515654-07-12'!F17</f>
        <v>11191.0</v>
      </c>
      <c r="G96" s="33">
        <f t="shared" si="10"/>
        <v>168327.0</v>
      </c>
      <c r="H96" s="35">
        <f>'515654-07-12'!AS26+'515654-07-12'!AS27</f>
        <v>179488.0</v>
      </c>
      <c r="I96" s="33">
        <f>'515654-07-12'!D17</f>
        <v>0.0</v>
      </c>
      <c r="J96" s="36"/>
    </row>
    <row r="97" spans="8:8" ht="15.5">
      <c r="A97" s="18"/>
      <c r="B97" s="54"/>
      <c r="C97" s="54"/>
      <c r="D97" s="54"/>
      <c r="E97" s="20" t="s">
        <v>20</v>
      </c>
      <c r="F97" s="17">
        <f>'515654-07-12'!F23</f>
        <v>25216.0</v>
      </c>
      <c r="G97" s="17">
        <f t="shared" si="10"/>
        <v>179488.0</v>
      </c>
      <c r="H97" s="23">
        <f>'515654-07-12'!AS32+'515654-07-12'!AS33</f>
        <v>204185.0</v>
      </c>
      <c r="I97" s="17">
        <f>'515654-07-12'!D23</f>
        <v>0.0</v>
      </c>
      <c r="J97" s="21"/>
    </row>
    <row r="98" spans="8:8" ht="15.5">
      <c r="A98" s="18"/>
      <c r="B98" s="54"/>
      <c r="C98" s="54"/>
      <c r="D98" s="54"/>
      <c r="E98" s="20" t="s">
        <v>21</v>
      </c>
      <c r="F98" s="17">
        <f>'515654-07-12'!F29</f>
        <v>0.0</v>
      </c>
      <c r="G98" s="17">
        <f t="shared" si="10"/>
        <v>204185.0</v>
      </c>
      <c r="H98" s="23">
        <f>'515654-07-12'!AS38+'515654-07-12'!AS39</f>
        <v>204110.0</v>
      </c>
      <c r="I98" s="17">
        <f>'515654-07-12'!D29</f>
        <v>0.0</v>
      </c>
      <c r="J98" s="21"/>
    </row>
    <row r="99" spans="8:8" ht="15.5">
      <c r="A99" s="18"/>
      <c r="B99" s="54"/>
      <c r="C99" s="54"/>
      <c r="D99" s="54"/>
      <c r="E99" s="20" t="s">
        <v>22</v>
      </c>
      <c r="F99" s="17">
        <f>'515654-07-12'!F35</f>
        <v>11903.0</v>
      </c>
      <c r="G99" s="17">
        <f t="shared" si="10"/>
        <v>204110.0</v>
      </c>
      <c r="H99" s="23">
        <f>'515654-07-12'!AS44+'515654-07-12'!AS45</f>
        <v>214795.0</v>
      </c>
      <c r="I99" s="17">
        <f>'515654-07-12'!D35</f>
        <v>0.0</v>
      </c>
      <c r="J99" s="21"/>
    </row>
    <row r="100" spans="8:8" ht="15.5">
      <c r="A100" s="18"/>
      <c r="B100" s="54"/>
      <c r="C100" s="54"/>
      <c r="D100" s="54"/>
      <c r="E100" s="20" t="s">
        <v>23</v>
      </c>
      <c r="F100" s="17">
        <f>'515654-07-12'!F41</f>
        <v>58071.0</v>
      </c>
      <c r="G100" s="17">
        <f t="shared" si="10"/>
        <v>214795.0</v>
      </c>
      <c r="H100" s="23">
        <f>'515654-07-12'!AS50+'515654-07-12'!AS51</f>
        <v>148230.0</v>
      </c>
      <c r="I100" s="17">
        <f>'515654-07-12'!D41</f>
        <v>124636.0</v>
      </c>
      <c r="J100" s="21"/>
    </row>
    <row r="101" spans="8:8" ht="15.5">
      <c r="A101" s="18"/>
      <c r="B101" s="54"/>
      <c r="C101" s="54"/>
      <c r="D101" s="54"/>
      <c r="E101" s="42" t="s">
        <v>32</v>
      </c>
      <c r="F101" s="17">
        <f>'515654-07-12'!F47</f>
        <v>0.0</v>
      </c>
      <c r="G101" s="17">
        <f t="shared" si="10"/>
        <v>148230.0</v>
      </c>
      <c r="H101" s="23">
        <f>'515654-07-12'!AS56+'515654-07-12'!AS57</f>
        <v>148230.0</v>
      </c>
      <c r="I101" s="17">
        <f>'515654-07-12'!D47</f>
        <v>0.0</v>
      </c>
      <c r="J101" s="21"/>
    </row>
    <row r="102" spans="8:8" ht="16.25">
      <c r="A102" s="18"/>
      <c r="B102" s="55"/>
      <c r="C102" s="55"/>
      <c r="D102" s="55"/>
      <c r="E102" s="47" t="s">
        <v>33</v>
      </c>
      <c r="F102" s="48">
        <f>'515654-07-12'!F53</f>
        <v>0.0</v>
      </c>
      <c r="G102" s="48">
        <f t="shared" si="10"/>
        <v>148230.0</v>
      </c>
      <c r="H102" s="49">
        <f>'515654-07-12'!AS59</f>
        <v>148032.0</v>
      </c>
      <c r="I102" s="48">
        <f>'515654-07-12'!E53</f>
        <v>0.0</v>
      </c>
      <c r="J102" s="50"/>
    </row>
    <row r="103" spans="8:8" ht="15.75">
      <c r="A103" s="18"/>
      <c r="B103" s="53" t="s">
        <v>50</v>
      </c>
      <c r="C103" s="53" t="s">
        <v>15</v>
      </c>
      <c r="D103" s="53" t="s">
        <v>51</v>
      </c>
      <c r="E103" s="37" t="s">
        <v>28</v>
      </c>
      <c r="F103" s="57">
        <f>'515655-07-12'!F5</f>
        <v>0.0</v>
      </c>
      <c r="G103" s="33">
        <f>'515655-07-12'!AS6</f>
        <v>0.0</v>
      </c>
      <c r="H103" s="35">
        <f>'515655-07-12'!AS14+'515655-07-12'!AS15</f>
        <v>0.0</v>
      </c>
      <c r="I103" s="33">
        <f>'515655-07-12'!D5</f>
        <v>0.0</v>
      </c>
      <c r="J103" s="36"/>
    </row>
    <row r="104" spans="8:8" ht="15.5">
      <c r="A104" s="18"/>
      <c r="B104" s="54"/>
      <c r="C104" s="54"/>
      <c r="D104" s="54"/>
      <c r="E104" s="20" t="s">
        <v>18</v>
      </c>
      <c r="F104" s="17">
        <f>'515655-07-12'!F11</f>
        <v>0.0</v>
      </c>
      <c r="G104" s="17">
        <f t="shared" si="11" ref="G104:G111">H103</f>
        <v>0.0</v>
      </c>
      <c r="H104" s="23">
        <f>'515655-07-12'!AS20+'515655-07-12'!AS21</f>
        <v>467742.0</v>
      </c>
      <c r="I104" s="17">
        <f>'515655-07-12'!D11</f>
        <v>-467742.0</v>
      </c>
      <c r="J104" s="21"/>
    </row>
    <row r="105" spans="8:8" ht="15.5">
      <c r="A105" s="18"/>
      <c r="B105" s="54"/>
      <c r="C105" s="54"/>
      <c r="D105" s="54"/>
      <c r="E105" s="20" t="s">
        <v>19</v>
      </c>
      <c r="F105" s="17">
        <f>'515655-07-12'!F17</f>
        <v>38045.0</v>
      </c>
      <c r="G105" s="17">
        <f t="shared" si="11"/>
        <v>467742.0</v>
      </c>
      <c r="H105" s="23">
        <f>'515655-07-12'!AS26+'515655-07-12'!AS27</f>
        <v>475352.0</v>
      </c>
      <c r="I105" s="17">
        <f>'515655-07-12'!D17</f>
        <v>30383.0</v>
      </c>
      <c r="J105" s="21"/>
    </row>
    <row r="106" spans="8:8" ht="15.5">
      <c r="A106" s="18"/>
      <c r="B106" s="54"/>
      <c r="C106" s="54"/>
      <c r="D106" s="54"/>
      <c r="E106" s="20" t="s">
        <v>20</v>
      </c>
      <c r="F106" s="17">
        <f>'515655-07-12'!F23</f>
        <v>32342.0</v>
      </c>
      <c r="G106" s="17">
        <f t="shared" si="11"/>
        <v>475352.0</v>
      </c>
      <c r="H106" s="23">
        <f>'515655-07-12'!AS32+'515655-07-12'!AS33</f>
        <v>392428.0</v>
      </c>
      <c r="I106" s="17">
        <f>'515655-07-12'!D23</f>
        <v>114300.0</v>
      </c>
      <c r="J106" s="21"/>
    </row>
    <row r="107" spans="8:8" ht="15.5">
      <c r="A107" s="18"/>
      <c r="B107" s="54"/>
      <c r="C107" s="54"/>
      <c r="D107" s="54"/>
      <c r="E107" s="20" t="s">
        <v>21</v>
      </c>
      <c r="F107" s="17">
        <f>'515655-07-12'!F29</f>
        <v>0.0</v>
      </c>
      <c r="G107" s="17">
        <f t="shared" si="11"/>
        <v>392428.0</v>
      </c>
      <c r="H107" s="23">
        <f>'515655-07-12'!AS38+'515655-07-12'!AS39</f>
        <v>392274.0</v>
      </c>
      <c r="I107" s="17">
        <f>'515655-07-12'!D29</f>
        <v>0.0</v>
      </c>
      <c r="J107" s="21"/>
    </row>
    <row r="108" spans="8:8" ht="15.5">
      <c r="A108" s="18"/>
      <c r="B108" s="54"/>
      <c r="C108" s="54"/>
      <c r="D108" s="54"/>
      <c r="E108" s="20" t="s">
        <v>22</v>
      </c>
      <c r="F108" s="17">
        <f>'515655-07-12'!F35</f>
        <v>20804.0</v>
      </c>
      <c r="G108" s="17">
        <f t="shared" si="11"/>
        <v>392274.0</v>
      </c>
      <c r="H108" s="23">
        <f>'515655-07-12'!AS44+'515655-07-12'!AS45</f>
        <v>411903.0</v>
      </c>
      <c r="I108" s="17">
        <f>'515655-07-12'!D35</f>
        <v>0.0</v>
      </c>
      <c r="J108" s="21"/>
    </row>
    <row r="109" spans="8:8" ht="15.5">
      <c r="A109" s="18"/>
      <c r="B109" s="54"/>
      <c r="C109" s="54"/>
      <c r="D109" s="54"/>
      <c r="E109" s="20" t="s">
        <v>23</v>
      </c>
      <c r="F109" s="17">
        <f>'515655-07-12'!F41</f>
        <v>100236.0</v>
      </c>
      <c r="G109" s="17">
        <f t="shared" si="11"/>
        <v>411903.0</v>
      </c>
      <c r="H109" s="23">
        <f>'515655-07-12'!AS50+'515655-07-12'!AS51</f>
        <v>246290.0</v>
      </c>
      <c r="I109" s="17">
        <f>'515655-07-12'!D41</f>
        <v>265849.0</v>
      </c>
      <c r="J109" s="21"/>
    </row>
    <row r="110" spans="8:8" ht="15.5">
      <c r="A110" s="18"/>
      <c r="B110" s="54"/>
      <c r="C110" s="54"/>
      <c r="D110" s="54"/>
      <c r="E110" s="42" t="s">
        <v>32</v>
      </c>
      <c r="F110" s="17">
        <f>'515655-07-12'!F47</f>
        <v>0.0</v>
      </c>
      <c r="G110" s="17">
        <f t="shared" si="11"/>
        <v>246290.0</v>
      </c>
      <c r="H110" s="23">
        <f>'515655-07-12'!AS56+'515655-07-12'!AS57</f>
        <v>246290.0</v>
      </c>
      <c r="I110" s="17">
        <f>'515655-07-12'!D47</f>
        <v>0.0</v>
      </c>
      <c r="J110" s="21"/>
    </row>
    <row r="111" spans="8:8" ht="16.25">
      <c r="A111" s="18"/>
      <c r="B111" s="15"/>
      <c r="C111" s="15"/>
      <c r="D111" s="15"/>
      <c r="E111" s="47" t="s">
        <v>33</v>
      </c>
      <c r="F111" s="43">
        <f>'515655-07-12'!F53</f>
        <v>0.0</v>
      </c>
      <c r="G111" s="43">
        <f t="shared" si="11"/>
        <v>246290.0</v>
      </c>
      <c r="H111" s="44">
        <f>'515655-07-12'!AS59</f>
        <v>245913.0</v>
      </c>
      <c r="I111" s="43">
        <f>'515655-07-12'!E53</f>
        <v>0.0</v>
      </c>
      <c r="J111" s="45"/>
    </row>
    <row r="112" spans="8:8" ht="15.75">
      <c r="A112" s="18"/>
      <c r="B112" s="52" t="s">
        <v>52</v>
      </c>
      <c r="C112" s="52" t="s">
        <v>15</v>
      </c>
      <c r="D112" s="52" t="s">
        <v>53</v>
      </c>
      <c r="E112" s="37" t="s">
        <v>28</v>
      </c>
      <c r="F112" s="28">
        <f>'515656-07-12'!F5</f>
        <v>0.0</v>
      </c>
      <c r="G112" s="28">
        <f>'515656-07-12'!AS6</f>
        <v>0.0</v>
      </c>
      <c r="H112" s="30">
        <f>'515656-07-12'!AS14+'515656-07-12'!AS15</f>
        <v>0.0</v>
      </c>
      <c r="I112" s="28">
        <f>'515656-07-12'!D5</f>
        <v>0.0</v>
      </c>
      <c r="J112" s="31"/>
    </row>
    <row r="113" spans="8:8" ht="15.5">
      <c r="A113" s="18"/>
      <c r="B113" s="54"/>
      <c r="C113" s="54"/>
      <c r="D113" s="54"/>
      <c r="E113" s="20" t="s">
        <v>18</v>
      </c>
      <c r="F113" s="17">
        <f>'515656-07-12'!F11</f>
        <v>0.0</v>
      </c>
      <c r="G113" s="17">
        <f t="shared" si="12" ref="G113:G120">H112</f>
        <v>0.0</v>
      </c>
      <c r="H113" s="23">
        <f>'515656-07-12'!AS20+'515656-07-12'!AS21</f>
        <v>131545.0</v>
      </c>
      <c r="I113" s="17">
        <f>'515656-07-12'!D11</f>
        <v>-131545.0</v>
      </c>
      <c r="J113" s="21"/>
    </row>
    <row r="114" spans="8:8" ht="15.5">
      <c r="A114" s="18"/>
      <c r="B114" s="54"/>
      <c r="C114" s="54"/>
      <c r="D114" s="54"/>
      <c r="E114" s="20" t="s">
        <v>19</v>
      </c>
      <c r="F114" s="17">
        <f>'515656-07-12'!F17</f>
        <v>40894.0</v>
      </c>
      <c r="G114" s="17">
        <f t="shared" si="12"/>
        <v>131545.0</v>
      </c>
      <c r="H114" s="23">
        <f>'515656-07-12'!AS26+'515656-07-12'!AS27</f>
        <v>143643.0</v>
      </c>
      <c r="I114" s="17">
        <f>'515656-07-12'!D17</f>
        <v>28773.0</v>
      </c>
      <c r="J114" s="21"/>
    </row>
    <row r="115" spans="8:8" ht="15.5">
      <c r="A115" s="18"/>
      <c r="B115" s="54"/>
      <c r="C115" s="54"/>
      <c r="D115" s="54"/>
      <c r="E115" s="20" t="s">
        <v>20</v>
      </c>
      <c r="F115" s="17">
        <f>'515656-07-12'!F23</f>
        <v>39908.0</v>
      </c>
      <c r="G115" s="17">
        <f t="shared" si="12"/>
        <v>143643.0</v>
      </c>
      <c r="H115" s="23">
        <f>'515656-07-12'!AS32+'515656-07-12'!AS33</f>
        <v>107413.0</v>
      </c>
      <c r="I115" s="17">
        <f>'515656-07-12'!D23</f>
        <v>75867.0</v>
      </c>
      <c r="J115" s="21"/>
    </row>
    <row r="116" spans="8:8" ht="15.5">
      <c r="A116" s="18"/>
      <c r="B116" s="54"/>
      <c r="C116" s="54"/>
      <c r="D116" s="54"/>
      <c r="E116" s="20" t="s">
        <v>21</v>
      </c>
      <c r="F116" s="17">
        <f>'515656-07-12'!F29</f>
        <v>0.0</v>
      </c>
      <c r="G116" s="17">
        <f t="shared" si="12"/>
        <v>107413.0</v>
      </c>
      <c r="H116" s="23">
        <f>'515656-07-12'!AS38+'515656-07-12'!AS39</f>
        <v>95307.0</v>
      </c>
      <c r="I116" s="17">
        <f>'515656-07-12'!D29</f>
        <v>0.0</v>
      </c>
      <c r="J116" s="21"/>
    </row>
    <row r="117" spans="8:8" ht="15.5">
      <c r="A117" s="18"/>
      <c r="B117" s="54"/>
      <c r="C117" s="54"/>
      <c r="D117" s="54"/>
      <c r="E117" s="20" t="s">
        <v>22</v>
      </c>
      <c r="F117" s="17">
        <f>'515656-07-12'!F35</f>
        <v>9062.0</v>
      </c>
      <c r="G117" s="17">
        <f t="shared" si="12"/>
        <v>95307.0</v>
      </c>
      <c r="H117" s="23">
        <f>'515656-07-12'!AS44+'515656-07-12'!AS45</f>
        <v>104339.0</v>
      </c>
      <c r="I117" s="17">
        <f>'515656-07-12'!D35</f>
        <v>0.0</v>
      </c>
      <c r="J117" s="21"/>
    </row>
    <row r="118" spans="8:8" ht="15.5">
      <c r="A118" s="18"/>
      <c r="B118" s="54"/>
      <c r="C118" s="54"/>
      <c r="D118" s="54"/>
      <c r="E118" s="20" t="s">
        <v>23</v>
      </c>
      <c r="F118" s="17">
        <f>'515656-07-12'!F41</f>
        <v>54787.0</v>
      </c>
      <c r="G118" s="17">
        <f t="shared" si="12"/>
        <v>104339.0</v>
      </c>
      <c r="H118" s="23">
        <f>'515656-07-12'!AS50+'515656-07-12'!AS51</f>
        <v>135241.0</v>
      </c>
      <c r="I118" s="17">
        <f>'515656-07-12'!D41</f>
        <v>23885.0</v>
      </c>
      <c r="J118" s="21"/>
    </row>
    <row r="119" spans="8:8" ht="15.5">
      <c r="A119" s="18"/>
      <c r="B119" s="54"/>
      <c r="C119" s="54"/>
      <c r="D119" s="54"/>
      <c r="E119" s="42" t="s">
        <v>32</v>
      </c>
      <c r="F119" s="17">
        <f>'515656-07-12'!F47</f>
        <v>0.0</v>
      </c>
      <c r="G119" s="17">
        <f t="shared" si="12"/>
        <v>135241.0</v>
      </c>
      <c r="H119" s="23">
        <f>'515656-07-12'!AS56+'515656-07-12'!AS57</f>
        <v>135241.0</v>
      </c>
      <c r="I119" s="17">
        <f>'515656-07-12'!D47</f>
        <v>0.0</v>
      </c>
      <c r="J119" s="21"/>
    </row>
    <row r="120" spans="8:8" ht="16.25">
      <c r="A120" s="18"/>
      <c r="B120" s="55"/>
      <c r="C120" s="55"/>
      <c r="D120" s="55"/>
      <c r="E120" s="47" t="s">
        <v>33</v>
      </c>
      <c r="F120" s="48">
        <f>'515656-07-12'!F53</f>
        <v>0.0</v>
      </c>
      <c r="G120" s="48">
        <f t="shared" si="12"/>
        <v>135241.0</v>
      </c>
      <c r="H120" s="49">
        <f>'515656-07-12'!AS59</f>
        <v>133205.0</v>
      </c>
      <c r="I120" s="48">
        <f>'515656-07-12'!E53</f>
        <v>0.0</v>
      </c>
      <c r="J120" s="50"/>
    </row>
    <row r="121" spans="8:8" ht="15.75">
      <c r="A121" s="18"/>
      <c r="B121" s="53" t="s">
        <v>54</v>
      </c>
      <c r="C121" s="53" t="s">
        <v>55</v>
      </c>
      <c r="D121" s="53" t="s">
        <v>56</v>
      </c>
      <c r="E121" s="37" t="s">
        <v>28</v>
      </c>
      <c r="F121" s="33">
        <f>'549396-07-12'!F5</f>
        <v>0.0</v>
      </c>
      <c r="G121" s="33">
        <f>'549396-07-12'!AS6</f>
        <v>0.0</v>
      </c>
      <c r="H121" s="33">
        <f>'549396-07-12'!AS14+'549396-07-12'!AS15</f>
        <v>0.0</v>
      </c>
      <c r="I121" s="33">
        <f>'549396-07-12'!D5</f>
        <v>0.0</v>
      </c>
      <c r="J121" s="36"/>
    </row>
    <row r="122" spans="8:8" ht="15.5">
      <c r="A122" s="18"/>
      <c r="B122" s="54"/>
      <c r="C122" s="54"/>
      <c r="D122" s="54"/>
      <c r="E122" s="20" t="s">
        <v>18</v>
      </c>
      <c r="F122" s="17">
        <f>'549396-07-12'!F11</f>
        <v>0.0</v>
      </c>
      <c r="G122" s="17">
        <f t="shared" si="13" ref="G122:G129">H121</f>
        <v>0.0</v>
      </c>
      <c r="H122" s="17">
        <f>'549396-07-12'!AS20+'549396-07-12'!AS21</f>
        <v>0.0</v>
      </c>
      <c r="I122" s="17">
        <f>'549396-07-12'!D11</f>
        <v>0.0</v>
      </c>
      <c r="J122" s="21"/>
    </row>
    <row r="123" spans="8:8" ht="15.5">
      <c r="A123" s="18"/>
      <c r="B123" s="54"/>
      <c r="C123" s="54"/>
      <c r="D123" s="54"/>
      <c r="E123" s="20" t="s">
        <v>19</v>
      </c>
      <c r="F123" s="17">
        <f>'549396-07-12'!F17</f>
        <v>0.0</v>
      </c>
      <c r="G123" s="17">
        <f t="shared" si="13"/>
        <v>0.0</v>
      </c>
      <c r="H123" s="17">
        <f>'549396-07-12'!AS26+'549396-07-12'!AS27</f>
        <v>0.0</v>
      </c>
      <c r="I123" s="17">
        <f>'549396-07-12'!D17</f>
        <v>0.0</v>
      </c>
      <c r="J123" s="21"/>
    </row>
    <row r="124" spans="8:8" ht="15.5">
      <c r="A124" s="18"/>
      <c r="B124" s="54"/>
      <c r="C124" s="54"/>
      <c r="D124" s="54"/>
      <c r="E124" s="20" t="s">
        <v>20</v>
      </c>
      <c r="F124" s="17">
        <f>'549396-07-12'!F23</f>
        <v>0.0</v>
      </c>
      <c r="G124" s="17">
        <f t="shared" si="13"/>
        <v>0.0</v>
      </c>
      <c r="H124" s="17">
        <f>'549396-07-12'!AS32+'549396-07-12'!AS33</f>
        <v>0.0</v>
      </c>
      <c r="I124" s="17">
        <f>'549396-07-12'!D23</f>
        <v>0.0</v>
      </c>
      <c r="J124" s="21"/>
    </row>
    <row r="125" spans="8:8" ht="15.5">
      <c r="A125" s="18"/>
      <c r="B125" s="54"/>
      <c r="C125" s="54"/>
      <c r="D125" s="54"/>
      <c r="E125" s="20" t="s">
        <v>21</v>
      </c>
      <c r="F125" s="17">
        <f>'549396-07-12'!F29</f>
        <v>0.0</v>
      </c>
      <c r="G125" s="17">
        <f t="shared" si="13"/>
        <v>0.0</v>
      </c>
      <c r="H125" s="17">
        <f>'549396-07-12'!AS38+'549396-07-12'!AS39</f>
        <v>0.0</v>
      </c>
      <c r="I125" s="17">
        <f>'549396-07-12'!D29</f>
        <v>0.0</v>
      </c>
      <c r="J125" s="21"/>
    </row>
    <row r="126" spans="8:8" ht="15.5">
      <c r="A126" s="18"/>
      <c r="B126" s="54"/>
      <c r="C126" s="54"/>
      <c r="D126" s="54"/>
      <c r="E126" s="20" t="s">
        <v>22</v>
      </c>
      <c r="F126" s="17">
        <f>'549396-07-12'!F35</f>
        <v>0.0</v>
      </c>
      <c r="G126" s="17">
        <f t="shared" si="13"/>
        <v>0.0</v>
      </c>
      <c r="H126" s="17">
        <f>'549396-07-12'!AS44+'549396-07-12'!AS45</f>
        <v>0.0</v>
      </c>
      <c r="I126" s="17">
        <f>'549396-07-12'!D35</f>
        <v>0.0</v>
      </c>
      <c r="J126" s="21"/>
    </row>
    <row r="127" spans="8:8" ht="15.5">
      <c r="A127" s="18"/>
      <c r="B127" s="54"/>
      <c r="C127" s="54"/>
      <c r="D127" s="54"/>
      <c r="E127" s="20" t="s">
        <v>23</v>
      </c>
      <c r="F127" s="17">
        <f>'549396-07-12'!F41</f>
        <v>0.0</v>
      </c>
      <c r="G127" s="17">
        <f t="shared" si="13"/>
        <v>0.0</v>
      </c>
      <c r="H127" s="17">
        <f>'549396-07-12'!AS50+'549396-07-12'!AS51</f>
        <v>0.0</v>
      </c>
      <c r="I127" s="17">
        <f>'549396-07-12'!D41</f>
        <v>0.0</v>
      </c>
      <c r="J127" s="21"/>
    </row>
    <row r="128" spans="8:8" ht="15.5">
      <c r="A128" s="18"/>
      <c r="B128" s="54"/>
      <c r="C128" s="54"/>
      <c r="D128" s="54"/>
      <c r="E128" s="42" t="s">
        <v>32</v>
      </c>
      <c r="F128" s="17">
        <f>'549396-07-12'!F47</f>
        <v>0.0</v>
      </c>
      <c r="G128" s="17">
        <f t="shared" si="13"/>
        <v>0.0</v>
      </c>
      <c r="H128" s="17">
        <f>'549396-07-12'!AS56+'549396-07-12'!AS57</f>
        <v>0.0</v>
      </c>
      <c r="I128" s="17">
        <f>'549396-07-12'!D47</f>
        <v>0.0</v>
      </c>
      <c r="J128" s="21"/>
    </row>
    <row r="129" spans="8:8" ht="16.25">
      <c r="A129" s="58"/>
      <c r="B129" s="55"/>
      <c r="C129" s="55"/>
      <c r="D129" s="55"/>
      <c r="E129" s="47" t="s">
        <v>33</v>
      </c>
      <c r="F129" s="48">
        <f>'549396-07-12'!F53</f>
        <v>0.0</v>
      </c>
      <c r="G129" s="48">
        <f t="shared" si="13"/>
        <v>0.0</v>
      </c>
      <c r="H129" s="48">
        <f>'549396-07-12'!AS59</f>
        <v>0.0</v>
      </c>
      <c r="I129" s="48">
        <f>'549396-07-12'!E53</f>
        <v>0.0</v>
      </c>
      <c r="J129" s="50"/>
    </row>
    <row r="130" spans="8:8" ht="15.25"/>
  </sheetData>
  <mergeCells count="45">
    <mergeCell ref="A1:J1"/>
    <mergeCell ref="B4:B12"/>
    <mergeCell ref="B13:B21"/>
    <mergeCell ref="B22:B30"/>
    <mergeCell ref="B31:B39"/>
    <mergeCell ref="C112:C120"/>
    <mergeCell ref="B85:B93"/>
    <mergeCell ref="A4:A129"/>
    <mergeCell ref="B94:B102"/>
    <mergeCell ref="B103:B111"/>
    <mergeCell ref="B112:B120"/>
    <mergeCell ref="B121:B129"/>
    <mergeCell ref="A2:C2"/>
    <mergeCell ref="B67:B75"/>
    <mergeCell ref="C40:C48"/>
    <mergeCell ref="D112:D120"/>
    <mergeCell ref="C121:C129"/>
    <mergeCell ref="D121:D129"/>
    <mergeCell ref="C49:C57"/>
    <mergeCell ref="C85:C93"/>
    <mergeCell ref="C76:C84"/>
    <mergeCell ref="C58:C66"/>
    <mergeCell ref="C103:C111"/>
    <mergeCell ref="C4:C12"/>
    <mergeCell ref="B49:B57"/>
    <mergeCell ref="D4:D12"/>
    <mergeCell ref="D13:D21"/>
    <mergeCell ref="D94:D102"/>
    <mergeCell ref="D31:D39"/>
    <mergeCell ref="C67:C75"/>
    <mergeCell ref="D40:D48"/>
    <mergeCell ref="D58:D66"/>
    <mergeCell ref="D103:D111"/>
    <mergeCell ref="D67:D75"/>
    <mergeCell ref="B40:B48"/>
    <mergeCell ref="D22:D30"/>
    <mergeCell ref="B76:B84"/>
    <mergeCell ref="C13:C21"/>
    <mergeCell ref="C22:C30"/>
    <mergeCell ref="D85:D93"/>
    <mergeCell ref="D76:D84"/>
    <mergeCell ref="D49:D57"/>
    <mergeCell ref="C94:C102"/>
    <mergeCell ref="B58:B66"/>
    <mergeCell ref="C31:C39"/>
  </mergeCells>
  <pageMargins left="0.75" right="0.75" top="1.0" bottom="1.0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5" state="frozen" activePane="bottomRight"/>
      <selection pane="bottomRight" activeCell="S19" sqref="S19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0.707031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515645-07-12 
SUP11C, T30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277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182">
        <v>-10243.0</v>
      </c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4">
        <f>SUM(N6:AR6)</f>
        <v>-10243.0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182">
        <f>N6-N8-N9</f>
        <v>0.0</v>
      </c>
      <c r="O7" s="278">
        <f t="shared" si="0" ref="N7:AR7">O6-O8-O9</f>
        <v>0.0</v>
      </c>
      <c r="P7" s="278">
        <f t="shared" si="0"/>
        <v>0.0</v>
      </c>
      <c r="Q7" s="182">
        <f t="shared" si="0"/>
        <v>0.0</v>
      </c>
      <c r="R7" s="182">
        <f t="shared" si="0"/>
        <v>0.0</v>
      </c>
      <c r="S7" s="182">
        <f t="shared" si="0"/>
        <v>0.0</v>
      </c>
      <c r="T7" s="182">
        <f t="shared" si="0"/>
        <v>0.0</v>
      </c>
      <c r="U7" s="182">
        <f t="shared" si="0"/>
        <v>0.0</v>
      </c>
      <c r="V7" s="182">
        <f t="shared" si="0"/>
        <v>0.0</v>
      </c>
      <c r="W7" s="182">
        <f t="shared" si="0"/>
        <v>0.0</v>
      </c>
      <c r="X7" s="182">
        <f t="shared" si="0"/>
        <v>0.0</v>
      </c>
      <c r="Y7" s="182">
        <f t="shared" si="0"/>
        <v>0.0</v>
      </c>
      <c r="Z7" s="182">
        <f t="shared" si="0"/>
        <v>0.0</v>
      </c>
      <c r="AA7" s="182">
        <f t="shared" si="0"/>
        <v>0.0</v>
      </c>
      <c r="AB7" s="182">
        <f t="shared" si="0"/>
        <v>0.0</v>
      </c>
      <c r="AC7" s="182">
        <f t="shared" si="0"/>
        <v>0.0</v>
      </c>
      <c r="AD7" s="182">
        <f t="shared" si="0"/>
        <v>0.0</v>
      </c>
      <c r="AE7" s="182">
        <f t="shared" si="0"/>
        <v>0.0</v>
      </c>
      <c r="AF7" s="182">
        <f t="shared" si="0"/>
        <v>0.0</v>
      </c>
      <c r="AG7" s="182">
        <f t="shared" si="0"/>
        <v>0.0</v>
      </c>
      <c r="AH7" s="182">
        <f t="shared" si="0"/>
        <v>0.0</v>
      </c>
      <c r="AI7" s="182">
        <f t="shared" si="0"/>
        <v>0.0</v>
      </c>
      <c r="AJ7" s="182">
        <f t="shared" si="0"/>
        <v>0.0</v>
      </c>
      <c r="AK7" s="182">
        <f t="shared" si="0"/>
        <v>0.0</v>
      </c>
      <c r="AL7" s="182">
        <f t="shared" si="0"/>
        <v>0.0</v>
      </c>
      <c r="AM7" s="182">
        <f t="shared" si="0"/>
        <v>0.0</v>
      </c>
      <c r="AN7" s="182">
        <f t="shared" si="0"/>
        <v>0.0</v>
      </c>
      <c r="AO7" s="182">
        <f t="shared" si="0"/>
        <v>0.0</v>
      </c>
      <c r="AP7" s="182">
        <f t="shared" si="0"/>
        <v>0.0</v>
      </c>
      <c r="AQ7" s="182">
        <f t="shared" si="0"/>
        <v>0.0</v>
      </c>
      <c r="AR7" s="182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182">
        <v>-10243.0</v>
      </c>
      <c r="O8" s="182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189">
        <f t="shared" si="1" ref="AS8:AS15">SUM(N8:AR8)</f>
        <v>-10243.0</v>
      </c>
      <c r="AT8" s="190">
        <f>(AS8/(AS6-AS7))*100%</f>
        <v>1.0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192">
        <v>0.0</v>
      </c>
      <c r="O9" s="192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3"/>
      <c r="AR9" s="303"/>
      <c r="AS9" s="184">
        <f t="shared" si="1"/>
        <v>0.0</v>
      </c>
      <c r="AT9" s="193">
        <f>(AS9/(AS6-AS7))*100%</f>
        <v>0.0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206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4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0.0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5"/>
      <c r="AM11" s="165"/>
      <c r="AN11" s="165"/>
      <c r="AO11" s="165"/>
      <c r="AP11" s="165"/>
      <c r="AQ11" s="165"/>
      <c r="AR11" s="165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182">
        <v>-10243.0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212">
        <f t="shared" si="1"/>
        <v>-10243.0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182">
        <f>N12-N14-N15</f>
        <v>0.0</v>
      </c>
      <c r="O13" s="278">
        <f t="shared" si="2" ref="N13:AR13">O12-O14-O15</f>
        <v>0.0</v>
      </c>
      <c r="P13" s="278">
        <f t="shared" si="2"/>
        <v>0.0</v>
      </c>
      <c r="Q13" s="182">
        <f t="shared" si="2"/>
        <v>0.0</v>
      </c>
      <c r="R13" s="182">
        <f t="shared" si="2"/>
        <v>0.0</v>
      </c>
      <c r="S13" s="182">
        <f t="shared" si="2"/>
        <v>0.0</v>
      </c>
      <c r="T13" s="182">
        <f t="shared" si="2"/>
        <v>0.0</v>
      </c>
      <c r="U13" s="182">
        <f t="shared" si="2"/>
        <v>0.0</v>
      </c>
      <c r="V13" s="182">
        <f t="shared" si="2"/>
        <v>0.0</v>
      </c>
      <c r="W13" s="182">
        <f t="shared" si="2"/>
        <v>0.0</v>
      </c>
      <c r="X13" s="182">
        <f t="shared" si="2"/>
        <v>0.0</v>
      </c>
      <c r="Y13" s="182">
        <f t="shared" si="2"/>
        <v>0.0</v>
      </c>
      <c r="Z13" s="182">
        <f t="shared" si="2"/>
        <v>0.0</v>
      </c>
      <c r="AA13" s="182">
        <f t="shared" si="2"/>
        <v>0.0</v>
      </c>
      <c r="AB13" s="182">
        <f t="shared" si="2"/>
        <v>0.0</v>
      </c>
      <c r="AC13" s="182">
        <f t="shared" si="2"/>
        <v>0.0</v>
      </c>
      <c r="AD13" s="182">
        <f t="shared" si="2"/>
        <v>0.0</v>
      </c>
      <c r="AE13" s="182">
        <f t="shared" si="2"/>
        <v>0.0</v>
      </c>
      <c r="AF13" s="182">
        <f t="shared" si="2"/>
        <v>0.0</v>
      </c>
      <c r="AG13" s="182">
        <f t="shared" si="2"/>
        <v>0.0</v>
      </c>
      <c r="AH13" s="182">
        <f t="shared" si="2"/>
        <v>0.0</v>
      </c>
      <c r="AI13" s="182">
        <f t="shared" si="2"/>
        <v>0.0</v>
      </c>
      <c r="AJ13" s="182">
        <f t="shared" si="2"/>
        <v>0.0</v>
      </c>
      <c r="AK13" s="182">
        <f t="shared" si="2"/>
        <v>0.0</v>
      </c>
      <c r="AL13" s="182">
        <f t="shared" si="2"/>
        <v>0.0</v>
      </c>
      <c r="AM13" s="182">
        <f t="shared" si="2"/>
        <v>0.0</v>
      </c>
      <c r="AN13" s="182">
        <f t="shared" si="2"/>
        <v>0.0</v>
      </c>
      <c r="AO13" s="182">
        <f t="shared" si="2"/>
        <v>0.0</v>
      </c>
      <c r="AP13" s="182">
        <f t="shared" si="2"/>
        <v>0.0</v>
      </c>
      <c r="AQ13" s="182">
        <f t="shared" si="2"/>
        <v>0.0</v>
      </c>
      <c r="AR13" s="182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182">
        <v>-10243.0</v>
      </c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4">
        <f t="shared" si="1"/>
        <v>-10243.0</v>
      </c>
      <c r="AT14" s="190">
        <f>(AS14/(AS12-AS13))*100%</f>
        <v>1.0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192">
        <v>0.0</v>
      </c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215">
        <f t="shared" si="1"/>
        <v>0.0</v>
      </c>
      <c r="AT15" s="193">
        <f>(AS15/(AS12-AS13))*100%</f>
        <v>0.0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206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4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10243.0</v>
      </c>
      <c r="G17" s="218">
        <v>44197.0</v>
      </c>
      <c r="H17" s="158"/>
      <c r="I17" s="159"/>
      <c r="J17" s="160"/>
      <c r="K17" s="161"/>
      <c r="L17" s="162"/>
      <c r="M17" s="163" t="s">
        <v>130</v>
      </c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2">
        <v>-10243.0</v>
      </c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212">
        <f t="shared" si="3" ref="AS18:AS21">SUM(N18:AR18)</f>
        <v>-10243.0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2">
        <f t="shared" si="4" ref="N19:AR19">N18-N20-N21</f>
        <v>0.0</v>
      </c>
      <c r="O19" s="278">
        <f t="shared" si="4"/>
        <v>0.0</v>
      </c>
      <c r="P19" s="278">
        <f t="shared" si="4"/>
        <v>0.0</v>
      </c>
      <c r="Q19" s="182">
        <f t="shared" si="4"/>
        <v>0.0</v>
      </c>
      <c r="R19" s="182">
        <f t="shared" si="4"/>
        <v>0.0</v>
      </c>
      <c r="S19" s="182">
        <f t="shared" si="4"/>
        <v>0.0</v>
      </c>
      <c r="T19" s="182">
        <f t="shared" si="4"/>
        <v>0.0</v>
      </c>
      <c r="U19" s="182">
        <f t="shared" si="4"/>
        <v>0.0</v>
      </c>
      <c r="V19" s="182">
        <f t="shared" si="4"/>
        <v>0.0</v>
      </c>
      <c r="W19" s="182">
        <f t="shared" si="4"/>
        <v>0.0</v>
      </c>
      <c r="X19" s="182">
        <f t="shared" si="4"/>
        <v>0.0</v>
      </c>
      <c r="Y19" s="182">
        <f t="shared" si="4"/>
        <v>0.0</v>
      </c>
      <c r="Z19" s="182">
        <f t="shared" si="4"/>
        <v>0.0</v>
      </c>
      <c r="AA19" s="182">
        <f t="shared" si="4"/>
        <v>0.0</v>
      </c>
      <c r="AB19" s="182">
        <f t="shared" si="4"/>
        <v>0.0</v>
      </c>
      <c r="AC19" s="182">
        <f t="shared" si="4"/>
        <v>0.0</v>
      </c>
      <c r="AD19" s="182">
        <f t="shared" si="4"/>
        <v>0.0</v>
      </c>
      <c r="AE19" s="182">
        <f t="shared" si="4"/>
        <v>0.0</v>
      </c>
      <c r="AF19" s="182">
        <f t="shared" si="4"/>
        <v>0.0</v>
      </c>
      <c r="AG19" s="182">
        <f t="shared" si="4"/>
        <v>0.0</v>
      </c>
      <c r="AH19" s="182">
        <f t="shared" si="4"/>
        <v>0.0</v>
      </c>
      <c r="AI19" s="182">
        <f t="shared" si="4"/>
        <v>0.0</v>
      </c>
      <c r="AJ19" s="182">
        <f t="shared" si="4"/>
        <v>0.0</v>
      </c>
      <c r="AK19" s="182">
        <f t="shared" si="4"/>
        <v>0.0</v>
      </c>
      <c r="AL19" s="182">
        <f t="shared" si="4"/>
        <v>0.0</v>
      </c>
      <c r="AM19" s="182">
        <f t="shared" si="4"/>
        <v>0.0</v>
      </c>
      <c r="AN19" s="182">
        <f t="shared" si="4"/>
        <v>0.0</v>
      </c>
      <c r="AO19" s="182">
        <f t="shared" si="4"/>
        <v>0.0</v>
      </c>
      <c r="AP19" s="182">
        <f t="shared" si="4"/>
        <v>0.0</v>
      </c>
      <c r="AQ19" s="182">
        <f t="shared" si="4"/>
        <v>0.0</v>
      </c>
      <c r="AR19" s="182">
        <f t="shared" si="4"/>
        <v>0.0</v>
      </c>
      <c r="AS19" s="214">
        <f t="shared" si="3"/>
        <v>0.0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2">
        <v>-10243.0</v>
      </c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4">
        <f t="shared" si="3"/>
        <v>-10243.0</v>
      </c>
      <c r="AT20" s="190">
        <f>(AS20/(AS18-AS19))*100%</f>
        <v>1.0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192">
        <v>0.0</v>
      </c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215">
        <f t="shared" si="3"/>
        <v>0.0</v>
      </c>
      <c r="AT21" s="193">
        <f>(AS21/(AS18-AS19))*100%</f>
        <v>0.0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206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4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0.0</v>
      </c>
      <c r="E23" s="155"/>
      <c r="F23" s="156">
        <v>0.0</v>
      </c>
      <c r="G23" s="218"/>
      <c r="H23" s="158"/>
      <c r="I23" s="159"/>
      <c r="J23" s="160"/>
      <c r="K23" s="161"/>
      <c r="L23" s="162"/>
      <c r="M23" s="163" t="s">
        <v>130</v>
      </c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6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212">
        <f t="shared" si="5" ref="AS24:AS27">SUM(N24:AR24)</f>
        <v>0.0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182">
        <f t="shared" si="6" ref="N25:AR25">N24-N26-N27</f>
        <v>0.0</v>
      </c>
      <c r="O25" s="278">
        <f t="shared" si="6"/>
        <v>0.0</v>
      </c>
      <c r="P25" s="278">
        <f t="shared" si="6"/>
        <v>0.0</v>
      </c>
      <c r="Q25" s="182">
        <f t="shared" si="6"/>
        <v>0.0</v>
      </c>
      <c r="R25" s="182">
        <f t="shared" si="6"/>
        <v>0.0</v>
      </c>
      <c r="S25" s="182">
        <f t="shared" si="6"/>
        <v>0.0</v>
      </c>
      <c r="T25" s="182">
        <f t="shared" si="6"/>
        <v>0.0</v>
      </c>
      <c r="U25" s="182">
        <f t="shared" si="6"/>
        <v>0.0</v>
      </c>
      <c r="V25" s="182">
        <f t="shared" si="6"/>
        <v>0.0</v>
      </c>
      <c r="W25" s="182">
        <f t="shared" si="6"/>
        <v>0.0</v>
      </c>
      <c r="X25" s="182">
        <f t="shared" si="6"/>
        <v>0.0</v>
      </c>
      <c r="Y25" s="182">
        <f t="shared" si="6"/>
        <v>0.0</v>
      </c>
      <c r="Z25" s="182">
        <f t="shared" si="6"/>
        <v>0.0</v>
      </c>
      <c r="AA25" s="182">
        <f t="shared" si="6"/>
        <v>0.0</v>
      </c>
      <c r="AB25" s="182">
        <f t="shared" si="6"/>
        <v>0.0</v>
      </c>
      <c r="AC25" s="182">
        <f t="shared" si="6"/>
        <v>0.0</v>
      </c>
      <c r="AD25" s="182">
        <f t="shared" si="6"/>
        <v>0.0</v>
      </c>
      <c r="AE25" s="182">
        <f t="shared" si="6"/>
        <v>0.0</v>
      </c>
      <c r="AF25" s="182">
        <f t="shared" si="6"/>
        <v>0.0</v>
      </c>
      <c r="AG25" s="182">
        <f t="shared" si="6"/>
        <v>0.0</v>
      </c>
      <c r="AH25" s="182">
        <f t="shared" si="6"/>
        <v>0.0</v>
      </c>
      <c r="AI25" s="182">
        <f t="shared" si="6"/>
        <v>0.0</v>
      </c>
      <c r="AJ25" s="182">
        <f t="shared" si="6"/>
        <v>0.0</v>
      </c>
      <c r="AK25" s="182">
        <f t="shared" si="6"/>
        <v>0.0</v>
      </c>
      <c r="AL25" s="182">
        <f t="shared" si="6"/>
        <v>0.0</v>
      </c>
      <c r="AM25" s="182">
        <f t="shared" si="6"/>
        <v>0.0</v>
      </c>
      <c r="AN25" s="182">
        <f t="shared" si="6"/>
        <v>0.0</v>
      </c>
      <c r="AO25" s="182">
        <f t="shared" si="6"/>
        <v>0.0</v>
      </c>
      <c r="AP25" s="182">
        <f t="shared" si="6"/>
        <v>0.0</v>
      </c>
      <c r="AQ25" s="182">
        <f t="shared" si="6"/>
        <v>0.0</v>
      </c>
      <c r="AR25" s="182">
        <f t="shared" si="6"/>
        <v>0.0</v>
      </c>
      <c r="AS25" s="214">
        <f t="shared" si="5"/>
        <v>0.0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4">
        <f t="shared" si="5"/>
        <v>0.0</v>
      </c>
      <c r="AT26" s="190" t="e">
        <f>(AS26/(AS24-AS25))*100%</f>
        <v>#DIV/0!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215">
        <f t="shared" si="5"/>
        <v>0.0</v>
      </c>
      <c r="AT27" s="193" t="e">
        <f>(AS27/(AS24-AS25))*100%</f>
        <v>#DIV/0!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206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4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218"/>
      <c r="H29" s="158"/>
      <c r="I29" s="159"/>
      <c r="J29" s="160"/>
      <c r="K29" s="161"/>
      <c r="L29" s="162"/>
      <c r="M29" s="163" t="s">
        <v>130</v>
      </c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5"/>
      <c r="AE29" s="165"/>
      <c r="AF29" s="164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225"/>
      <c r="AM30" s="183"/>
      <c r="AN30" s="183"/>
      <c r="AO30" s="183"/>
      <c r="AP30" s="183"/>
      <c r="AQ30" s="183"/>
      <c r="AR30" s="183"/>
      <c r="AS30" s="212">
        <f>SUM(N30:AR30)</f>
        <v>0.0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182">
        <f t="shared" si="7" ref="N31:AR31">N30-N32-N33</f>
        <v>0.0</v>
      </c>
      <c r="O31" s="278">
        <f t="shared" si="7"/>
        <v>0.0</v>
      </c>
      <c r="P31" s="278">
        <f t="shared" si="7"/>
        <v>0.0</v>
      </c>
      <c r="Q31" s="182">
        <f t="shared" si="7"/>
        <v>0.0</v>
      </c>
      <c r="R31" s="182">
        <f t="shared" si="7"/>
        <v>0.0</v>
      </c>
      <c r="S31" s="182">
        <f t="shared" si="7"/>
        <v>0.0</v>
      </c>
      <c r="T31" s="182">
        <f t="shared" si="7"/>
        <v>0.0</v>
      </c>
      <c r="U31" s="182">
        <f t="shared" si="7"/>
        <v>0.0</v>
      </c>
      <c r="V31" s="182">
        <f t="shared" si="7"/>
        <v>0.0</v>
      </c>
      <c r="W31" s="182">
        <f t="shared" si="7"/>
        <v>0.0</v>
      </c>
      <c r="X31" s="182">
        <f t="shared" si="7"/>
        <v>0.0</v>
      </c>
      <c r="Y31" s="182">
        <f t="shared" si="7"/>
        <v>0.0</v>
      </c>
      <c r="Z31" s="182">
        <f t="shared" si="7"/>
        <v>0.0</v>
      </c>
      <c r="AA31" s="182">
        <f t="shared" si="7"/>
        <v>0.0</v>
      </c>
      <c r="AB31" s="182">
        <f t="shared" si="7"/>
        <v>0.0</v>
      </c>
      <c r="AC31" s="182">
        <f t="shared" si="7"/>
        <v>0.0</v>
      </c>
      <c r="AD31" s="182">
        <f t="shared" si="7"/>
        <v>0.0</v>
      </c>
      <c r="AE31" s="182">
        <f t="shared" si="7"/>
        <v>0.0</v>
      </c>
      <c r="AF31" s="182">
        <f t="shared" si="7"/>
        <v>0.0</v>
      </c>
      <c r="AG31" s="182">
        <f t="shared" si="7"/>
        <v>0.0</v>
      </c>
      <c r="AH31" s="182">
        <f t="shared" si="7"/>
        <v>0.0</v>
      </c>
      <c r="AI31" s="182">
        <f t="shared" si="7"/>
        <v>0.0</v>
      </c>
      <c r="AJ31" s="182">
        <f t="shared" si="7"/>
        <v>0.0</v>
      </c>
      <c r="AK31" s="182">
        <f t="shared" si="7"/>
        <v>0.0</v>
      </c>
      <c r="AL31" s="182">
        <f t="shared" si="7"/>
        <v>0.0</v>
      </c>
      <c r="AM31" s="182">
        <f t="shared" si="7"/>
        <v>0.0</v>
      </c>
      <c r="AN31" s="182">
        <f t="shared" si="7"/>
        <v>0.0</v>
      </c>
      <c r="AO31" s="182">
        <f t="shared" si="7"/>
        <v>0.0</v>
      </c>
      <c r="AP31" s="182">
        <f t="shared" si="7"/>
        <v>0.0</v>
      </c>
      <c r="AQ31" s="182">
        <f t="shared" si="7"/>
        <v>0.0</v>
      </c>
      <c r="AR31" s="182">
        <f t="shared" si="7"/>
        <v>0.0</v>
      </c>
      <c r="AS31" s="214">
        <f>SUM(N31:AR31)</f>
        <v>0.0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225"/>
      <c r="AM32" s="182"/>
      <c r="AN32" s="182"/>
      <c r="AO32" s="182"/>
      <c r="AP32" s="182"/>
      <c r="AQ32" s="182"/>
      <c r="AR32" s="182"/>
      <c r="AS32" s="184">
        <f>SUM(N32:AR32)</f>
        <v>0.0</v>
      </c>
      <c r="AT32" s="190" t="e">
        <f>(AS32/(AS30-AS31))*100%</f>
        <v>#DIV/0!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225"/>
      <c r="AM33" s="192"/>
      <c r="AN33" s="192"/>
      <c r="AO33" s="192"/>
      <c r="AP33" s="192"/>
      <c r="AQ33" s="192"/>
      <c r="AR33" s="192"/>
      <c r="AS33" s="215">
        <f>SUM(N33:AR33)</f>
        <v>0.0</v>
      </c>
      <c r="AT33" s="193" t="e">
        <f>(AS33/(AS30-AS31))*100%</f>
        <v>#DIV/0!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206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4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154">
        <f>F35+AS38-AS42+AS43</f>
        <v>0.0</v>
      </c>
      <c r="E35" s="155"/>
      <c r="F35" s="156">
        <v>0.0</v>
      </c>
      <c r="G35" s="218"/>
      <c r="H35" s="158"/>
      <c r="I35" s="159"/>
      <c r="J35" s="160"/>
      <c r="K35" s="161"/>
      <c r="L35" s="162"/>
      <c r="M35" s="163" t="s">
        <v>130</v>
      </c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5"/>
      <c r="AM35" s="164"/>
      <c r="AN35" s="164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212">
        <f t="shared" si="8" ref="AS36:AS39">SUM(N36:AR36)</f>
        <v>0.0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182">
        <f t="shared" si="9" ref="N37:AR37">N36-N38-N39</f>
        <v>0.0</v>
      </c>
      <c r="O37" s="278">
        <f t="shared" si="9"/>
        <v>0.0</v>
      </c>
      <c r="P37" s="278">
        <f t="shared" si="9"/>
        <v>0.0</v>
      </c>
      <c r="Q37" s="182">
        <f t="shared" si="9"/>
        <v>0.0</v>
      </c>
      <c r="R37" s="182">
        <f t="shared" si="9"/>
        <v>0.0</v>
      </c>
      <c r="S37" s="182">
        <f t="shared" si="9"/>
        <v>0.0</v>
      </c>
      <c r="T37" s="182">
        <f t="shared" si="9"/>
        <v>0.0</v>
      </c>
      <c r="U37" s="182">
        <f t="shared" si="9"/>
        <v>0.0</v>
      </c>
      <c r="V37" s="182">
        <f t="shared" si="9"/>
        <v>0.0</v>
      </c>
      <c r="W37" s="182">
        <f t="shared" si="9"/>
        <v>0.0</v>
      </c>
      <c r="X37" s="182">
        <f t="shared" si="9"/>
        <v>0.0</v>
      </c>
      <c r="Y37" s="182">
        <f t="shared" si="9"/>
        <v>0.0</v>
      </c>
      <c r="Z37" s="182">
        <f t="shared" si="9"/>
        <v>0.0</v>
      </c>
      <c r="AA37" s="182">
        <f t="shared" si="9"/>
        <v>0.0</v>
      </c>
      <c r="AB37" s="182">
        <f t="shared" si="9"/>
        <v>0.0</v>
      </c>
      <c r="AC37" s="182">
        <f t="shared" si="9"/>
        <v>0.0</v>
      </c>
      <c r="AD37" s="182">
        <f t="shared" si="9"/>
        <v>0.0</v>
      </c>
      <c r="AE37" s="182">
        <f t="shared" si="9"/>
        <v>0.0</v>
      </c>
      <c r="AF37" s="182">
        <f t="shared" si="9"/>
        <v>0.0</v>
      </c>
      <c r="AG37" s="182">
        <f t="shared" si="9"/>
        <v>0.0</v>
      </c>
      <c r="AH37" s="182">
        <f t="shared" si="9"/>
        <v>0.0</v>
      </c>
      <c r="AI37" s="182">
        <f t="shared" si="9"/>
        <v>0.0</v>
      </c>
      <c r="AJ37" s="182">
        <f t="shared" si="9"/>
        <v>0.0</v>
      </c>
      <c r="AK37" s="182">
        <f t="shared" si="9"/>
        <v>0.0</v>
      </c>
      <c r="AL37" s="182">
        <f t="shared" si="9"/>
        <v>0.0</v>
      </c>
      <c r="AM37" s="182">
        <f t="shared" si="9"/>
        <v>0.0</v>
      </c>
      <c r="AN37" s="182">
        <f t="shared" si="9"/>
        <v>0.0</v>
      </c>
      <c r="AO37" s="182">
        <f t="shared" si="9"/>
        <v>0.0</v>
      </c>
      <c r="AP37" s="182">
        <f t="shared" si="9"/>
        <v>0.0</v>
      </c>
      <c r="AQ37" s="182">
        <f t="shared" si="9"/>
        <v>0.0</v>
      </c>
      <c r="AR37" s="182">
        <f t="shared" si="9"/>
        <v>0.0</v>
      </c>
      <c r="AS37" s="214">
        <f t="shared" si="8"/>
        <v>0.0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4">
        <f t="shared" si="8"/>
        <v>0.0</v>
      </c>
      <c r="AT38" s="190" t="e">
        <f>(AS38/(AS36-AS37))*100%</f>
        <v>#DIV/0!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215">
        <f t="shared" si="8"/>
        <v>0.0</v>
      </c>
      <c r="AT39" s="193" t="e">
        <f>(AS39/(AS36-AS37))*100%</f>
        <v>#DIV/0!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206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154">
        <f>F41+AS44-AS48+AS49</f>
        <v>0.0</v>
      </c>
      <c r="E41" s="155"/>
      <c r="F41" s="156">
        <v>0.0</v>
      </c>
      <c r="G41" s="218"/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6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212">
        <f t="shared" si="10" ref="AS42:AS45">SUM(N42:AR42)</f>
        <v>0.0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182">
        <f t="shared" si="11" ref="N43:AR43">N42-N44-N45</f>
        <v>0.0</v>
      </c>
      <c r="O43" s="278">
        <f t="shared" si="11"/>
        <v>0.0</v>
      </c>
      <c r="P43" s="278">
        <f t="shared" si="11"/>
        <v>0.0</v>
      </c>
      <c r="Q43" s="182">
        <f t="shared" si="11"/>
        <v>0.0</v>
      </c>
      <c r="R43" s="182">
        <f t="shared" si="11"/>
        <v>0.0</v>
      </c>
      <c r="S43" s="182">
        <f t="shared" si="11"/>
        <v>0.0</v>
      </c>
      <c r="T43" s="182">
        <f t="shared" si="11"/>
        <v>0.0</v>
      </c>
      <c r="U43" s="182">
        <f t="shared" si="11"/>
        <v>0.0</v>
      </c>
      <c r="V43" s="182">
        <f t="shared" si="11"/>
        <v>0.0</v>
      </c>
      <c r="W43" s="182">
        <f t="shared" si="11"/>
        <v>0.0</v>
      </c>
      <c r="X43" s="182">
        <f t="shared" si="11"/>
        <v>0.0</v>
      </c>
      <c r="Y43" s="182">
        <f t="shared" si="11"/>
        <v>0.0</v>
      </c>
      <c r="Z43" s="182">
        <f t="shared" si="11"/>
        <v>0.0</v>
      </c>
      <c r="AA43" s="182">
        <f t="shared" si="11"/>
        <v>0.0</v>
      </c>
      <c r="AB43" s="182">
        <f t="shared" si="11"/>
        <v>0.0</v>
      </c>
      <c r="AC43" s="182">
        <f t="shared" si="11"/>
        <v>0.0</v>
      </c>
      <c r="AD43" s="182">
        <f t="shared" si="11"/>
        <v>0.0</v>
      </c>
      <c r="AE43" s="182">
        <f t="shared" si="11"/>
        <v>0.0</v>
      </c>
      <c r="AF43" s="182">
        <f t="shared" si="11"/>
        <v>0.0</v>
      </c>
      <c r="AG43" s="182">
        <f t="shared" si="11"/>
        <v>0.0</v>
      </c>
      <c r="AH43" s="182">
        <f t="shared" si="11"/>
        <v>0.0</v>
      </c>
      <c r="AI43" s="182">
        <f t="shared" si="11"/>
        <v>0.0</v>
      </c>
      <c r="AJ43" s="182">
        <f t="shared" si="11"/>
        <v>0.0</v>
      </c>
      <c r="AK43" s="182">
        <f t="shared" si="11"/>
        <v>0.0</v>
      </c>
      <c r="AL43" s="182">
        <f t="shared" si="11"/>
        <v>0.0</v>
      </c>
      <c r="AM43" s="182">
        <f t="shared" si="11"/>
        <v>0.0</v>
      </c>
      <c r="AN43" s="182">
        <f t="shared" si="11"/>
        <v>0.0</v>
      </c>
      <c r="AO43" s="182">
        <f t="shared" si="11"/>
        <v>0.0</v>
      </c>
      <c r="AP43" s="182">
        <f t="shared" si="11"/>
        <v>0.0</v>
      </c>
      <c r="AQ43" s="182">
        <f t="shared" si="11"/>
        <v>0.0</v>
      </c>
      <c r="AR43" s="182">
        <f t="shared" si="11"/>
        <v>0.0</v>
      </c>
      <c r="AS43" s="214">
        <f t="shared" si="10"/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4">
        <f t="shared" si="10"/>
        <v>0.0</v>
      </c>
      <c r="AT44" s="190" t="e">
        <f>(AS44/(AS42-AS43))*100%</f>
        <v>#DIV/0!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215">
        <f t="shared" si="10"/>
        <v>0.0</v>
      </c>
      <c r="AT45" s="193" t="e">
        <f>(AS45/(AS42-AS43))*100%</f>
        <v>#DIV/0!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206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4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6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 t="shared" si="12" ref="AS48:AS51">SUM(N48:AR48)</f>
        <v>0.0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182">
        <f t="shared" si="13" ref="N49:AR49">N48-N50-N51</f>
        <v>0.0</v>
      </c>
      <c r="O49" s="278">
        <f t="shared" si="13"/>
        <v>0.0</v>
      </c>
      <c r="P49" s="278">
        <f t="shared" si="13"/>
        <v>0.0</v>
      </c>
      <c r="Q49" s="182">
        <f t="shared" si="13"/>
        <v>0.0</v>
      </c>
      <c r="R49" s="182">
        <f t="shared" si="13"/>
        <v>0.0</v>
      </c>
      <c r="S49" s="182">
        <f t="shared" si="13"/>
        <v>0.0</v>
      </c>
      <c r="T49" s="182">
        <f t="shared" si="13"/>
        <v>0.0</v>
      </c>
      <c r="U49" s="182">
        <f t="shared" si="13"/>
        <v>0.0</v>
      </c>
      <c r="V49" s="182">
        <f t="shared" si="13"/>
        <v>0.0</v>
      </c>
      <c r="W49" s="182">
        <f t="shared" si="13"/>
        <v>0.0</v>
      </c>
      <c r="X49" s="182">
        <f t="shared" si="13"/>
        <v>0.0</v>
      </c>
      <c r="Y49" s="182">
        <f t="shared" si="13"/>
        <v>0.0</v>
      </c>
      <c r="Z49" s="182">
        <f t="shared" si="13"/>
        <v>0.0</v>
      </c>
      <c r="AA49" s="182">
        <f t="shared" si="13"/>
        <v>0.0</v>
      </c>
      <c r="AB49" s="182">
        <f t="shared" si="13"/>
        <v>0.0</v>
      </c>
      <c r="AC49" s="182">
        <f t="shared" si="13"/>
        <v>0.0</v>
      </c>
      <c r="AD49" s="182">
        <f t="shared" si="13"/>
        <v>0.0</v>
      </c>
      <c r="AE49" s="182">
        <f t="shared" si="13"/>
        <v>0.0</v>
      </c>
      <c r="AF49" s="182">
        <f t="shared" si="13"/>
        <v>0.0</v>
      </c>
      <c r="AG49" s="182">
        <f t="shared" si="13"/>
        <v>0.0</v>
      </c>
      <c r="AH49" s="182">
        <f t="shared" si="13"/>
        <v>0.0</v>
      </c>
      <c r="AI49" s="182">
        <f t="shared" si="13"/>
        <v>0.0</v>
      </c>
      <c r="AJ49" s="182">
        <f t="shared" si="13"/>
        <v>0.0</v>
      </c>
      <c r="AK49" s="182">
        <f t="shared" si="13"/>
        <v>0.0</v>
      </c>
      <c r="AL49" s="182">
        <f t="shared" si="13"/>
        <v>0.0</v>
      </c>
      <c r="AM49" s="182">
        <f t="shared" si="13"/>
        <v>0.0</v>
      </c>
      <c r="AN49" s="182">
        <f t="shared" si="13"/>
        <v>0.0</v>
      </c>
      <c r="AO49" s="182">
        <f t="shared" si="13"/>
        <v>0.0</v>
      </c>
      <c r="AP49" s="182">
        <f t="shared" si="13"/>
        <v>0.0</v>
      </c>
      <c r="AQ49" s="182">
        <f t="shared" si="13"/>
        <v>0.0</v>
      </c>
      <c r="AR49" s="182">
        <f t="shared" si="13"/>
        <v>0.0</v>
      </c>
      <c r="AS49" s="214">
        <f t="shared" si="12"/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4">
        <f t="shared" si="12"/>
        <v>0.0</v>
      </c>
      <c r="AT50" s="190" t="e">
        <f>(AS50/(AS48-AS49))*100%</f>
        <v>#DIV/0!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215">
        <f t="shared" si="12"/>
        <v>0.0</v>
      </c>
      <c r="AT51" s="193" t="e">
        <f>(AS51/(AS48-AS49))*100%</f>
        <v>#DIV/0!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206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4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6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 t="shared" si="14" ref="AS54:AS57">SUM(N54:AR54)</f>
        <v>0.0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182">
        <f t="shared" si="15" ref="N55:AR55">N54-N56-N57</f>
        <v>0.0</v>
      </c>
      <c r="O55" s="278">
        <f t="shared" si="15"/>
        <v>0.0</v>
      </c>
      <c r="P55" s="278">
        <f t="shared" si="15"/>
        <v>0.0</v>
      </c>
      <c r="Q55" s="182">
        <f t="shared" si="15"/>
        <v>0.0</v>
      </c>
      <c r="R55" s="182">
        <f t="shared" si="15"/>
        <v>0.0</v>
      </c>
      <c r="S55" s="182">
        <f t="shared" si="15"/>
        <v>0.0</v>
      </c>
      <c r="T55" s="182">
        <f t="shared" si="15"/>
        <v>0.0</v>
      </c>
      <c r="U55" s="182">
        <f t="shared" si="15"/>
        <v>0.0</v>
      </c>
      <c r="V55" s="182">
        <f t="shared" si="15"/>
        <v>0.0</v>
      </c>
      <c r="W55" s="182">
        <f t="shared" si="15"/>
        <v>0.0</v>
      </c>
      <c r="X55" s="182">
        <f t="shared" si="15"/>
        <v>0.0</v>
      </c>
      <c r="Y55" s="182">
        <f t="shared" si="15"/>
        <v>0.0</v>
      </c>
      <c r="Z55" s="182">
        <f t="shared" si="15"/>
        <v>0.0</v>
      </c>
      <c r="AA55" s="182">
        <f t="shared" si="15"/>
        <v>0.0</v>
      </c>
      <c r="AB55" s="182">
        <f t="shared" si="15"/>
        <v>0.0</v>
      </c>
      <c r="AC55" s="182">
        <f t="shared" si="15"/>
        <v>0.0</v>
      </c>
      <c r="AD55" s="182">
        <f t="shared" si="15"/>
        <v>0.0</v>
      </c>
      <c r="AE55" s="182">
        <f t="shared" si="15"/>
        <v>0.0</v>
      </c>
      <c r="AF55" s="182">
        <f t="shared" si="15"/>
        <v>0.0</v>
      </c>
      <c r="AG55" s="182">
        <f t="shared" si="15"/>
        <v>0.0</v>
      </c>
      <c r="AH55" s="182">
        <f t="shared" si="15"/>
        <v>0.0</v>
      </c>
      <c r="AI55" s="182">
        <f t="shared" si="15"/>
        <v>0.0</v>
      </c>
      <c r="AJ55" s="182">
        <f t="shared" si="15"/>
        <v>0.0</v>
      </c>
      <c r="AK55" s="182">
        <f t="shared" si="15"/>
        <v>0.0</v>
      </c>
      <c r="AL55" s="182">
        <f t="shared" si="15"/>
        <v>0.0</v>
      </c>
      <c r="AM55" s="182">
        <f t="shared" si="15"/>
        <v>0.0</v>
      </c>
      <c r="AN55" s="182">
        <f t="shared" si="15"/>
        <v>0.0</v>
      </c>
      <c r="AO55" s="182">
        <f t="shared" si="15"/>
        <v>0.0</v>
      </c>
      <c r="AP55" s="182">
        <f t="shared" si="15"/>
        <v>0.0</v>
      </c>
      <c r="AQ55" s="182">
        <f t="shared" si="15"/>
        <v>0.0</v>
      </c>
      <c r="AR55" s="182">
        <f t="shared" si="15"/>
        <v>0.0</v>
      </c>
      <c r="AS55" s="214">
        <f t="shared" si="14"/>
        <v>0.0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4">
        <f t="shared" si="14"/>
        <v>0.0</v>
      </c>
      <c r="AT56" s="190" t="e">
        <f>(AS56/(AS54-AS55))*100%</f>
        <v>#DIV/0!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215">
        <f t="shared" si="14"/>
        <v>0.0</v>
      </c>
      <c r="AT57" s="193" t="e">
        <f>(AS57/(AS54-AS55))*100%</f>
        <v>#DIV/0!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0.0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2"/>
      <c r="AS59" s="263">
        <f>SUM(N59:AR59)</f>
        <v>0.0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5" state="frozen" activePane="bottomRight"/>
      <selection pane="bottomRight" activeCell="N9" sqref="N9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5703125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228" customWidth="0" width="8.707031" style="116"/>
    <col min="229" max="230" customWidth="1" width="18.28125" style="116"/>
    <col min="231" max="233" customWidth="1" width="13.5703125" style="116"/>
    <col min="234" max="234" customWidth="1" width="12.425781" style="116"/>
    <col min="235" max="235" customWidth="1" width="10.707031" style="116"/>
    <col min="236" max="236" customWidth="1" width="11.707031" style="116"/>
    <col min="237" max="237" customWidth="1" width="13.1328125" style="116"/>
    <col min="238" max="238" customWidth="1" width="13.425781" style="116"/>
    <col min="239" max="240" customWidth="1" width="9.28125" style="116"/>
    <col min="241" max="241" customWidth="1" width="12.425781" style="116"/>
    <col min="242" max="243" customWidth="1" width="9.28125" style="116"/>
    <col min="244" max="244" customWidth="1" width="17.707031" style="116"/>
    <col min="245" max="275" customWidth="1" width="11.0" style="116"/>
    <col min="276" max="276" customWidth="1" width="14.28125" style="116"/>
    <col min="277" max="277" customWidth="1" width="12.0" style="116"/>
    <col min="278" max="284" customWidth="1" width="9.8515625" style="116"/>
    <col min="285" max="285" customWidth="1" width="6.4257812" style="116"/>
    <col min="286" max="286" customWidth="1" width="2.5703125" style="116"/>
    <col min="287" max="290" customWidth="1" width="9.0" style="116"/>
    <col min="291" max="484" customWidth="0" width="8.707031" style="116"/>
    <col min="485" max="486" customWidth="1" width="18.28125" style="116"/>
    <col min="487" max="489" customWidth="1" width="13.5703125" style="116"/>
    <col min="490" max="490" customWidth="1" width="12.425781" style="116"/>
    <col min="491" max="491" customWidth="1" width="10.707031" style="116"/>
    <col min="492" max="492" customWidth="1" width="11.707031" style="116"/>
    <col min="493" max="493" customWidth="1" width="13.1328125" style="116"/>
    <col min="494" max="494" customWidth="1" width="13.425781" style="116"/>
    <col min="495" max="496" customWidth="1" width="9.28125" style="116"/>
    <col min="497" max="497" customWidth="1" width="12.425781" style="116"/>
    <col min="498" max="499" customWidth="1" width="9.28125" style="116"/>
    <col min="500" max="500" customWidth="1" width="17.707031" style="116"/>
    <col min="501" max="531" customWidth="1" width="11.0" style="116"/>
    <col min="532" max="532" customWidth="1" width="14.28125" style="116"/>
    <col min="533" max="533" customWidth="1" width="12.0" style="116"/>
    <col min="534" max="540" customWidth="1" width="9.8515625" style="116"/>
    <col min="541" max="541" customWidth="1" width="6.4257812" style="116"/>
    <col min="542" max="542" customWidth="1" width="2.5703125" style="116"/>
    <col min="543" max="546" customWidth="1" width="9.0" style="116"/>
    <col min="547" max="740" customWidth="0" width="8.707031" style="116"/>
    <col min="741" max="742" customWidth="1" width="18.28125" style="116"/>
    <col min="743" max="745" customWidth="1" width="13.5703125" style="116"/>
    <col min="746" max="746" customWidth="1" width="12.425781" style="116"/>
    <col min="747" max="747" customWidth="1" width="10.707031" style="116"/>
    <col min="748" max="748" customWidth="1" width="11.707031" style="116"/>
    <col min="749" max="749" customWidth="1" width="13.1328125" style="116"/>
    <col min="750" max="750" customWidth="1" width="13.425781" style="116"/>
    <col min="751" max="752" customWidth="1" width="9.28125" style="116"/>
    <col min="753" max="753" customWidth="1" width="12.425781" style="116"/>
    <col min="754" max="755" customWidth="1" width="9.28125" style="116"/>
    <col min="756" max="756" customWidth="1" width="17.707031" style="116"/>
    <col min="757" max="787" customWidth="1" width="11.0" style="116"/>
    <col min="788" max="788" customWidth="1" width="14.28125" style="116"/>
    <col min="789" max="789" customWidth="1" width="12.0" style="116"/>
    <col min="790" max="796" customWidth="1" width="9.8515625" style="116"/>
    <col min="797" max="797" customWidth="1" width="6.4257812" style="116"/>
    <col min="798" max="798" customWidth="1" width="2.5703125" style="116"/>
    <col min="799" max="802" customWidth="1" width="9.0" style="116"/>
    <col min="803" max="996" customWidth="0" width="8.707031" style="116"/>
    <col min="997" max="998" customWidth="1" width="18.28125" style="116"/>
    <col min="999" max="1001" customWidth="1" width="13.5703125" style="116"/>
    <col min="1002" max="1002" customWidth="1" width="12.425781" style="116"/>
    <col min="1003" max="1003" customWidth="1" width="10.707031" style="116"/>
    <col min="1004" max="1004" customWidth="1" width="11.707031" style="116"/>
    <col min="1005" max="1005" customWidth="1" width="13.1328125" style="116"/>
    <col min="1006" max="1006" customWidth="1" width="13.425781" style="116"/>
    <col min="1007" max="1008" customWidth="1" width="9.28125" style="116"/>
    <col min="1009" max="1009" customWidth="1" width="12.425781" style="116"/>
    <col min="1010" max="1011" customWidth="1" width="9.28125" style="116"/>
    <col min="1012" max="1012" customWidth="1" width="17.707031" style="116"/>
    <col min="1013" max="1043" customWidth="1" width="11.0" style="116"/>
    <col min="1044" max="1044" customWidth="1" width="14.28125" style="116"/>
    <col min="1045" max="1045" customWidth="1" width="12.0" style="116"/>
    <col min="1046" max="1052" customWidth="1" width="9.8515625" style="116"/>
    <col min="1053" max="1053" customWidth="1" width="6.4257812" style="116"/>
    <col min="1054" max="1054" customWidth="1" width="2.5703125" style="116"/>
    <col min="1055" max="1058" customWidth="1" width="9.0" style="116"/>
    <col min="1059" max="1252" customWidth="0" width="8.707031" style="116"/>
    <col min="1253" max="1254" customWidth="1" width="18.28125" style="116"/>
    <col min="1255" max="1257" customWidth="1" width="13.5703125" style="116"/>
    <col min="1258" max="1258" customWidth="1" width="12.425781" style="116"/>
    <col min="1259" max="1259" customWidth="1" width="10.707031" style="116"/>
    <col min="1260" max="1260" customWidth="1" width="11.707031" style="116"/>
    <col min="1261" max="1261" customWidth="1" width="13.1328125" style="116"/>
    <col min="1262" max="1262" customWidth="1" width="13.425781" style="116"/>
    <col min="1263" max="1264" customWidth="1" width="9.28125" style="116"/>
    <col min="1265" max="1265" customWidth="1" width="12.425781" style="116"/>
    <col min="1266" max="1267" customWidth="1" width="9.28125" style="116"/>
    <col min="1268" max="1268" customWidth="1" width="17.707031" style="116"/>
    <col min="1269" max="1299" customWidth="1" width="11.0" style="116"/>
    <col min="1300" max="1300" customWidth="1" width="14.28125" style="116"/>
    <col min="1301" max="1301" customWidth="1" width="12.0" style="116"/>
    <col min="1302" max="1308" customWidth="1" width="9.8515625" style="116"/>
    <col min="1309" max="1309" customWidth="1" width="6.4257812" style="116"/>
    <col min="1310" max="1310" customWidth="1" width="2.5703125" style="116"/>
    <col min="1311" max="1314" customWidth="1" width="9.0" style="116"/>
    <col min="1315" max="1508" customWidth="0" width="8.707031" style="116"/>
    <col min="1509" max="1510" customWidth="1" width="18.28125" style="116"/>
    <col min="1511" max="1513" customWidth="1" width="13.5703125" style="116"/>
    <col min="1514" max="1514" customWidth="1" width="12.425781" style="116"/>
    <col min="1515" max="1515" customWidth="1" width="10.707031" style="116"/>
    <col min="1516" max="1516" customWidth="1" width="11.707031" style="116"/>
    <col min="1517" max="1517" customWidth="1" width="13.1328125" style="116"/>
    <col min="1518" max="1518" customWidth="1" width="13.425781" style="116"/>
    <col min="1519" max="1520" customWidth="1" width="9.28125" style="116"/>
    <col min="1521" max="1521" customWidth="1" width="12.425781" style="116"/>
    <col min="1522" max="1523" customWidth="1" width="9.28125" style="116"/>
    <col min="1524" max="1524" customWidth="1" width="17.707031" style="116"/>
    <col min="1525" max="1555" customWidth="1" width="11.0" style="116"/>
    <col min="1556" max="1556" customWidth="1" width="14.28125" style="116"/>
    <col min="1557" max="1557" customWidth="1" width="12.0" style="116"/>
    <col min="1558" max="1564" customWidth="1" width="9.8515625" style="116"/>
    <col min="1565" max="1565" customWidth="1" width="6.4257812" style="116"/>
    <col min="1566" max="1566" customWidth="1" width="2.5703125" style="116"/>
    <col min="1567" max="1570" customWidth="1" width="9.0" style="116"/>
    <col min="1571" max="1764" customWidth="0" width="8.707031" style="116"/>
    <col min="1765" max="1766" customWidth="1" width="18.28125" style="116"/>
    <col min="1767" max="1769" customWidth="1" width="13.5703125" style="116"/>
    <col min="1770" max="1770" customWidth="1" width="12.425781" style="116"/>
    <col min="1771" max="1771" customWidth="1" width="10.707031" style="116"/>
    <col min="1772" max="1772" customWidth="1" width="11.707031" style="116"/>
    <col min="1773" max="1773" customWidth="1" width="13.1328125" style="116"/>
    <col min="1774" max="1774" customWidth="1" width="13.425781" style="116"/>
    <col min="1775" max="1776" customWidth="1" width="9.28125" style="116"/>
    <col min="1777" max="1777" customWidth="1" width="12.425781" style="116"/>
    <col min="1778" max="1779" customWidth="1" width="9.28125" style="116"/>
    <col min="1780" max="1780" customWidth="1" width="17.707031" style="116"/>
    <col min="1781" max="1811" customWidth="1" width="11.0" style="116"/>
    <col min="1812" max="1812" customWidth="1" width="14.28125" style="116"/>
    <col min="1813" max="1813" customWidth="1" width="12.0" style="116"/>
    <col min="1814" max="1820" customWidth="1" width="9.8515625" style="116"/>
    <col min="1821" max="1821" customWidth="1" width="6.4257812" style="116"/>
    <col min="1822" max="1822" customWidth="1" width="2.5703125" style="116"/>
    <col min="1823" max="1826" customWidth="1" width="9.0" style="116"/>
    <col min="1827" max="2020" customWidth="0" width="8.707031" style="116"/>
    <col min="2021" max="2022" customWidth="1" width="18.28125" style="116"/>
    <col min="2023" max="2025" customWidth="1" width="13.5703125" style="116"/>
    <col min="2026" max="2026" customWidth="1" width="12.425781" style="116"/>
    <col min="2027" max="2027" customWidth="1" width="10.707031" style="116"/>
    <col min="2028" max="2028" customWidth="1" width="11.707031" style="116"/>
    <col min="2029" max="2029" customWidth="1" width="13.1328125" style="116"/>
    <col min="2030" max="2030" customWidth="1" width="13.425781" style="116"/>
    <col min="2031" max="2032" customWidth="1" width="9.28125" style="116"/>
    <col min="2033" max="2033" customWidth="1" width="12.425781" style="116"/>
    <col min="2034" max="2035" customWidth="1" width="9.28125" style="116"/>
    <col min="2036" max="2036" customWidth="1" width="17.707031" style="116"/>
    <col min="2037" max="2067" customWidth="1" width="11.0" style="116"/>
    <col min="2068" max="2068" customWidth="1" width="14.28125" style="116"/>
    <col min="2069" max="2069" customWidth="1" width="12.0" style="116"/>
    <col min="2070" max="2076" customWidth="1" width="9.8515625" style="116"/>
    <col min="2077" max="2077" customWidth="1" width="6.4257812" style="116"/>
    <col min="2078" max="2078" customWidth="1" width="2.5703125" style="116"/>
    <col min="2079" max="2082" customWidth="1" width="9.0" style="116"/>
    <col min="2083" max="2276" customWidth="0" width="8.707031" style="116"/>
    <col min="2277" max="2278" customWidth="1" width="18.28125" style="116"/>
    <col min="2279" max="2281" customWidth="1" width="13.5703125" style="116"/>
    <col min="2282" max="2282" customWidth="1" width="12.425781" style="116"/>
    <col min="2283" max="2283" customWidth="1" width="10.707031" style="116"/>
    <col min="2284" max="2284" customWidth="1" width="11.707031" style="116"/>
    <col min="2285" max="2285" customWidth="1" width="13.1328125" style="116"/>
    <col min="2286" max="2286" customWidth="1" width="13.425781" style="116"/>
    <col min="2287" max="2288" customWidth="1" width="9.28125" style="116"/>
    <col min="2289" max="2289" customWidth="1" width="12.425781" style="116"/>
    <col min="2290" max="2291" customWidth="1" width="9.28125" style="116"/>
    <col min="2292" max="2292" customWidth="1" width="17.707031" style="116"/>
    <col min="2293" max="2323" customWidth="1" width="11.0" style="116"/>
    <col min="2324" max="2324" customWidth="1" width="14.28125" style="116"/>
    <col min="2325" max="2325" customWidth="1" width="12.0" style="116"/>
    <col min="2326" max="2332" customWidth="1" width="9.8515625" style="116"/>
    <col min="2333" max="2333" customWidth="1" width="6.4257812" style="116"/>
    <col min="2334" max="2334" customWidth="1" width="2.5703125" style="116"/>
    <col min="2335" max="2338" customWidth="1" width="9.0" style="116"/>
    <col min="2339" max="2532" customWidth="0" width="8.707031" style="116"/>
    <col min="2533" max="2534" customWidth="1" width="18.28125" style="116"/>
    <col min="2535" max="2537" customWidth="1" width="13.5703125" style="116"/>
    <col min="2538" max="2538" customWidth="1" width="12.425781" style="116"/>
    <col min="2539" max="2539" customWidth="1" width="10.707031" style="116"/>
    <col min="2540" max="2540" customWidth="1" width="11.707031" style="116"/>
    <col min="2541" max="2541" customWidth="1" width="13.1328125" style="116"/>
    <col min="2542" max="2542" customWidth="1" width="13.425781" style="116"/>
    <col min="2543" max="2544" customWidth="1" width="9.28125" style="116"/>
    <col min="2545" max="2545" customWidth="1" width="12.425781" style="116"/>
    <col min="2546" max="2547" customWidth="1" width="9.28125" style="116"/>
    <col min="2548" max="2548" customWidth="1" width="17.707031" style="116"/>
    <col min="2549" max="2579" customWidth="1" width="11.0" style="116"/>
    <col min="2580" max="2580" customWidth="1" width="14.28125" style="116"/>
    <col min="2581" max="2581" customWidth="1" width="12.0" style="116"/>
    <col min="2582" max="2588" customWidth="1" width="9.8515625" style="116"/>
    <col min="2589" max="2589" customWidth="1" width="6.4257812" style="116"/>
    <col min="2590" max="2590" customWidth="1" width="2.5703125" style="116"/>
    <col min="2591" max="2594" customWidth="1" width="9.0" style="116"/>
    <col min="2595" max="2788" customWidth="0" width="8.707031" style="116"/>
    <col min="2789" max="2790" customWidth="1" width="18.28125" style="116"/>
    <col min="2791" max="2793" customWidth="1" width="13.5703125" style="116"/>
    <col min="2794" max="2794" customWidth="1" width="12.425781" style="116"/>
    <col min="2795" max="2795" customWidth="1" width="10.707031" style="116"/>
    <col min="2796" max="2796" customWidth="1" width="11.707031" style="116"/>
    <col min="2797" max="2797" customWidth="1" width="13.1328125" style="116"/>
    <col min="2798" max="2798" customWidth="1" width="13.425781" style="116"/>
    <col min="2799" max="2800" customWidth="1" width="9.28125" style="116"/>
    <col min="2801" max="2801" customWidth="1" width="12.425781" style="116"/>
    <col min="2802" max="2803" customWidth="1" width="9.28125" style="116"/>
    <col min="2804" max="2804" customWidth="1" width="17.707031" style="116"/>
    <col min="2805" max="2835" customWidth="1" width="11.0" style="116"/>
    <col min="2836" max="2836" customWidth="1" width="14.28125" style="116"/>
    <col min="2837" max="2837" customWidth="1" width="12.0" style="116"/>
    <col min="2838" max="2844" customWidth="1" width="9.8515625" style="116"/>
    <col min="2845" max="2845" customWidth="1" width="6.4257812" style="116"/>
    <col min="2846" max="2846" customWidth="1" width="2.5703125" style="116"/>
    <col min="2847" max="2850" customWidth="1" width="9.0" style="116"/>
    <col min="2851" max="3044" customWidth="0" width="8.707031" style="116"/>
    <col min="3045" max="3046" customWidth="1" width="18.28125" style="116"/>
    <col min="3047" max="3049" customWidth="1" width="13.5703125" style="116"/>
    <col min="3050" max="3050" customWidth="1" width="12.425781" style="116"/>
    <col min="3051" max="3051" customWidth="1" width="10.707031" style="116"/>
    <col min="3052" max="3052" customWidth="1" width="11.707031" style="116"/>
    <col min="3053" max="3053" customWidth="1" width="13.1328125" style="116"/>
    <col min="3054" max="3054" customWidth="1" width="13.425781" style="116"/>
    <col min="3055" max="3056" customWidth="1" width="9.28125" style="116"/>
    <col min="3057" max="3057" customWidth="1" width="12.425781" style="116"/>
    <col min="3058" max="3059" customWidth="1" width="9.28125" style="116"/>
    <col min="3060" max="3060" customWidth="1" width="17.707031" style="116"/>
    <col min="3061" max="3091" customWidth="1" width="11.0" style="116"/>
    <col min="3092" max="3092" customWidth="1" width="14.28125" style="116"/>
    <col min="3093" max="3093" customWidth="1" width="12.0" style="116"/>
    <col min="3094" max="3100" customWidth="1" width="9.8515625" style="116"/>
    <col min="3101" max="3101" customWidth="1" width="6.4257812" style="116"/>
    <col min="3102" max="3102" customWidth="1" width="2.5703125" style="116"/>
    <col min="3103" max="3106" customWidth="1" width="9.0" style="116"/>
    <col min="3107" max="3300" customWidth="0" width="8.707031" style="116"/>
    <col min="3301" max="3302" customWidth="1" width="18.28125" style="116"/>
    <col min="3303" max="3305" customWidth="1" width="13.5703125" style="116"/>
    <col min="3306" max="3306" customWidth="1" width="12.425781" style="116"/>
    <col min="3307" max="3307" customWidth="1" width="10.707031" style="116"/>
    <col min="3308" max="3308" customWidth="1" width="11.707031" style="116"/>
    <col min="3309" max="3309" customWidth="1" width="13.1328125" style="116"/>
    <col min="3310" max="3310" customWidth="1" width="13.425781" style="116"/>
    <col min="3311" max="3312" customWidth="1" width="9.28125" style="116"/>
    <col min="3313" max="3313" customWidth="1" width="12.425781" style="116"/>
    <col min="3314" max="3315" customWidth="1" width="9.28125" style="116"/>
    <col min="3316" max="3316" customWidth="1" width="17.707031" style="116"/>
    <col min="3317" max="3347" customWidth="1" width="11.0" style="116"/>
    <col min="3348" max="3348" customWidth="1" width="14.28125" style="116"/>
    <col min="3349" max="3349" customWidth="1" width="12.0" style="116"/>
    <col min="3350" max="3356" customWidth="1" width="9.8515625" style="116"/>
    <col min="3357" max="3357" customWidth="1" width="6.4257812" style="116"/>
    <col min="3358" max="3358" customWidth="1" width="2.5703125" style="116"/>
    <col min="3359" max="3362" customWidth="1" width="9.0" style="116"/>
    <col min="3363" max="3556" customWidth="0" width="8.707031" style="116"/>
    <col min="3557" max="3558" customWidth="1" width="18.28125" style="116"/>
    <col min="3559" max="3561" customWidth="1" width="13.5703125" style="116"/>
    <col min="3562" max="3562" customWidth="1" width="12.425781" style="116"/>
    <col min="3563" max="3563" customWidth="1" width="10.707031" style="116"/>
    <col min="3564" max="3564" customWidth="1" width="11.707031" style="116"/>
    <col min="3565" max="3565" customWidth="1" width="13.1328125" style="116"/>
    <col min="3566" max="3566" customWidth="1" width="13.425781" style="116"/>
    <col min="3567" max="3568" customWidth="1" width="9.28125" style="116"/>
    <col min="3569" max="3569" customWidth="1" width="12.425781" style="116"/>
    <col min="3570" max="3571" customWidth="1" width="9.28125" style="116"/>
    <col min="3572" max="3572" customWidth="1" width="17.707031" style="116"/>
    <col min="3573" max="3603" customWidth="1" width="11.0" style="116"/>
    <col min="3604" max="3604" customWidth="1" width="14.28125" style="116"/>
    <col min="3605" max="3605" customWidth="1" width="12.0" style="116"/>
    <col min="3606" max="3612" customWidth="1" width="9.8515625" style="116"/>
    <col min="3613" max="3613" customWidth="1" width="6.4257812" style="116"/>
    <col min="3614" max="3614" customWidth="1" width="2.5703125" style="116"/>
    <col min="3615" max="3618" customWidth="1" width="9.0" style="116"/>
    <col min="3619" max="3812" customWidth="0" width="8.707031" style="116"/>
    <col min="3813" max="3814" customWidth="1" width="18.28125" style="116"/>
    <col min="3815" max="3817" customWidth="1" width="13.5703125" style="116"/>
    <col min="3818" max="3818" customWidth="1" width="12.425781" style="116"/>
    <col min="3819" max="3819" customWidth="1" width="10.707031" style="116"/>
    <col min="3820" max="3820" customWidth="1" width="11.707031" style="116"/>
    <col min="3821" max="3821" customWidth="1" width="13.1328125" style="116"/>
    <col min="3822" max="3822" customWidth="1" width="13.425781" style="116"/>
    <col min="3823" max="3824" customWidth="1" width="9.28125" style="116"/>
    <col min="3825" max="3825" customWidth="1" width="12.425781" style="116"/>
    <col min="3826" max="3827" customWidth="1" width="9.28125" style="116"/>
    <col min="3828" max="3828" customWidth="1" width="17.707031" style="116"/>
    <col min="3829" max="3859" customWidth="1" width="11.0" style="116"/>
    <col min="3860" max="3860" customWidth="1" width="14.28125" style="116"/>
    <col min="3861" max="3861" customWidth="1" width="12.0" style="116"/>
    <col min="3862" max="3868" customWidth="1" width="9.8515625" style="116"/>
    <col min="3869" max="3869" customWidth="1" width="6.4257812" style="116"/>
    <col min="3870" max="3870" customWidth="1" width="2.5703125" style="116"/>
    <col min="3871" max="3874" customWidth="1" width="9.0" style="116"/>
    <col min="3875" max="4068" customWidth="0" width="8.707031" style="116"/>
    <col min="4069" max="4070" customWidth="1" width="18.28125" style="116"/>
    <col min="4071" max="4073" customWidth="1" width="13.5703125" style="116"/>
    <col min="4074" max="4074" customWidth="1" width="12.425781" style="116"/>
    <col min="4075" max="4075" customWidth="1" width="10.707031" style="116"/>
    <col min="4076" max="4076" customWidth="1" width="11.707031" style="116"/>
    <col min="4077" max="4077" customWidth="1" width="13.1328125" style="116"/>
    <col min="4078" max="4078" customWidth="1" width="13.425781" style="116"/>
    <col min="4079" max="4080" customWidth="1" width="9.28125" style="116"/>
    <col min="4081" max="4081" customWidth="1" width="12.425781" style="116"/>
    <col min="4082" max="4083" customWidth="1" width="9.28125" style="116"/>
    <col min="4084" max="4084" customWidth="1" width="17.707031" style="116"/>
    <col min="4085" max="4115" customWidth="1" width="11.0" style="116"/>
    <col min="4116" max="4116" customWidth="1" width="14.28125" style="116"/>
    <col min="4117" max="4117" customWidth="1" width="12.0" style="116"/>
    <col min="4118" max="4124" customWidth="1" width="9.8515625" style="116"/>
    <col min="4125" max="4125" customWidth="1" width="6.4257812" style="116"/>
    <col min="4126" max="4126" customWidth="1" width="2.5703125" style="116"/>
    <col min="4127" max="4130" customWidth="1" width="9.0" style="116"/>
    <col min="4131" max="4324" customWidth="0" width="8.707031" style="116"/>
    <col min="4325" max="4326" customWidth="1" width="18.28125" style="116"/>
    <col min="4327" max="4329" customWidth="1" width="13.5703125" style="116"/>
    <col min="4330" max="4330" customWidth="1" width="12.425781" style="116"/>
    <col min="4331" max="4331" customWidth="1" width="10.707031" style="116"/>
    <col min="4332" max="4332" customWidth="1" width="11.707031" style="116"/>
    <col min="4333" max="4333" customWidth="1" width="13.1328125" style="116"/>
    <col min="4334" max="4334" customWidth="1" width="13.425781" style="116"/>
    <col min="4335" max="4336" customWidth="1" width="9.28125" style="116"/>
    <col min="4337" max="4337" customWidth="1" width="12.425781" style="116"/>
    <col min="4338" max="4339" customWidth="1" width="9.28125" style="116"/>
    <col min="4340" max="4340" customWidth="1" width="17.707031" style="116"/>
    <col min="4341" max="4371" customWidth="1" width="11.0" style="116"/>
    <col min="4372" max="4372" customWidth="1" width="14.28125" style="116"/>
    <col min="4373" max="4373" customWidth="1" width="12.0" style="116"/>
    <col min="4374" max="4380" customWidth="1" width="9.8515625" style="116"/>
    <col min="4381" max="4381" customWidth="1" width="6.4257812" style="116"/>
    <col min="4382" max="4382" customWidth="1" width="2.5703125" style="116"/>
    <col min="4383" max="4386" customWidth="1" width="9.0" style="116"/>
    <col min="4387" max="4580" customWidth="0" width="8.707031" style="116"/>
    <col min="4581" max="4582" customWidth="1" width="18.28125" style="116"/>
    <col min="4583" max="4585" customWidth="1" width="13.5703125" style="116"/>
    <col min="4586" max="4586" customWidth="1" width="12.425781" style="116"/>
    <col min="4587" max="4587" customWidth="1" width="10.707031" style="116"/>
    <col min="4588" max="4588" customWidth="1" width="11.707031" style="116"/>
    <col min="4589" max="4589" customWidth="1" width="13.1328125" style="116"/>
    <col min="4590" max="4590" customWidth="1" width="13.425781" style="116"/>
    <col min="4591" max="4592" customWidth="1" width="9.28125" style="116"/>
    <col min="4593" max="4593" customWidth="1" width="12.425781" style="116"/>
    <col min="4594" max="4595" customWidth="1" width="9.28125" style="116"/>
    <col min="4596" max="4596" customWidth="1" width="17.707031" style="116"/>
    <col min="4597" max="4627" customWidth="1" width="11.0" style="116"/>
    <col min="4628" max="4628" customWidth="1" width="14.28125" style="116"/>
    <col min="4629" max="4629" customWidth="1" width="12.0" style="116"/>
    <col min="4630" max="4636" customWidth="1" width="9.8515625" style="116"/>
    <col min="4637" max="4637" customWidth="1" width="6.4257812" style="116"/>
    <col min="4638" max="4638" customWidth="1" width="2.5703125" style="116"/>
    <col min="4639" max="4642" customWidth="1" width="9.0" style="116"/>
    <col min="4643" max="4836" customWidth="0" width="8.707031" style="116"/>
    <col min="4837" max="4838" customWidth="1" width="18.28125" style="116"/>
    <col min="4839" max="4841" customWidth="1" width="13.5703125" style="116"/>
    <col min="4842" max="4842" customWidth="1" width="12.425781" style="116"/>
    <col min="4843" max="4843" customWidth="1" width="10.707031" style="116"/>
    <col min="4844" max="4844" customWidth="1" width="11.707031" style="116"/>
    <col min="4845" max="4845" customWidth="1" width="13.1328125" style="116"/>
    <col min="4846" max="4846" customWidth="1" width="13.425781" style="116"/>
    <col min="4847" max="4848" customWidth="1" width="9.28125" style="116"/>
    <col min="4849" max="4849" customWidth="1" width="12.425781" style="116"/>
    <col min="4850" max="4851" customWidth="1" width="9.28125" style="116"/>
    <col min="4852" max="4852" customWidth="1" width="17.707031" style="116"/>
    <col min="4853" max="4883" customWidth="1" width="11.0" style="116"/>
    <col min="4884" max="4884" customWidth="1" width="14.28125" style="116"/>
    <col min="4885" max="4885" customWidth="1" width="12.0" style="116"/>
    <col min="4886" max="4892" customWidth="1" width="9.8515625" style="116"/>
    <col min="4893" max="4893" customWidth="1" width="6.4257812" style="116"/>
    <col min="4894" max="4894" customWidth="1" width="2.5703125" style="116"/>
    <col min="4895" max="4898" customWidth="1" width="9.0" style="116"/>
    <col min="4899" max="5092" customWidth="0" width="8.707031" style="116"/>
    <col min="5093" max="5094" customWidth="1" width="18.28125" style="116"/>
    <col min="5095" max="5097" customWidth="1" width="13.5703125" style="116"/>
    <col min="5098" max="5098" customWidth="1" width="12.425781" style="116"/>
    <col min="5099" max="5099" customWidth="1" width="10.707031" style="116"/>
    <col min="5100" max="5100" customWidth="1" width="11.707031" style="116"/>
    <col min="5101" max="5101" customWidth="1" width="13.1328125" style="116"/>
    <col min="5102" max="5102" customWidth="1" width="13.425781" style="116"/>
    <col min="5103" max="5104" customWidth="1" width="9.28125" style="116"/>
    <col min="5105" max="5105" customWidth="1" width="12.425781" style="116"/>
    <col min="5106" max="5107" customWidth="1" width="9.28125" style="116"/>
    <col min="5108" max="5108" customWidth="1" width="17.707031" style="116"/>
    <col min="5109" max="5139" customWidth="1" width="11.0" style="116"/>
    <col min="5140" max="5140" customWidth="1" width="14.28125" style="116"/>
    <col min="5141" max="5141" customWidth="1" width="12.0" style="116"/>
    <col min="5142" max="5148" customWidth="1" width="9.8515625" style="116"/>
    <col min="5149" max="5149" customWidth="1" width="6.4257812" style="116"/>
    <col min="5150" max="5150" customWidth="1" width="2.5703125" style="116"/>
    <col min="5151" max="5154" customWidth="1" width="9.0" style="116"/>
    <col min="5155" max="5348" customWidth="0" width="8.707031" style="116"/>
    <col min="5349" max="5350" customWidth="1" width="18.28125" style="116"/>
    <col min="5351" max="5353" customWidth="1" width="13.5703125" style="116"/>
    <col min="5354" max="5354" customWidth="1" width="12.425781" style="116"/>
    <col min="5355" max="5355" customWidth="1" width="10.707031" style="116"/>
    <col min="5356" max="5356" customWidth="1" width="11.707031" style="116"/>
    <col min="5357" max="5357" customWidth="1" width="13.1328125" style="116"/>
    <col min="5358" max="5358" customWidth="1" width="13.425781" style="116"/>
    <col min="5359" max="5360" customWidth="1" width="9.28125" style="116"/>
    <col min="5361" max="5361" customWidth="1" width="12.425781" style="116"/>
    <col min="5362" max="5363" customWidth="1" width="9.28125" style="116"/>
    <col min="5364" max="5364" customWidth="1" width="17.707031" style="116"/>
    <col min="5365" max="5395" customWidth="1" width="11.0" style="116"/>
    <col min="5396" max="5396" customWidth="1" width="14.28125" style="116"/>
    <col min="5397" max="5397" customWidth="1" width="12.0" style="116"/>
    <col min="5398" max="5404" customWidth="1" width="9.8515625" style="116"/>
    <col min="5405" max="5405" customWidth="1" width="6.4257812" style="116"/>
    <col min="5406" max="5406" customWidth="1" width="2.5703125" style="116"/>
    <col min="5407" max="5410" customWidth="1" width="9.0" style="116"/>
    <col min="5411" max="5604" customWidth="0" width="8.707031" style="116"/>
    <col min="5605" max="5606" customWidth="1" width="18.28125" style="116"/>
    <col min="5607" max="5609" customWidth="1" width="13.5703125" style="116"/>
    <col min="5610" max="5610" customWidth="1" width="12.425781" style="116"/>
    <col min="5611" max="5611" customWidth="1" width="10.707031" style="116"/>
    <col min="5612" max="5612" customWidth="1" width="11.707031" style="116"/>
    <col min="5613" max="5613" customWidth="1" width="13.1328125" style="116"/>
    <col min="5614" max="5614" customWidth="1" width="13.425781" style="116"/>
    <col min="5615" max="5616" customWidth="1" width="9.28125" style="116"/>
    <col min="5617" max="5617" customWidth="1" width="12.425781" style="116"/>
    <col min="5618" max="5619" customWidth="1" width="9.28125" style="116"/>
    <col min="5620" max="5620" customWidth="1" width="17.707031" style="116"/>
    <col min="5621" max="5651" customWidth="1" width="11.0" style="116"/>
    <col min="5652" max="5652" customWidth="1" width="14.28125" style="116"/>
    <col min="5653" max="5653" customWidth="1" width="12.0" style="116"/>
    <col min="5654" max="5660" customWidth="1" width="9.8515625" style="116"/>
    <col min="5661" max="5661" customWidth="1" width="6.4257812" style="116"/>
    <col min="5662" max="5662" customWidth="1" width="2.5703125" style="116"/>
    <col min="5663" max="5666" customWidth="1" width="9.0" style="116"/>
    <col min="5667" max="5860" customWidth="0" width="8.707031" style="116"/>
    <col min="5861" max="5862" customWidth="1" width="18.28125" style="116"/>
    <col min="5863" max="5865" customWidth="1" width="13.5703125" style="116"/>
    <col min="5866" max="5866" customWidth="1" width="12.425781" style="116"/>
    <col min="5867" max="5867" customWidth="1" width="10.707031" style="116"/>
    <col min="5868" max="5868" customWidth="1" width="11.707031" style="116"/>
    <col min="5869" max="5869" customWidth="1" width="13.1328125" style="116"/>
    <col min="5870" max="5870" customWidth="1" width="13.425781" style="116"/>
    <col min="5871" max="5872" customWidth="1" width="9.28125" style="116"/>
    <col min="5873" max="5873" customWidth="1" width="12.425781" style="116"/>
    <col min="5874" max="5875" customWidth="1" width="9.28125" style="116"/>
    <col min="5876" max="5876" customWidth="1" width="17.707031" style="116"/>
    <col min="5877" max="5907" customWidth="1" width="11.0" style="116"/>
    <col min="5908" max="5908" customWidth="1" width="14.28125" style="116"/>
    <col min="5909" max="5909" customWidth="1" width="12.0" style="116"/>
    <col min="5910" max="5916" customWidth="1" width="9.8515625" style="116"/>
    <col min="5917" max="5917" customWidth="1" width="6.4257812" style="116"/>
    <col min="5918" max="5918" customWidth="1" width="2.5703125" style="116"/>
    <col min="5919" max="5922" customWidth="1" width="9.0" style="116"/>
    <col min="5923" max="6116" customWidth="0" width="8.707031" style="116"/>
    <col min="6117" max="6118" customWidth="1" width="18.28125" style="116"/>
    <col min="6119" max="6121" customWidth="1" width="13.5703125" style="116"/>
    <col min="6122" max="6122" customWidth="1" width="12.425781" style="116"/>
    <col min="6123" max="6123" customWidth="1" width="10.707031" style="116"/>
    <col min="6124" max="6124" customWidth="1" width="11.707031" style="116"/>
    <col min="6125" max="6125" customWidth="1" width="13.1328125" style="116"/>
    <col min="6126" max="6126" customWidth="1" width="13.425781" style="116"/>
    <col min="6127" max="6128" customWidth="1" width="9.28125" style="116"/>
    <col min="6129" max="6129" customWidth="1" width="12.425781" style="116"/>
    <col min="6130" max="6131" customWidth="1" width="9.28125" style="116"/>
    <col min="6132" max="6132" customWidth="1" width="17.707031" style="116"/>
    <col min="6133" max="6163" customWidth="1" width="11.0" style="116"/>
    <col min="6164" max="6164" customWidth="1" width="14.28125" style="116"/>
    <col min="6165" max="6165" customWidth="1" width="12.0" style="116"/>
    <col min="6166" max="6172" customWidth="1" width="9.8515625" style="116"/>
    <col min="6173" max="6173" customWidth="1" width="6.4257812" style="116"/>
    <col min="6174" max="6174" customWidth="1" width="2.5703125" style="116"/>
    <col min="6175" max="6178" customWidth="1" width="9.0" style="116"/>
    <col min="6179" max="6372" customWidth="0" width="8.707031" style="116"/>
    <col min="6373" max="6374" customWidth="1" width="18.28125" style="116"/>
    <col min="6375" max="6377" customWidth="1" width="13.5703125" style="116"/>
    <col min="6378" max="6378" customWidth="1" width="12.425781" style="116"/>
    <col min="6379" max="6379" customWidth="1" width="10.707031" style="116"/>
    <col min="6380" max="6380" customWidth="1" width="11.707031" style="116"/>
    <col min="6381" max="6381" customWidth="1" width="13.1328125" style="116"/>
    <col min="6382" max="6382" customWidth="1" width="13.425781" style="116"/>
    <col min="6383" max="6384" customWidth="1" width="9.28125" style="116"/>
    <col min="6385" max="6385" customWidth="1" width="12.425781" style="116"/>
    <col min="6386" max="6387" customWidth="1" width="9.28125" style="116"/>
    <col min="6388" max="6388" customWidth="1" width="17.707031" style="116"/>
    <col min="6389" max="6419" customWidth="1" width="11.0" style="116"/>
    <col min="6420" max="6420" customWidth="1" width="14.28125" style="116"/>
    <col min="6421" max="6421" customWidth="1" width="12.0" style="116"/>
    <col min="6422" max="6428" customWidth="1" width="9.8515625" style="116"/>
    <col min="6429" max="6429" customWidth="1" width="6.4257812" style="116"/>
    <col min="6430" max="6430" customWidth="1" width="2.5703125" style="116"/>
    <col min="6431" max="6434" customWidth="1" width="9.0" style="116"/>
    <col min="6435" max="6628" customWidth="0" width="8.707031" style="116"/>
    <col min="6629" max="6630" customWidth="1" width="18.28125" style="116"/>
    <col min="6631" max="6633" customWidth="1" width="13.5703125" style="116"/>
    <col min="6634" max="6634" customWidth="1" width="12.425781" style="116"/>
    <col min="6635" max="6635" customWidth="1" width="10.707031" style="116"/>
    <col min="6636" max="6636" customWidth="1" width="11.707031" style="116"/>
    <col min="6637" max="6637" customWidth="1" width="13.1328125" style="116"/>
    <col min="6638" max="6638" customWidth="1" width="13.425781" style="116"/>
    <col min="6639" max="6640" customWidth="1" width="9.28125" style="116"/>
    <col min="6641" max="6641" customWidth="1" width="12.425781" style="116"/>
    <col min="6642" max="6643" customWidth="1" width="9.28125" style="116"/>
    <col min="6644" max="6644" customWidth="1" width="17.707031" style="116"/>
    <col min="6645" max="6675" customWidth="1" width="11.0" style="116"/>
    <col min="6676" max="6676" customWidth="1" width="14.28125" style="116"/>
    <col min="6677" max="6677" customWidth="1" width="12.0" style="116"/>
    <col min="6678" max="6684" customWidth="1" width="9.8515625" style="116"/>
    <col min="6685" max="6685" customWidth="1" width="6.4257812" style="116"/>
    <col min="6686" max="6686" customWidth="1" width="2.5703125" style="116"/>
    <col min="6687" max="6690" customWidth="1" width="9.0" style="116"/>
    <col min="6691" max="6884" customWidth="0" width="8.707031" style="116"/>
    <col min="6885" max="6886" customWidth="1" width="18.28125" style="116"/>
    <col min="6887" max="6889" customWidth="1" width="13.5703125" style="116"/>
    <col min="6890" max="6890" customWidth="1" width="12.425781" style="116"/>
    <col min="6891" max="6891" customWidth="1" width="10.707031" style="116"/>
    <col min="6892" max="6892" customWidth="1" width="11.707031" style="116"/>
    <col min="6893" max="6893" customWidth="1" width="13.1328125" style="116"/>
    <col min="6894" max="6894" customWidth="1" width="13.425781" style="116"/>
    <col min="6895" max="6896" customWidth="1" width="9.28125" style="116"/>
    <col min="6897" max="6897" customWidth="1" width="12.425781" style="116"/>
    <col min="6898" max="6899" customWidth="1" width="9.28125" style="116"/>
    <col min="6900" max="6900" customWidth="1" width="17.707031" style="116"/>
    <col min="6901" max="6931" customWidth="1" width="11.0" style="116"/>
    <col min="6932" max="6932" customWidth="1" width="14.28125" style="116"/>
    <col min="6933" max="6933" customWidth="1" width="12.0" style="116"/>
    <col min="6934" max="6940" customWidth="1" width="9.8515625" style="116"/>
    <col min="6941" max="6941" customWidth="1" width="6.4257812" style="116"/>
    <col min="6942" max="6942" customWidth="1" width="2.5703125" style="116"/>
    <col min="6943" max="6946" customWidth="1" width="9.0" style="116"/>
    <col min="6947" max="7140" customWidth="0" width="8.707031" style="116"/>
    <col min="7141" max="7142" customWidth="1" width="18.28125" style="116"/>
    <col min="7143" max="7145" customWidth="1" width="13.5703125" style="116"/>
    <col min="7146" max="7146" customWidth="1" width="12.425781" style="116"/>
    <col min="7147" max="7147" customWidth="1" width="10.707031" style="116"/>
    <col min="7148" max="7148" customWidth="1" width="11.707031" style="116"/>
    <col min="7149" max="7149" customWidth="1" width="13.1328125" style="116"/>
    <col min="7150" max="7150" customWidth="1" width="13.425781" style="116"/>
    <col min="7151" max="7152" customWidth="1" width="9.28125" style="116"/>
    <col min="7153" max="7153" customWidth="1" width="12.425781" style="116"/>
    <col min="7154" max="7155" customWidth="1" width="9.28125" style="116"/>
    <col min="7156" max="7156" customWidth="1" width="17.707031" style="116"/>
    <col min="7157" max="7187" customWidth="1" width="11.0" style="116"/>
    <col min="7188" max="7188" customWidth="1" width="14.28125" style="116"/>
    <col min="7189" max="7189" customWidth="1" width="12.0" style="116"/>
    <col min="7190" max="7196" customWidth="1" width="9.8515625" style="116"/>
    <col min="7197" max="7197" customWidth="1" width="6.4257812" style="116"/>
    <col min="7198" max="7198" customWidth="1" width="2.5703125" style="116"/>
    <col min="7199" max="7202" customWidth="1" width="9.0" style="116"/>
    <col min="7203" max="7396" customWidth="0" width="8.707031" style="116"/>
    <col min="7397" max="7398" customWidth="1" width="18.28125" style="116"/>
    <col min="7399" max="7401" customWidth="1" width="13.5703125" style="116"/>
    <col min="7402" max="7402" customWidth="1" width="12.425781" style="116"/>
    <col min="7403" max="7403" customWidth="1" width="10.707031" style="116"/>
    <col min="7404" max="7404" customWidth="1" width="11.707031" style="116"/>
    <col min="7405" max="7405" customWidth="1" width="13.1328125" style="116"/>
    <col min="7406" max="7406" customWidth="1" width="13.425781" style="116"/>
    <col min="7407" max="7408" customWidth="1" width="9.28125" style="116"/>
    <col min="7409" max="7409" customWidth="1" width="12.425781" style="116"/>
    <col min="7410" max="7411" customWidth="1" width="9.28125" style="116"/>
    <col min="7412" max="7412" customWidth="1" width="17.707031" style="116"/>
    <col min="7413" max="7443" customWidth="1" width="11.0" style="116"/>
    <col min="7444" max="7444" customWidth="1" width="14.28125" style="116"/>
    <col min="7445" max="7445" customWidth="1" width="12.0" style="116"/>
    <col min="7446" max="7452" customWidth="1" width="9.8515625" style="116"/>
    <col min="7453" max="7453" customWidth="1" width="6.4257812" style="116"/>
    <col min="7454" max="7454" customWidth="1" width="2.5703125" style="116"/>
    <col min="7455" max="7458" customWidth="1" width="9.0" style="116"/>
    <col min="7459" max="7652" customWidth="0" width="8.707031" style="116"/>
    <col min="7653" max="7654" customWidth="1" width="18.28125" style="116"/>
    <col min="7655" max="7657" customWidth="1" width="13.5703125" style="116"/>
    <col min="7658" max="7658" customWidth="1" width="12.425781" style="116"/>
    <col min="7659" max="7659" customWidth="1" width="10.707031" style="116"/>
    <col min="7660" max="7660" customWidth="1" width="11.707031" style="116"/>
    <col min="7661" max="7661" customWidth="1" width="13.1328125" style="116"/>
    <col min="7662" max="7662" customWidth="1" width="13.425781" style="116"/>
    <col min="7663" max="7664" customWidth="1" width="9.28125" style="116"/>
    <col min="7665" max="7665" customWidth="1" width="12.425781" style="116"/>
    <col min="7666" max="7667" customWidth="1" width="9.28125" style="116"/>
    <col min="7668" max="7668" customWidth="1" width="17.707031" style="116"/>
    <col min="7669" max="7699" customWidth="1" width="11.0" style="116"/>
    <col min="7700" max="7700" customWidth="1" width="14.28125" style="116"/>
    <col min="7701" max="7701" customWidth="1" width="12.0" style="116"/>
    <col min="7702" max="7708" customWidth="1" width="9.8515625" style="116"/>
    <col min="7709" max="7709" customWidth="1" width="6.4257812" style="116"/>
    <col min="7710" max="7710" customWidth="1" width="2.5703125" style="116"/>
    <col min="7711" max="7714" customWidth="1" width="9.0" style="116"/>
    <col min="7715" max="7908" customWidth="0" width="8.707031" style="116"/>
    <col min="7909" max="7910" customWidth="1" width="18.28125" style="116"/>
    <col min="7911" max="7913" customWidth="1" width="13.5703125" style="116"/>
    <col min="7914" max="7914" customWidth="1" width="12.425781" style="116"/>
    <col min="7915" max="7915" customWidth="1" width="10.707031" style="116"/>
    <col min="7916" max="7916" customWidth="1" width="11.707031" style="116"/>
    <col min="7917" max="7917" customWidth="1" width="13.1328125" style="116"/>
    <col min="7918" max="7918" customWidth="1" width="13.425781" style="116"/>
    <col min="7919" max="7920" customWidth="1" width="9.28125" style="116"/>
    <col min="7921" max="7921" customWidth="1" width="12.425781" style="116"/>
    <col min="7922" max="7923" customWidth="1" width="9.28125" style="116"/>
    <col min="7924" max="7924" customWidth="1" width="17.707031" style="116"/>
    <col min="7925" max="7955" customWidth="1" width="11.0" style="116"/>
    <col min="7956" max="7956" customWidth="1" width="14.28125" style="116"/>
    <col min="7957" max="7957" customWidth="1" width="12.0" style="116"/>
    <col min="7958" max="7964" customWidth="1" width="9.8515625" style="116"/>
    <col min="7965" max="7965" customWidth="1" width="6.4257812" style="116"/>
    <col min="7966" max="7966" customWidth="1" width="2.5703125" style="116"/>
    <col min="7967" max="7970" customWidth="1" width="9.0" style="116"/>
    <col min="7971" max="8164" customWidth="0" width="8.707031" style="116"/>
    <col min="8165" max="8166" customWidth="1" width="18.28125" style="116"/>
    <col min="8167" max="8169" customWidth="1" width="13.5703125" style="116"/>
    <col min="8170" max="8170" customWidth="1" width="12.425781" style="116"/>
    <col min="8171" max="8171" customWidth="1" width="10.707031" style="116"/>
    <col min="8172" max="8172" customWidth="1" width="11.707031" style="116"/>
    <col min="8173" max="8173" customWidth="1" width="13.1328125" style="116"/>
    <col min="8174" max="8174" customWidth="1" width="13.425781" style="116"/>
    <col min="8175" max="8176" customWidth="1" width="9.28125" style="116"/>
    <col min="8177" max="8177" customWidth="1" width="12.425781" style="116"/>
    <col min="8178" max="8179" customWidth="1" width="9.28125" style="116"/>
    <col min="8180" max="8180" customWidth="1" width="17.707031" style="116"/>
    <col min="8181" max="8211" customWidth="1" width="11.0" style="116"/>
    <col min="8212" max="8212" customWidth="1" width="14.28125" style="116"/>
    <col min="8213" max="8213" customWidth="1" width="12.0" style="116"/>
    <col min="8214" max="8220" customWidth="1" width="9.8515625" style="116"/>
    <col min="8221" max="8221" customWidth="1" width="6.4257812" style="116"/>
    <col min="8222" max="8222" customWidth="1" width="2.5703125" style="116"/>
    <col min="8223" max="8226" customWidth="1" width="9.0" style="116"/>
    <col min="8227" max="8420" customWidth="0" width="8.707031" style="116"/>
    <col min="8421" max="8422" customWidth="1" width="18.28125" style="116"/>
    <col min="8423" max="8425" customWidth="1" width="13.5703125" style="116"/>
    <col min="8426" max="8426" customWidth="1" width="12.425781" style="116"/>
    <col min="8427" max="8427" customWidth="1" width="10.707031" style="116"/>
    <col min="8428" max="8428" customWidth="1" width="11.707031" style="116"/>
    <col min="8429" max="8429" customWidth="1" width="13.1328125" style="116"/>
    <col min="8430" max="8430" customWidth="1" width="13.425781" style="116"/>
    <col min="8431" max="8432" customWidth="1" width="9.28125" style="116"/>
    <col min="8433" max="8433" customWidth="1" width="12.425781" style="116"/>
    <col min="8434" max="8435" customWidth="1" width="9.28125" style="116"/>
    <col min="8436" max="8436" customWidth="1" width="17.707031" style="116"/>
    <col min="8437" max="8467" customWidth="1" width="11.0" style="116"/>
    <col min="8468" max="8468" customWidth="1" width="14.28125" style="116"/>
    <col min="8469" max="8469" customWidth="1" width="12.0" style="116"/>
    <col min="8470" max="8476" customWidth="1" width="9.8515625" style="116"/>
    <col min="8477" max="8477" customWidth="1" width="6.4257812" style="116"/>
    <col min="8478" max="8478" customWidth="1" width="2.5703125" style="116"/>
    <col min="8479" max="8482" customWidth="1" width="9.0" style="116"/>
    <col min="8483" max="8676" customWidth="0" width="8.707031" style="116"/>
    <col min="8677" max="8678" customWidth="1" width="18.28125" style="116"/>
    <col min="8679" max="8681" customWidth="1" width="13.5703125" style="116"/>
    <col min="8682" max="8682" customWidth="1" width="12.425781" style="116"/>
    <col min="8683" max="8683" customWidth="1" width="10.707031" style="116"/>
    <col min="8684" max="8684" customWidth="1" width="11.707031" style="116"/>
    <col min="8685" max="8685" customWidth="1" width="13.1328125" style="116"/>
    <col min="8686" max="8686" customWidth="1" width="13.425781" style="116"/>
    <col min="8687" max="8688" customWidth="1" width="9.28125" style="116"/>
    <col min="8689" max="8689" customWidth="1" width="12.425781" style="116"/>
    <col min="8690" max="8691" customWidth="1" width="9.28125" style="116"/>
    <col min="8692" max="8692" customWidth="1" width="17.707031" style="116"/>
    <col min="8693" max="8723" customWidth="1" width="11.0" style="116"/>
    <col min="8724" max="8724" customWidth="1" width="14.28125" style="116"/>
    <col min="8725" max="8725" customWidth="1" width="12.0" style="116"/>
    <col min="8726" max="8732" customWidth="1" width="9.8515625" style="116"/>
    <col min="8733" max="8733" customWidth="1" width="6.4257812" style="116"/>
    <col min="8734" max="8734" customWidth="1" width="2.5703125" style="116"/>
    <col min="8735" max="8738" customWidth="1" width="9.0" style="116"/>
    <col min="8739" max="8932" customWidth="0" width="8.707031" style="116"/>
    <col min="8933" max="8934" customWidth="1" width="18.28125" style="116"/>
    <col min="8935" max="8937" customWidth="1" width="13.5703125" style="116"/>
    <col min="8938" max="8938" customWidth="1" width="12.425781" style="116"/>
    <col min="8939" max="8939" customWidth="1" width="10.707031" style="116"/>
    <col min="8940" max="8940" customWidth="1" width="11.707031" style="116"/>
    <col min="8941" max="8941" customWidth="1" width="13.1328125" style="116"/>
    <col min="8942" max="8942" customWidth="1" width="13.425781" style="116"/>
    <col min="8943" max="8944" customWidth="1" width="9.28125" style="116"/>
    <col min="8945" max="8945" customWidth="1" width="12.425781" style="116"/>
    <col min="8946" max="8947" customWidth="1" width="9.28125" style="116"/>
    <col min="8948" max="8948" customWidth="1" width="17.707031" style="116"/>
    <col min="8949" max="8979" customWidth="1" width="11.0" style="116"/>
    <col min="8980" max="8980" customWidth="1" width="14.28125" style="116"/>
    <col min="8981" max="8981" customWidth="1" width="12.0" style="116"/>
    <col min="8982" max="8988" customWidth="1" width="9.8515625" style="116"/>
    <col min="8989" max="8989" customWidth="1" width="6.4257812" style="116"/>
    <col min="8990" max="8990" customWidth="1" width="2.5703125" style="116"/>
    <col min="8991" max="8994" customWidth="1" width="9.0" style="116"/>
    <col min="8995" max="9188" customWidth="0" width="8.707031" style="116"/>
    <col min="9189" max="9190" customWidth="1" width="18.28125" style="116"/>
    <col min="9191" max="9193" customWidth="1" width="13.5703125" style="116"/>
    <col min="9194" max="9194" customWidth="1" width="12.425781" style="116"/>
    <col min="9195" max="9195" customWidth="1" width="10.707031" style="116"/>
    <col min="9196" max="9196" customWidth="1" width="11.707031" style="116"/>
    <col min="9197" max="9197" customWidth="1" width="13.1328125" style="116"/>
    <col min="9198" max="9198" customWidth="1" width="13.425781" style="116"/>
    <col min="9199" max="9200" customWidth="1" width="9.28125" style="116"/>
    <col min="9201" max="9201" customWidth="1" width="12.425781" style="116"/>
    <col min="9202" max="9203" customWidth="1" width="9.28125" style="116"/>
    <col min="9204" max="9204" customWidth="1" width="17.707031" style="116"/>
    <col min="9205" max="9235" customWidth="1" width="11.0" style="116"/>
    <col min="9236" max="9236" customWidth="1" width="14.28125" style="116"/>
    <col min="9237" max="9237" customWidth="1" width="12.0" style="116"/>
    <col min="9238" max="9244" customWidth="1" width="9.8515625" style="116"/>
    <col min="9245" max="9245" customWidth="1" width="6.4257812" style="116"/>
    <col min="9246" max="9246" customWidth="1" width="2.5703125" style="116"/>
    <col min="9247" max="9250" customWidth="1" width="9.0" style="116"/>
    <col min="9251" max="9444" customWidth="0" width="8.707031" style="116"/>
    <col min="9445" max="9446" customWidth="1" width="18.28125" style="116"/>
    <col min="9447" max="9449" customWidth="1" width="13.5703125" style="116"/>
    <col min="9450" max="9450" customWidth="1" width="12.425781" style="116"/>
    <col min="9451" max="9451" customWidth="1" width="10.707031" style="116"/>
    <col min="9452" max="9452" customWidth="1" width="11.707031" style="116"/>
    <col min="9453" max="9453" customWidth="1" width="13.1328125" style="116"/>
    <col min="9454" max="9454" customWidth="1" width="13.425781" style="116"/>
    <col min="9455" max="9456" customWidth="1" width="9.28125" style="116"/>
    <col min="9457" max="9457" customWidth="1" width="12.425781" style="116"/>
    <col min="9458" max="9459" customWidth="1" width="9.28125" style="116"/>
    <col min="9460" max="9460" customWidth="1" width="17.707031" style="116"/>
    <col min="9461" max="9491" customWidth="1" width="11.0" style="116"/>
    <col min="9492" max="9492" customWidth="1" width="14.28125" style="116"/>
    <col min="9493" max="9493" customWidth="1" width="12.0" style="116"/>
    <col min="9494" max="9500" customWidth="1" width="9.8515625" style="116"/>
    <col min="9501" max="9501" customWidth="1" width="6.4257812" style="116"/>
    <col min="9502" max="9502" customWidth="1" width="2.5703125" style="116"/>
    <col min="9503" max="9506" customWidth="1" width="9.0" style="116"/>
    <col min="9507" max="9700" customWidth="0" width="8.707031" style="116"/>
    <col min="9701" max="9702" customWidth="1" width="18.28125" style="116"/>
    <col min="9703" max="9705" customWidth="1" width="13.5703125" style="116"/>
    <col min="9706" max="9706" customWidth="1" width="12.425781" style="116"/>
    <col min="9707" max="9707" customWidth="1" width="10.707031" style="116"/>
    <col min="9708" max="9708" customWidth="1" width="11.707031" style="116"/>
    <col min="9709" max="9709" customWidth="1" width="13.1328125" style="116"/>
    <col min="9710" max="9710" customWidth="1" width="13.425781" style="116"/>
    <col min="9711" max="9712" customWidth="1" width="9.28125" style="116"/>
    <col min="9713" max="9713" customWidth="1" width="12.425781" style="116"/>
    <col min="9714" max="9715" customWidth="1" width="9.28125" style="116"/>
    <col min="9716" max="9716" customWidth="1" width="17.707031" style="116"/>
    <col min="9717" max="9747" customWidth="1" width="11.0" style="116"/>
    <col min="9748" max="9748" customWidth="1" width="14.28125" style="116"/>
    <col min="9749" max="9749" customWidth="1" width="12.0" style="116"/>
    <col min="9750" max="9756" customWidth="1" width="9.8515625" style="116"/>
    <col min="9757" max="9757" customWidth="1" width="6.4257812" style="116"/>
    <col min="9758" max="9758" customWidth="1" width="2.5703125" style="116"/>
    <col min="9759" max="9762" customWidth="1" width="9.0" style="116"/>
    <col min="9763" max="9956" customWidth="0" width="8.707031" style="116"/>
    <col min="9957" max="9958" customWidth="1" width="18.28125" style="116"/>
    <col min="9959" max="9961" customWidth="1" width="13.5703125" style="116"/>
    <col min="9962" max="9962" customWidth="1" width="12.425781" style="116"/>
    <col min="9963" max="9963" customWidth="1" width="10.707031" style="116"/>
    <col min="9964" max="9964" customWidth="1" width="11.707031" style="116"/>
    <col min="9965" max="9965" customWidth="1" width="13.1328125" style="116"/>
    <col min="9966" max="9966" customWidth="1" width="13.425781" style="116"/>
    <col min="9967" max="9968" customWidth="1" width="9.28125" style="116"/>
    <col min="9969" max="9969" customWidth="1" width="12.425781" style="116"/>
    <col min="9970" max="9971" customWidth="1" width="9.28125" style="116"/>
    <col min="9972" max="9972" customWidth="1" width="17.707031" style="116"/>
    <col min="9973" max="10003" customWidth="1" width="11.0" style="116"/>
    <col min="10004" max="10004" customWidth="1" width="14.28125" style="116"/>
    <col min="10005" max="10005" customWidth="1" width="12.0" style="116"/>
    <col min="10006" max="10012" customWidth="1" width="9.8515625" style="116"/>
    <col min="10013" max="10013" customWidth="1" width="6.4257812" style="116"/>
    <col min="10014" max="10014" customWidth="1" width="2.5703125" style="116"/>
    <col min="10015" max="10018" customWidth="1" width="9.0" style="116"/>
    <col min="10019" max="10212" customWidth="0" width="8.707031" style="116"/>
    <col min="10213" max="10214" customWidth="1" width="18.28125" style="116"/>
    <col min="10215" max="10217" customWidth="1" width="13.5703125" style="116"/>
    <col min="10218" max="10218" customWidth="1" width="12.425781" style="116"/>
    <col min="10219" max="10219" customWidth="1" width="10.707031" style="116"/>
    <col min="10220" max="10220" customWidth="1" width="11.707031" style="116"/>
    <col min="10221" max="10221" customWidth="1" width="13.1328125" style="116"/>
    <col min="10222" max="10222" customWidth="1" width="13.425781" style="116"/>
    <col min="10223" max="10224" customWidth="1" width="9.28125" style="116"/>
    <col min="10225" max="10225" customWidth="1" width="12.425781" style="116"/>
    <col min="10226" max="10227" customWidth="1" width="9.28125" style="116"/>
    <col min="10228" max="10228" customWidth="1" width="17.707031" style="116"/>
    <col min="10229" max="10259" customWidth="1" width="11.0" style="116"/>
    <col min="10260" max="10260" customWidth="1" width="14.28125" style="116"/>
    <col min="10261" max="10261" customWidth="1" width="12.0" style="116"/>
    <col min="10262" max="10268" customWidth="1" width="9.8515625" style="116"/>
    <col min="10269" max="10269" customWidth="1" width="6.4257812" style="116"/>
    <col min="10270" max="10270" customWidth="1" width="2.5703125" style="116"/>
    <col min="10271" max="10274" customWidth="1" width="9.0" style="116"/>
    <col min="10275" max="10468" customWidth="0" width="8.707031" style="116"/>
    <col min="10469" max="10470" customWidth="1" width="18.28125" style="116"/>
    <col min="10471" max="10473" customWidth="1" width="13.5703125" style="116"/>
    <col min="10474" max="10474" customWidth="1" width="12.425781" style="116"/>
    <col min="10475" max="10475" customWidth="1" width="10.707031" style="116"/>
    <col min="10476" max="10476" customWidth="1" width="11.707031" style="116"/>
    <col min="10477" max="10477" customWidth="1" width="13.1328125" style="116"/>
    <col min="10478" max="10478" customWidth="1" width="13.425781" style="116"/>
    <col min="10479" max="10480" customWidth="1" width="9.28125" style="116"/>
    <col min="10481" max="10481" customWidth="1" width="12.425781" style="116"/>
    <col min="10482" max="10483" customWidth="1" width="9.28125" style="116"/>
    <col min="10484" max="10484" customWidth="1" width="17.707031" style="116"/>
    <col min="10485" max="10515" customWidth="1" width="11.0" style="116"/>
    <col min="10516" max="10516" customWidth="1" width="14.28125" style="116"/>
    <col min="10517" max="10517" customWidth="1" width="12.0" style="116"/>
    <col min="10518" max="10524" customWidth="1" width="9.8515625" style="116"/>
    <col min="10525" max="10525" customWidth="1" width="6.4257812" style="116"/>
    <col min="10526" max="10526" customWidth="1" width="2.5703125" style="116"/>
    <col min="10527" max="10530" customWidth="1" width="9.0" style="116"/>
    <col min="10531" max="10724" customWidth="0" width="8.707031" style="116"/>
    <col min="10725" max="10726" customWidth="1" width="18.28125" style="116"/>
    <col min="10727" max="10729" customWidth="1" width="13.5703125" style="116"/>
    <col min="10730" max="10730" customWidth="1" width="12.425781" style="116"/>
    <col min="10731" max="10731" customWidth="1" width="10.707031" style="116"/>
    <col min="10732" max="10732" customWidth="1" width="11.707031" style="116"/>
    <col min="10733" max="10733" customWidth="1" width="13.1328125" style="116"/>
    <col min="10734" max="10734" customWidth="1" width="13.425781" style="116"/>
    <col min="10735" max="10736" customWidth="1" width="9.28125" style="116"/>
    <col min="10737" max="10737" customWidth="1" width="12.425781" style="116"/>
    <col min="10738" max="10739" customWidth="1" width="9.28125" style="116"/>
    <col min="10740" max="10740" customWidth="1" width="17.707031" style="116"/>
    <col min="10741" max="10771" customWidth="1" width="11.0" style="116"/>
    <col min="10772" max="10772" customWidth="1" width="14.28125" style="116"/>
    <col min="10773" max="10773" customWidth="1" width="12.0" style="116"/>
    <col min="10774" max="10780" customWidth="1" width="9.8515625" style="116"/>
    <col min="10781" max="10781" customWidth="1" width="6.4257812" style="116"/>
    <col min="10782" max="10782" customWidth="1" width="2.5703125" style="116"/>
    <col min="10783" max="10786" customWidth="1" width="9.0" style="116"/>
    <col min="10787" max="10980" customWidth="0" width="8.707031" style="116"/>
    <col min="10981" max="10982" customWidth="1" width="18.28125" style="116"/>
    <col min="10983" max="10985" customWidth="1" width="13.5703125" style="116"/>
    <col min="10986" max="10986" customWidth="1" width="12.425781" style="116"/>
    <col min="10987" max="10987" customWidth="1" width="10.707031" style="116"/>
    <col min="10988" max="10988" customWidth="1" width="11.707031" style="116"/>
    <col min="10989" max="10989" customWidth="1" width="13.1328125" style="116"/>
    <col min="10990" max="10990" customWidth="1" width="13.425781" style="116"/>
    <col min="10991" max="10992" customWidth="1" width="9.28125" style="116"/>
    <col min="10993" max="10993" customWidth="1" width="12.425781" style="116"/>
    <col min="10994" max="10995" customWidth="1" width="9.28125" style="116"/>
    <col min="10996" max="10996" customWidth="1" width="17.707031" style="116"/>
    <col min="10997" max="11027" customWidth="1" width="11.0" style="116"/>
    <col min="11028" max="11028" customWidth="1" width="14.28125" style="116"/>
    <col min="11029" max="11029" customWidth="1" width="12.0" style="116"/>
    <col min="11030" max="11036" customWidth="1" width="9.8515625" style="116"/>
    <col min="11037" max="11037" customWidth="1" width="6.4257812" style="116"/>
    <col min="11038" max="11038" customWidth="1" width="2.5703125" style="116"/>
    <col min="11039" max="11042" customWidth="1" width="9.0" style="116"/>
    <col min="11043" max="11236" customWidth="0" width="8.707031" style="116"/>
    <col min="11237" max="11238" customWidth="1" width="18.28125" style="116"/>
    <col min="11239" max="11241" customWidth="1" width="13.5703125" style="116"/>
    <col min="11242" max="11242" customWidth="1" width="12.425781" style="116"/>
    <col min="11243" max="11243" customWidth="1" width="10.707031" style="116"/>
    <col min="11244" max="11244" customWidth="1" width="11.707031" style="116"/>
    <col min="11245" max="11245" customWidth="1" width="13.1328125" style="116"/>
    <col min="11246" max="11246" customWidth="1" width="13.425781" style="116"/>
    <col min="11247" max="11248" customWidth="1" width="9.28125" style="116"/>
    <col min="11249" max="11249" customWidth="1" width="12.425781" style="116"/>
    <col min="11250" max="11251" customWidth="1" width="9.28125" style="116"/>
    <col min="11252" max="11252" customWidth="1" width="17.707031" style="116"/>
    <col min="11253" max="11283" customWidth="1" width="11.0" style="116"/>
    <col min="11284" max="11284" customWidth="1" width="14.28125" style="116"/>
    <col min="11285" max="11285" customWidth="1" width="12.0" style="116"/>
    <col min="11286" max="11292" customWidth="1" width="9.8515625" style="116"/>
    <col min="11293" max="11293" customWidth="1" width="6.4257812" style="116"/>
    <col min="11294" max="11294" customWidth="1" width="2.5703125" style="116"/>
    <col min="11295" max="11298" customWidth="1" width="9.0" style="116"/>
    <col min="11299" max="11492" customWidth="0" width="8.707031" style="116"/>
    <col min="11493" max="11494" customWidth="1" width="18.28125" style="116"/>
    <col min="11495" max="11497" customWidth="1" width="13.5703125" style="116"/>
    <col min="11498" max="11498" customWidth="1" width="12.425781" style="116"/>
    <col min="11499" max="11499" customWidth="1" width="10.707031" style="116"/>
    <col min="11500" max="11500" customWidth="1" width="11.707031" style="116"/>
    <col min="11501" max="11501" customWidth="1" width="13.1328125" style="116"/>
    <col min="11502" max="11502" customWidth="1" width="13.425781" style="116"/>
    <col min="11503" max="11504" customWidth="1" width="9.28125" style="116"/>
    <col min="11505" max="11505" customWidth="1" width="12.425781" style="116"/>
    <col min="11506" max="11507" customWidth="1" width="9.28125" style="116"/>
    <col min="11508" max="11508" customWidth="1" width="17.707031" style="116"/>
    <col min="11509" max="11539" customWidth="1" width="11.0" style="116"/>
    <col min="11540" max="11540" customWidth="1" width="14.28125" style="116"/>
    <col min="11541" max="11541" customWidth="1" width="12.0" style="116"/>
    <col min="11542" max="11548" customWidth="1" width="9.8515625" style="116"/>
    <col min="11549" max="11549" customWidth="1" width="6.4257812" style="116"/>
    <col min="11550" max="11550" customWidth="1" width="2.5703125" style="116"/>
    <col min="11551" max="11554" customWidth="1" width="9.0" style="116"/>
    <col min="11555" max="11748" customWidth="0" width="8.707031" style="116"/>
    <col min="11749" max="11750" customWidth="1" width="18.28125" style="116"/>
    <col min="11751" max="11753" customWidth="1" width="13.5703125" style="116"/>
    <col min="11754" max="11754" customWidth="1" width="12.425781" style="116"/>
    <col min="11755" max="11755" customWidth="1" width="10.707031" style="116"/>
    <col min="11756" max="11756" customWidth="1" width="11.707031" style="116"/>
    <col min="11757" max="11757" customWidth="1" width="13.1328125" style="116"/>
    <col min="11758" max="11758" customWidth="1" width="13.425781" style="116"/>
    <col min="11759" max="11760" customWidth="1" width="9.28125" style="116"/>
    <col min="11761" max="11761" customWidth="1" width="12.425781" style="116"/>
    <col min="11762" max="11763" customWidth="1" width="9.28125" style="116"/>
    <col min="11764" max="11764" customWidth="1" width="17.707031" style="116"/>
    <col min="11765" max="11795" customWidth="1" width="11.0" style="116"/>
    <col min="11796" max="11796" customWidth="1" width="14.28125" style="116"/>
    <col min="11797" max="11797" customWidth="1" width="12.0" style="116"/>
    <col min="11798" max="11804" customWidth="1" width="9.8515625" style="116"/>
    <col min="11805" max="11805" customWidth="1" width="6.4257812" style="116"/>
    <col min="11806" max="11806" customWidth="1" width="2.5703125" style="116"/>
    <col min="11807" max="11810" customWidth="1" width="9.0" style="116"/>
    <col min="11811" max="12004" customWidth="0" width="8.707031" style="116"/>
    <col min="12005" max="12006" customWidth="1" width="18.28125" style="116"/>
    <col min="12007" max="12009" customWidth="1" width="13.5703125" style="116"/>
    <col min="12010" max="12010" customWidth="1" width="12.425781" style="116"/>
    <col min="12011" max="12011" customWidth="1" width="10.707031" style="116"/>
    <col min="12012" max="12012" customWidth="1" width="11.707031" style="116"/>
    <col min="12013" max="12013" customWidth="1" width="13.1328125" style="116"/>
    <col min="12014" max="12014" customWidth="1" width="13.425781" style="116"/>
    <col min="12015" max="12016" customWidth="1" width="9.28125" style="116"/>
    <col min="12017" max="12017" customWidth="1" width="12.425781" style="116"/>
    <col min="12018" max="12019" customWidth="1" width="9.28125" style="116"/>
    <col min="12020" max="12020" customWidth="1" width="17.707031" style="116"/>
    <col min="12021" max="12051" customWidth="1" width="11.0" style="116"/>
    <col min="12052" max="12052" customWidth="1" width="14.28125" style="116"/>
    <col min="12053" max="12053" customWidth="1" width="12.0" style="116"/>
    <col min="12054" max="12060" customWidth="1" width="9.8515625" style="116"/>
    <col min="12061" max="12061" customWidth="1" width="6.4257812" style="116"/>
    <col min="12062" max="12062" customWidth="1" width="2.5703125" style="116"/>
    <col min="12063" max="12066" customWidth="1" width="9.0" style="116"/>
    <col min="12067" max="12260" customWidth="0" width="8.707031" style="116"/>
    <col min="12261" max="12262" customWidth="1" width="18.28125" style="116"/>
    <col min="12263" max="12265" customWidth="1" width="13.5703125" style="116"/>
    <col min="12266" max="12266" customWidth="1" width="12.425781" style="116"/>
    <col min="12267" max="12267" customWidth="1" width="10.707031" style="116"/>
    <col min="12268" max="12268" customWidth="1" width="11.707031" style="116"/>
    <col min="12269" max="12269" customWidth="1" width="13.1328125" style="116"/>
    <col min="12270" max="12270" customWidth="1" width="13.425781" style="116"/>
    <col min="12271" max="12272" customWidth="1" width="9.28125" style="116"/>
    <col min="12273" max="12273" customWidth="1" width="12.425781" style="116"/>
    <col min="12274" max="12275" customWidth="1" width="9.28125" style="116"/>
    <col min="12276" max="12276" customWidth="1" width="17.707031" style="116"/>
    <col min="12277" max="12307" customWidth="1" width="11.0" style="116"/>
    <col min="12308" max="12308" customWidth="1" width="14.28125" style="116"/>
    <col min="12309" max="12309" customWidth="1" width="12.0" style="116"/>
    <col min="12310" max="12316" customWidth="1" width="9.8515625" style="116"/>
    <col min="12317" max="12317" customWidth="1" width="6.4257812" style="116"/>
    <col min="12318" max="12318" customWidth="1" width="2.5703125" style="116"/>
    <col min="12319" max="12322" customWidth="1" width="9.0" style="116"/>
    <col min="12323" max="12516" customWidth="0" width="8.707031" style="116"/>
    <col min="12517" max="12518" customWidth="1" width="18.28125" style="116"/>
    <col min="12519" max="12521" customWidth="1" width="13.5703125" style="116"/>
    <col min="12522" max="12522" customWidth="1" width="12.425781" style="116"/>
    <col min="12523" max="12523" customWidth="1" width="10.707031" style="116"/>
    <col min="12524" max="12524" customWidth="1" width="11.707031" style="116"/>
    <col min="12525" max="12525" customWidth="1" width="13.1328125" style="116"/>
    <col min="12526" max="12526" customWidth="1" width="13.425781" style="116"/>
    <col min="12527" max="12528" customWidth="1" width="9.28125" style="116"/>
    <col min="12529" max="12529" customWidth="1" width="12.425781" style="116"/>
    <col min="12530" max="12531" customWidth="1" width="9.28125" style="116"/>
    <col min="12532" max="12532" customWidth="1" width="17.707031" style="116"/>
    <col min="12533" max="12563" customWidth="1" width="11.0" style="116"/>
    <col min="12564" max="12564" customWidth="1" width="14.28125" style="116"/>
    <col min="12565" max="12565" customWidth="1" width="12.0" style="116"/>
    <col min="12566" max="12572" customWidth="1" width="9.8515625" style="116"/>
    <col min="12573" max="12573" customWidth="1" width="6.4257812" style="116"/>
    <col min="12574" max="12574" customWidth="1" width="2.5703125" style="116"/>
    <col min="12575" max="12578" customWidth="1" width="9.0" style="116"/>
    <col min="12579" max="12772" customWidth="0" width="8.707031" style="116"/>
    <col min="12773" max="12774" customWidth="1" width="18.28125" style="116"/>
    <col min="12775" max="12777" customWidth="1" width="13.5703125" style="116"/>
    <col min="12778" max="12778" customWidth="1" width="12.425781" style="116"/>
    <col min="12779" max="12779" customWidth="1" width="10.707031" style="116"/>
    <col min="12780" max="12780" customWidth="1" width="11.707031" style="116"/>
    <col min="12781" max="12781" customWidth="1" width="13.1328125" style="116"/>
    <col min="12782" max="12782" customWidth="1" width="13.425781" style="116"/>
    <col min="12783" max="12784" customWidth="1" width="9.28125" style="116"/>
    <col min="12785" max="12785" customWidth="1" width="12.425781" style="116"/>
    <col min="12786" max="12787" customWidth="1" width="9.28125" style="116"/>
    <col min="12788" max="12788" customWidth="1" width="17.707031" style="116"/>
    <col min="12789" max="12819" customWidth="1" width="11.0" style="116"/>
    <col min="12820" max="12820" customWidth="1" width="14.28125" style="116"/>
    <col min="12821" max="12821" customWidth="1" width="12.0" style="116"/>
    <col min="12822" max="12828" customWidth="1" width="9.8515625" style="116"/>
    <col min="12829" max="12829" customWidth="1" width="6.4257812" style="116"/>
    <col min="12830" max="12830" customWidth="1" width="2.5703125" style="116"/>
    <col min="12831" max="12834" customWidth="1" width="9.0" style="116"/>
    <col min="12835" max="13028" customWidth="0" width="8.707031" style="116"/>
    <col min="13029" max="13030" customWidth="1" width="18.28125" style="116"/>
    <col min="13031" max="13033" customWidth="1" width="13.5703125" style="116"/>
    <col min="13034" max="13034" customWidth="1" width="12.425781" style="116"/>
    <col min="13035" max="13035" customWidth="1" width="10.707031" style="116"/>
    <col min="13036" max="13036" customWidth="1" width="11.707031" style="116"/>
    <col min="13037" max="13037" customWidth="1" width="13.1328125" style="116"/>
    <col min="13038" max="13038" customWidth="1" width="13.425781" style="116"/>
    <col min="13039" max="13040" customWidth="1" width="9.28125" style="116"/>
    <col min="13041" max="13041" customWidth="1" width="12.425781" style="116"/>
    <col min="13042" max="13043" customWidth="1" width="9.28125" style="116"/>
    <col min="13044" max="13044" customWidth="1" width="17.707031" style="116"/>
    <col min="13045" max="13075" customWidth="1" width="11.0" style="116"/>
    <col min="13076" max="13076" customWidth="1" width="14.28125" style="116"/>
    <col min="13077" max="13077" customWidth="1" width="12.0" style="116"/>
    <col min="13078" max="13084" customWidth="1" width="9.8515625" style="116"/>
    <col min="13085" max="13085" customWidth="1" width="6.4257812" style="116"/>
    <col min="13086" max="13086" customWidth="1" width="2.5703125" style="116"/>
    <col min="13087" max="13090" customWidth="1" width="9.0" style="116"/>
    <col min="13091" max="13284" customWidth="0" width="8.707031" style="116"/>
    <col min="13285" max="13286" customWidth="1" width="18.28125" style="116"/>
    <col min="13287" max="13289" customWidth="1" width="13.5703125" style="116"/>
    <col min="13290" max="13290" customWidth="1" width="12.425781" style="116"/>
    <col min="13291" max="13291" customWidth="1" width="10.707031" style="116"/>
    <col min="13292" max="13292" customWidth="1" width="11.707031" style="116"/>
    <col min="13293" max="13293" customWidth="1" width="13.1328125" style="116"/>
    <col min="13294" max="13294" customWidth="1" width="13.425781" style="116"/>
    <col min="13295" max="13296" customWidth="1" width="9.28125" style="116"/>
    <col min="13297" max="13297" customWidth="1" width="12.425781" style="116"/>
    <col min="13298" max="13299" customWidth="1" width="9.28125" style="116"/>
    <col min="13300" max="13300" customWidth="1" width="17.707031" style="116"/>
    <col min="13301" max="13331" customWidth="1" width="11.0" style="116"/>
    <col min="13332" max="13332" customWidth="1" width="14.28125" style="116"/>
    <col min="13333" max="13333" customWidth="1" width="12.0" style="116"/>
    <col min="13334" max="13340" customWidth="1" width="9.8515625" style="116"/>
    <col min="13341" max="13341" customWidth="1" width="6.4257812" style="116"/>
    <col min="13342" max="13342" customWidth="1" width="2.5703125" style="116"/>
    <col min="13343" max="13346" customWidth="1" width="9.0" style="116"/>
    <col min="13347" max="13540" customWidth="0" width="8.707031" style="116"/>
    <col min="13541" max="13542" customWidth="1" width="18.28125" style="116"/>
    <col min="13543" max="13545" customWidth="1" width="13.5703125" style="116"/>
    <col min="13546" max="13546" customWidth="1" width="12.425781" style="116"/>
    <col min="13547" max="13547" customWidth="1" width="10.707031" style="116"/>
    <col min="13548" max="13548" customWidth="1" width="11.707031" style="116"/>
    <col min="13549" max="13549" customWidth="1" width="13.1328125" style="116"/>
    <col min="13550" max="13550" customWidth="1" width="13.425781" style="116"/>
    <col min="13551" max="13552" customWidth="1" width="9.28125" style="116"/>
    <col min="13553" max="13553" customWidth="1" width="12.425781" style="116"/>
    <col min="13554" max="13555" customWidth="1" width="9.28125" style="116"/>
    <col min="13556" max="13556" customWidth="1" width="17.707031" style="116"/>
    <col min="13557" max="13587" customWidth="1" width="11.0" style="116"/>
    <col min="13588" max="13588" customWidth="1" width="14.28125" style="116"/>
    <col min="13589" max="13589" customWidth="1" width="12.0" style="116"/>
    <col min="13590" max="13596" customWidth="1" width="9.8515625" style="116"/>
    <col min="13597" max="13597" customWidth="1" width="6.4257812" style="116"/>
    <col min="13598" max="13598" customWidth="1" width="2.5703125" style="116"/>
    <col min="13599" max="13602" customWidth="1" width="9.0" style="116"/>
    <col min="13603" max="13796" customWidth="0" width="8.707031" style="116"/>
    <col min="13797" max="13798" customWidth="1" width="18.28125" style="116"/>
    <col min="13799" max="13801" customWidth="1" width="13.5703125" style="116"/>
    <col min="13802" max="13802" customWidth="1" width="12.425781" style="116"/>
    <col min="13803" max="13803" customWidth="1" width="10.707031" style="116"/>
    <col min="13804" max="13804" customWidth="1" width="11.707031" style="116"/>
    <col min="13805" max="13805" customWidth="1" width="13.1328125" style="116"/>
    <col min="13806" max="13806" customWidth="1" width="13.425781" style="116"/>
    <col min="13807" max="13808" customWidth="1" width="9.28125" style="116"/>
    <col min="13809" max="13809" customWidth="1" width="12.425781" style="116"/>
    <col min="13810" max="13811" customWidth="1" width="9.28125" style="116"/>
    <col min="13812" max="13812" customWidth="1" width="17.707031" style="116"/>
    <col min="13813" max="13843" customWidth="1" width="11.0" style="116"/>
    <col min="13844" max="13844" customWidth="1" width="14.28125" style="116"/>
    <col min="13845" max="13845" customWidth="1" width="12.0" style="116"/>
    <col min="13846" max="13852" customWidth="1" width="9.8515625" style="116"/>
    <col min="13853" max="13853" customWidth="1" width="6.4257812" style="116"/>
    <col min="13854" max="13854" customWidth="1" width="2.5703125" style="116"/>
    <col min="13855" max="13858" customWidth="1" width="9.0" style="116"/>
    <col min="13859" max="14052" customWidth="0" width="8.707031" style="116"/>
    <col min="14053" max="14054" customWidth="1" width="18.28125" style="116"/>
    <col min="14055" max="14057" customWidth="1" width="13.5703125" style="116"/>
    <col min="14058" max="14058" customWidth="1" width="12.425781" style="116"/>
    <col min="14059" max="14059" customWidth="1" width="10.707031" style="116"/>
    <col min="14060" max="14060" customWidth="1" width="11.707031" style="116"/>
    <col min="14061" max="14061" customWidth="1" width="13.1328125" style="116"/>
    <col min="14062" max="14062" customWidth="1" width="13.425781" style="116"/>
    <col min="14063" max="14064" customWidth="1" width="9.28125" style="116"/>
    <col min="14065" max="14065" customWidth="1" width="12.425781" style="116"/>
    <col min="14066" max="14067" customWidth="1" width="9.28125" style="116"/>
    <col min="14068" max="14068" customWidth="1" width="17.707031" style="116"/>
    <col min="14069" max="14099" customWidth="1" width="11.0" style="116"/>
    <col min="14100" max="14100" customWidth="1" width="14.28125" style="116"/>
    <col min="14101" max="14101" customWidth="1" width="12.0" style="116"/>
    <col min="14102" max="14108" customWidth="1" width="9.8515625" style="116"/>
    <col min="14109" max="14109" customWidth="1" width="6.4257812" style="116"/>
    <col min="14110" max="14110" customWidth="1" width="2.5703125" style="116"/>
    <col min="14111" max="14114" customWidth="1" width="9.0" style="116"/>
    <col min="14115" max="14308" customWidth="0" width="8.707031" style="116"/>
    <col min="14309" max="14310" customWidth="1" width="18.28125" style="116"/>
    <col min="14311" max="14313" customWidth="1" width="13.5703125" style="116"/>
    <col min="14314" max="14314" customWidth="1" width="12.425781" style="116"/>
    <col min="14315" max="14315" customWidth="1" width="10.707031" style="116"/>
    <col min="14316" max="14316" customWidth="1" width="11.707031" style="116"/>
    <col min="14317" max="14317" customWidth="1" width="13.1328125" style="116"/>
    <col min="14318" max="14318" customWidth="1" width="13.425781" style="116"/>
    <col min="14319" max="14320" customWidth="1" width="9.28125" style="116"/>
    <col min="14321" max="14321" customWidth="1" width="12.425781" style="116"/>
    <col min="14322" max="14323" customWidth="1" width="9.28125" style="116"/>
    <col min="14324" max="14324" customWidth="1" width="17.707031" style="116"/>
    <col min="14325" max="14355" customWidth="1" width="11.0" style="116"/>
    <col min="14356" max="14356" customWidth="1" width="14.28125" style="116"/>
    <col min="14357" max="14357" customWidth="1" width="12.0" style="116"/>
    <col min="14358" max="14364" customWidth="1" width="9.8515625" style="116"/>
    <col min="14365" max="14365" customWidth="1" width="6.4257812" style="116"/>
    <col min="14366" max="14366" customWidth="1" width="2.5703125" style="116"/>
    <col min="14367" max="14370" customWidth="1" width="9.0" style="116"/>
    <col min="14371" max="14564" customWidth="0" width="8.707031" style="116"/>
    <col min="14565" max="14566" customWidth="1" width="18.28125" style="116"/>
    <col min="14567" max="14569" customWidth="1" width="13.5703125" style="116"/>
    <col min="14570" max="14570" customWidth="1" width="12.425781" style="116"/>
    <col min="14571" max="14571" customWidth="1" width="10.707031" style="116"/>
    <col min="14572" max="14572" customWidth="1" width="11.707031" style="116"/>
    <col min="14573" max="14573" customWidth="1" width="13.1328125" style="116"/>
    <col min="14574" max="14574" customWidth="1" width="13.425781" style="116"/>
    <col min="14575" max="14576" customWidth="1" width="9.28125" style="116"/>
    <col min="14577" max="14577" customWidth="1" width="12.425781" style="116"/>
    <col min="14578" max="14579" customWidth="1" width="9.28125" style="116"/>
    <col min="14580" max="14580" customWidth="1" width="17.707031" style="116"/>
    <col min="14581" max="14611" customWidth="1" width="11.0" style="116"/>
    <col min="14612" max="14612" customWidth="1" width="14.28125" style="116"/>
    <col min="14613" max="14613" customWidth="1" width="12.0" style="116"/>
    <col min="14614" max="14620" customWidth="1" width="9.8515625" style="116"/>
    <col min="14621" max="14621" customWidth="1" width="6.4257812" style="116"/>
    <col min="14622" max="14622" customWidth="1" width="2.5703125" style="116"/>
    <col min="14623" max="14626" customWidth="1" width="9.0" style="116"/>
    <col min="14627" max="14820" customWidth="0" width="8.707031" style="116"/>
    <col min="14821" max="14822" customWidth="1" width="18.28125" style="116"/>
    <col min="14823" max="14825" customWidth="1" width="13.5703125" style="116"/>
    <col min="14826" max="14826" customWidth="1" width="12.425781" style="116"/>
    <col min="14827" max="14827" customWidth="1" width="10.707031" style="116"/>
    <col min="14828" max="14828" customWidth="1" width="11.707031" style="116"/>
    <col min="14829" max="14829" customWidth="1" width="13.1328125" style="116"/>
    <col min="14830" max="14830" customWidth="1" width="13.425781" style="116"/>
    <col min="14831" max="14832" customWidth="1" width="9.28125" style="116"/>
    <col min="14833" max="14833" customWidth="1" width="12.425781" style="116"/>
    <col min="14834" max="14835" customWidth="1" width="9.28125" style="116"/>
    <col min="14836" max="14836" customWidth="1" width="17.707031" style="116"/>
    <col min="14837" max="14867" customWidth="1" width="11.0" style="116"/>
    <col min="14868" max="14868" customWidth="1" width="14.28125" style="116"/>
    <col min="14869" max="14869" customWidth="1" width="12.0" style="116"/>
    <col min="14870" max="14876" customWidth="1" width="9.8515625" style="116"/>
    <col min="14877" max="14877" customWidth="1" width="6.4257812" style="116"/>
    <col min="14878" max="14878" customWidth="1" width="2.5703125" style="116"/>
    <col min="14879" max="14882" customWidth="1" width="9.0" style="116"/>
    <col min="14883" max="15076" customWidth="0" width="8.707031" style="116"/>
    <col min="15077" max="15078" customWidth="1" width="18.28125" style="116"/>
    <col min="15079" max="15081" customWidth="1" width="13.5703125" style="116"/>
    <col min="15082" max="15082" customWidth="1" width="12.425781" style="116"/>
    <col min="15083" max="15083" customWidth="1" width="10.707031" style="116"/>
    <col min="15084" max="15084" customWidth="1" width="11.707031" style="116"/>
    <col min="15085" max="15085" customWidth="1" width="13.1328125" style="116"/>
    <col min="15086" max="15086" customWidth="1" width="13.425781" style="116"/>
    <col min="15087" max="15088" customWidth="1" width="9.28125" style="116"/>
    <col min="15089" max="15089" customWidth="1" width="12.425781" style="116"/>
    <col min="15090" max="15091" customWidth="1" width="9.28125" style="116"/>
    <col min="15092" max="15092" customWidth="1" width="17.707031" style="116"/>
    <col min="15093" max="15123" customWidth="1" width="11.0" style="116"/>
    <col min="15124" max="15124" customWidth="1" width="14.28125" style="116"/>
    <col min="15125" max="15125" customWidth="1" width="12.0" style="116"/>
    <col min="15126" max="15132" customWidth="1" width="9.8515625" style="116"/>
    <col min="15133" max="15133" customWidth="1" width="6.4257812" style="116"/>
    <col min="15134" max="15134" customWidth="1" width="2.5703125" style="116"/>
    <col min="15135" max="15138" customWidth="1" width="9.0" style="116"/>
    <col min="15139" max="15332" customWidth="0" width="8.707031" style="116"/>
    <col min="15333" max="15334" customWidth="1" width="18.28125" style="116"/>
    <col min="15335" max="15337" customWidth="1" width="13.5703125" style="116"/>
    <col min="15338" max="15338" customWidth="1" width="12.425781" style="116"/>
    <col min="15339" max="15339" customWidth="1" width="10.707031" style="116"/>
    <col min="15340" max="15340" customWidth="1" width="11.707031" style="116"/>
    <col min="15341" max="15341" customWidth="1" width="13.1328125" style="116"/>
    <col min="15342" max="15342" customWidth="1" width="13.425781" style="116"/>
    <col min="15343" max="15344" customWidth="1" width="9.28125" style="116"/>
    <col min="15345" max="15345" customWidth="1" width="12.425781" style="116"/>
    <col min="15346" max="15347" customWidth="1" width="9.28125" style="116"/>
    <col min="15348" max="15348" customWidth="1" width="17.707031" style="116"/>
    <col min="15349" max="15379" customWidth="1" width="11.0" style="116"/>
    <col min="15380" max="15380" customWidth="1" width="14.28125" style="116"/>
    <col min="15381" max="15381" customWidth="1" width="12.0" style="116"/>
    <col min="15382" max="15388" customWidth="1" width="9.8515625" style="116"/>
    <col min="15389" max="15389" customWidth="1" width="6.4257812" style="116"/>
    <col min="15390" max="15390" customWidth="1" width="2.5703125" style="116"/>
    <col min="15391" max="15394" customWidth="1" width="9.0" style="116"/>
    <col min="15395" max="15588" customWidth="0" width="8.707031" style="116"/>
    <col min="15589" max="15590" customWidth="1" width="18.28125" style="116"/>
    <col min="15591" max="15593" customWidth="1" width="13.5703125" style="116"/>
    <col min="15594" max="15594" customWidth="1" width="12.425781" style="116"/>
    <col min="15595" max="15595" customWidth="1" width="10.707031" style="116"/>
    <col min="15596" max="15596" customWidth="1" width="11.707031" style="116"/>
    <col min="15597" max="15597" customWidth="1" width="13.1328125" style="116"/>
    <col min="15598" max="15598" customWidth="1" width="13.425781" style="116"/>
    <col min="15599" max="15600" customWidth="1" width="9.28125" style="116"/>
    <col min="15601" max="15601" customWidth="1" width="12.425781" style="116"/>
    <col min="15602" max="15603" customWidth="1" width="9.28125" style="116"/>
    <col min="15604" max="15604" customWidth="1" width="17.707031" style="116"/>
    <col min="15605" max="15635" customWidth="1" width="11.0" style="116"/>
    <col min="15636" max="15636" customWidth="1" width="14.28125" style="116"/>
    <col min="15637" max="15637" customWidth="1" width="12.0" style="116"/>
    <col min="15638" max="15644" customWidth="1" width="9.8515625" style="116"/>
    <col min="15645" max="15645" customWidth="1" width="6.4257812" style="116"/>
    <col min="15646" max="15646" customWidth="1" width="2.5703125" style="116"/>
    <col min="15647" max="15650" customWidth="1" width="9.0" style="116"/>
    <col min="15651" max="15844" customWidth="0" width="8.707031" style="116"/>
    <col min="15845" max="15846" customWidth="1" width="18.28125" style="116"/>
    <col min="15847" max="15849" customWidth="1" width="13.5703125" style="116"/>
    <col min="15850" max="15850" customWidth="1" width="12.425781" style="116"/>
    <col min="15851" max="15851" customWidth="1" width="10.707031" style="116"/>
    <col min="15852" max="15852" customWidth="1" width="11.707031" style="116"/>
    <col min="15853" max="15853" customWidth="1" width="13.1328125" style="116"/>
    <col min="15854" max="15854" customWidth="1" width="13.425781" style="116"/>
    <col min="15855" max="15856" customWidth="1" width="9.28125" style="116"/>
    <col min="15857" max="15857" customWidth="1" width="12.425781" style="116"/>
    <col min="15858" max="15859" customWidth="1" width="9.28125" style="116"/>
    <col min="15860" max="15860" customWidth="1" width="17.707031" style="116"/>
    <col min="15861" max="15891" customWidth="1" width="11.0" style="116"/>
    <col min="15892" max="15892" customWidth="1" width="14.28125" style="116"/>
    <col min="15893" max="15893" customWidth="1" width="12.0" style="116"/>
    <col min="15894" max="15900" customWidth="1" width="9.8515625" style="116"/>
    <col min="15901" max="15901" customWidth="1" width="6.4257812" style="116"/>
    <col min="15902" max="15902" customWidth="1" width="2.5703125" style="116"/>
    <col min="15903" max="15906" customWidth="1" width="9.0" style="116"/>
    <col min="15907" max="16100" customWidth="0" width="8.707031" style="116"/>
    <col min="16101" max="16102" customWidth="1" width="18.28125" style="116"/>
    <col min="16103" max="16105" customWidth="1" width="13.5703125" style="116"/>
    <col min="16106" max="16106" customWidth="1" width="12.425781" style="116"/>
    <col min="16107" max="16107" customWidth="1" width="10.707031" style="116"/>
    <col min="16108" max="16108" customWidth="1" width="11.707031" style="116"/>
    <col min="16109" max="16109" customWidth="1" width="13.1328125" style="116"/>
    <col min="16110" max="16110" customWidth="1" width="13.425781" style="116"/>
    <col min="16111" max="16112" customWidth="1" width="9.28125" style="116"/>
    <col min="16113" max="16113" customWidth="1" width="12.425781" style="116"/>
    <col min="16114" max="16115" customWidth="1" width="9.28125" style="116"/>
    <col min="16116" max="16116" customWidth="1" width="17.707031" style="116"/>
    <col min="16117" max="16147" customWidth="1" width="11.0" style="116"/>
    <col min="16148" max="16148" customWidth="1" width="14.28125" style="116"/>
    <col min="16149" max="16149" customWidth="1" width="12.0" style="116"/>
    <col min="16150" max="16156" customWidth="1" width="9.8515625" style="116"/>
    <col min="16157" max="16157" customWidth="1" width="6.4257812" style="116"/>
    <col min="16158" max="16158" customWidth="1" width="2.5703125" style="116"/>
    <col min="16159" max="16162" customWidth="1" width="9.0" style="116"/>
    <col min="16163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515650-07-12 
SUP11C, SL8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278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318"/>
      <c r="AF5" s="318"/>
      <c r="AG5" s="318"/>
      <c r="AH5" s="318"/>
      <c r="AI5" s="318"/>
      <c r="AJ5" s="318"/>
      <c r="AK5" s="318"/>
      <c r="AL5" s="318"/>
      <c r="AM5" s="318"/>
      <c r="AN5" s="318"/>
      <c r="AO5" s="318"/>
      <c r="AP5" s="318"/>
      <c r="AQ5" s="318"/>
      <c r="AR5" s="319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320">
        <v>2376.0</v>
      </c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287"/>
      <c r="AE6" s="287"/>
      <c r="AF6" s="287"/>
      <c r="AG6" s="287"/>
      <c r="AH6" s="287"/>
      <c r="AI6" s="287"/>
      <c r="AJ6" s="287"/>
      <c r="AK6" s="287"/>
      <c r="AL6" s="287"/>
      <c r="AM6" s="287"/>
      <c r="AN6" s="287"/>
      <c r="AO6" s="287"/>
      <c r="AP6" s="287"/>
      <c r="AQ6" s="287"/>
      <c r="AR6" s="287"/>
      <c r="AS6" s="184">
        <f>SUM(N6:AR6)</f>
        <v>2376.0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287">
        <f>N6-N8-N9</f>
        <v>0.0</v>
      </c>
      <c r="O7" s="287">
        <f t="shared" si="0" ref="O7:AC7">O6-O8-O9</f>
        <v>0.0</v>
      </c>
      <c r="P7" s="287">
        <f t="shared" si="0"/>
        <v>0.0</v>
      </c>
      <c r="Q7" s="287">
        <f t="shared" si="0"/>
        <v>0.0</v>
      </c>
      <c r="R7" s="287">
        <f t="shared" si="0"/>
        <v>0.0</v>
      </c>
      <c r="S7" s="287">
        <f t="shared" si="0"/>
        <v>0.0</v>
      </c>
      <c r="T7" s="287">
        <f t="shared" si="0"/>
        <v>0.0</v>
      </c>
      <c r="U7" s="287">
        <f t="shared" si="0"/>
        <v>0.0</v>
      </c>
      <c r="V7" s="287">
        <f t="shared" si="0"/>
        <v>0.0</v>
      </c>
      <c r="W7" s="287">
        <f t="shared" si="0"/>
        <v>0.0</v>
      </c>
      <c r="X7" s="287">
        <f t="shared" si="0"/>
        <v>0.0</v>
      </c>
      <c r="Y7" s="287">
        <f t="shared" si="0"/>
        <v>0.0</v>
      </c>
      <c r="Z7" s="287">
        <f t="shared" si="0"/>
        <v>0.0</v>
      </c>
      <c r="AA7" s="287">
        <f t="shared" si="0"/>
        <v>0.0</v>
      </c>
      <c r="AB7" s="287">
        <f t="shared" si="0"/>
        <v>0.0</v>
      </c>
      <c r="AC7" s="287">
        <f t="shared" si="0"/>
        <v>0.0</v>
      </c>
      <c r="AD7" s="320">
        <f t="shared" si="1" ref="AC7:BG7">AD6-AD8-AD9</f>
        <v>0.0</v>
      </c>
      <c r="AE7" s="320">
        <f t="shared" si="1"/>
        <v>0.0</v>
      </c>
      <c r="AF7" s="287">
        <f t="shared" si="1"/>
        <v>0.0</v>
      </c>
      <c r="AG7" s="287">
        <f t="shared" si="1"/>
        <v>0.0</v>
      </c>
      <c r="AH7" s="287">
        <f t="shared" si="1"/>
        <v>0.0</v>
      </c>
      <c r="AI7" s="287">
        <f t="shared" si="1"/>
        <v>0.0</v>
      </c>
      <c r="AJ7" s="287">
        <f t="shared" si="1"/>
        <v>0.0</v>
      </c>
      <c r="AK7" s="287">
        <f t="shared" si="1"/>
        <v>0.0</v>
      </c>
      <c r="AL7" s="287">
        <f t="shared" si="1"/>
        <v>0.0</v>
      </c>
      <c r="AM7" s="287">
        <f t="shared" si="1"/>
        <v>0.0</v>
      </c>
      <c r="AN7" s="287">
        <f t="shared" si="1"/>
        <v>0.0</v>
      </c>
      <c r="AO7" s="287">
        <f t="shared" si="1"/>
        <v>0.0</v>
      </c>
      <c r="AP7" s="287">
        <f t="shared" si="1"/>
        <v>0.0</v>
      </c>
      <c r="AQ7" s="287">
        <f t="shared" si="1"/>
        <v>0.0</v>
      </c>
      <c r="AR7" s="287">
        <f t="shared" si="1"/>
        <v>0.0</v>
      </c>
      <c r="AS7" s="283">
        <f t="shared" si="1"/>
        <v>0.0</v>
      </c>
      <c r="AT7" s="283">
        <f t="shared" si="1"/>
        <v>-1.0</v>
      </c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287">
        <v>2376.0</v>
      </c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189">
        <f t="shared" si="2" ref="AS8:AS15">SUM(N8:AR8)</f>
        <v>2376.0</v>
      </c>
      <c r="AT8" s="190">
        <f>(AS8/(AS6-AS7))*100%</f>
        <v>1.0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322"/>
      <c r="AQ9" s="322"/>
      <c r="AR9" s="322"/>
      <c r="AS9" s="184">
        <f t="shared" si="2"/>
        <v>0.0</v>
      </c>
      <c r="AT9" s="193">
        <f>(AS9/(AS6-AS7))*100%</f>
        <v>0.0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4"/>
      <c r="AC10" s="334"/>
      <c r="AD10" s="335"/>
      <c r="AE10" s="335"/>
      <c r="AF10" s="335"/>
      <c r="AG10" s="335"/>
      <c r="AH10" s="335"/>
      <c r="AI10" s="335"/>
      <c r="AJ10" s="335"/>
      <c r="AK10" s="335"/>
      <c r="AL10" s="335"/>
      <c r="AM10" s="335"/>
      <c r="AN10" s="335"/>
      <c r="AO10" s="335"/>
      <c r="AP10" s="335"/>
      <c r="AQ10" s="335"/>
      <c r="AR10" s="336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0.0</v>
      </c>
      <c r="E11" s="155"/>
      <c r="F11" s="156">
        <v>0.0</v>
      </c>
      <c r="G11" s="218"/>
      <c r="H11" s="158"/>
      <c r="I11" s="159"/>
      <c r="J11" s="160"/>
      <c r="K11" s="161"/>
      <c r="L11" s="162"/>
      <c r="M11" s="163" t="s">
        <v>130</v>
      </c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9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320">
        <v>2376.0</v>
      </c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212">
        <f t="shared" si="2"/>
        <v>2376.0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287">
        <f>N12-N14-N15</f>
        <v>0.0</v>
      </c>
      <c r="O13" s="287">
        <f t="shared" si="3" ref="O13:AC13">O12-O14-O15</f>
        <v>0.0</v>
      </c>
      <c r="P13" s="287">
        <f t="shared" si="3"/>
        <v>0.0</v>
      </c>
      <c r="Q13" s="287">
        <f t="shared" si="3"/>
        <v>0.0</v>
      </c>
      <c r="R13" s="287">
        <f t="shared" si="3"/>
        <v>0.0</v>
      </c>
      <c r="S13" s="287">
        <f t="shared" si="3"/>
        <v>0.0</v>
      </c>
      <c r="T13" s="287">
        <f t="shared" si="3"/>
        <v>0.0</v>
      </c>
      <c r="U13" s="287">
        <f t="shared" si="3"/>
        <v>0.0</v>
      </c>
      <c r="V13" s="287">
        <f t="shared" si="3"/>
        <v>0.0</v>
      </c>
      <c r="W13" s="287">
        <f t="shared" si="3"/>
        <v>0.0</v>
      </c>
      <c r="X13" s="287">
        <f t="shared" si="3"/>
        <v>0.0</v>
      </c>
      <c r="Y13" s="287">
        <f t="shared" si="3"/>
        <v>0.0</v>
      </c>
      <c r="Z13" s="287">
        <f t="shared" si="3"/>
        <v>0.0</v>
      </c>
      <c r="AA13" s="287">
        <f t="shared" si="3"/>
        <v>0.0</v>
      </c>
      <c r="AB13" s="287">
        <f t="shared" si="3"/>
        <v>0.0</v>
      </c>
      <c r="AC13" s="287">
        <f t="shared" si="4" ref="AC13:BG13">AC12-AC14-AC15</f>
        <v>0.0</v>
      </c>
      <c r="AD13" s="320">
        <f t="shared" si="4"/>
        <v>0.0</v>
      </c>
      <c r="AE13" s="320">
        <f t="shared" si="4"/>
        <v>0.0</v>
      </c>
      <c r="AF13" s="287">
        <f t="shared" si="4"/>
        <v>0.0</v>
      </c>
      <c r="AG13" s="287">
        <f t="shared" si="4"/>
        <v>0.0</v>
      </c>
      <c r="AH13" s="287">
        <f t="shared" si="4"/>
        <v>0.0</v>
      </c>
      <c r="AI13" s="287">
        <f t="shared" si="4"/>
        <v>0.0</v>
      </c>
      <c r="AJ13" s="287">
        <f t="shared" si="4"/>
        <v>0.0</v>
      </c>
      <c r="AK13" s="287">
        <f t="shared" si="4"/>
        <v>0.0</v>
      </c>
      <c r="AL13" s="287">
        <f t="shared" si="4"/>
        <v>0.0</v>
      </c>
      <c r="AM13" s="287">
        <f t="shared" si="4"/>
        <v>0.0</v>
      </c>
      <c r="AN13" s="287">
        <f t="shared" si="4"/>
        <v>0.0</v>
      </c>
      <c r="AO13" s="287">
        <f t="shared" si="4"/>
        <v>0.0</v>
      </c>
      <c r="AP13" s="287">
        <f t="shared" si="4"/>
        <v>0.0</v>
      </c>
      <c r="AQ13" s="287">
        <f t="shared" si="4"/>
        <v>0.0</v>
      </c>
      <c r="AR13" s="287">
        <f t="shared" si="4"/>
        <v>0.0</v>
      </c>
      <c r="AS13" s="283">
        <f t="shared" si="4"/>
        <v>0.0</v>
      </c>
      <c r="AT13" s="283">
        <f t="shared" si="4"/>
        <v>-1.0</v>
      </c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287">
        <v>2376.0</v>
      </c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184">
        <f t="shared" si="2"/>
        <v>2376.0</v>
      </c>
      <c r="AT14" s="190">
        <f>(AS14/(AS12-AS13))*100%</f>
        <v>1.0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215">
        <f t="shared" si="2"/>
        <v>0.0</v>
      </c>
      <c r="AT15" s="193">
        <f>(AS15/(AS12-AS13))*100%</f>
        <v>0.0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34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335"/>
      <c r="AJ16" s="335"/>
      <c r="AK16" s="335"/>
      <c r="AL16" s="335"/>
      <c r="AM16" s="335"/>
      <c r="AN16" s="335"/>
      <c r="AO16" s="335"/>
      <c r="AP16" s="335"/>
      <c r="AQ16" s="335"/>
      <c r="AR16" s="336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40139.0</v>
      </c>
      <c r="G17" s="218">
        <v>44197.0</v>
      </c>
      <c r="H17" s="158"/>
      <c r="I17" s="159"/>
      <c r="J17" s="160"/>
      <c r="K17" s="161"/>
      <c r="L17" s="162"/>
      <c r="M17" s="163" t="s">
        <v>130</v>
      </c>
      <c r="N17" s="327"/>
      <c r="O17" s="327"/>
      <c r="P17" s="327"/>
      <c r="Q17" s="327"/>
      <c r="R17" s="327"/>
      <c r="S17" s="327"/>
      <c r="T17" s="327"/>
      <c r="U17" s="327"/>
      <c r="V17" s="320"/>
      <c r="W17" s="327"/>
      <c r="X17" s="327"/>
      <c r="Y17" s="320"/>
      <c r="Z17" s="320"/>
      <c r="AA17" s="327"/>
      <c r="AB17" s="320"/>
      <c r="AC17" s="32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320">
        <v>2376.0</v>
      </c>
      <c r="O18" s="320"/>
      <c r="P18" s="320"/>
      <c r="Q18" s="320"/>
      <c r="R18" s="320"/>
      <c r="S18" s="287"/>
      <c r="T18" s="320"/>
      <c r="U18" s="320"/>
      <c r="V18" s="287"/>
      <c r="W18" s="320"/>
      <c r="X18" s="320"/>
      <c r="Y18" s="287"/>
      <c r="Z18" s="287"/>
      <c r="AA18" s="320"/>
      <c r="AB18" s="287"/>
      <c r="AC18" s="320"/>
      <c r="AD18" s="320"/>
      <c r="AE18" s="320"/>
      <c r="AF18" s="320"/>
      <c r="AG18" s="320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212">
        <f t="shared" si="5" ref="AS18:AS21">SUM(N18:AR18)</f>
        <v>2376.0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287">
        <f>N18-N20-N21</f>
        <v>0.0</v>
      </c>
      <c r="O19" s="287">
        <f>O18-O20-O21</f>
        <v>0.0</v>
      </c>
      <c r="P19" s="287">
        <f>P18-P20-P21</f>
        <v>0.0</v>
      </c>
      <c r="Q19" s="287">
        <f>Q18-Q20-Q21</f>
        <v>0.0</v>
      </c>
      <c r="R19" s="287">
        <f t="shared" si="6" ref="R19:AT19">R18-R20-R21</f>
        <v>0.0</v>
      </c>
      <c r="S19" s="287">
        <f t="shared" si="6"/>
        <v>0.0</v>
      </c>
      <c r="T19" s="287">
        <f t="shared" si="6"/>
        <v>0.0</v>
      </c>
      <c r="U19" s="287">
        <f t="shared" si="6"/>
        <v>0.0</v>
      </c>
      <c r="V19" s="287">
        <f t="shared" si="6"/>
        <v>0.0</v>
      </c>
      <c r="W19" s="287">
        <f t="shared" si="6"/>
        <v>0.0</v>
      </c>
      <c r="X19" s="287">
        <f t="shared" si="6"/>
        <v>0.0</v>
      </c>
      <c r="Y19" s="287">
        <f t="shared" si="6"/>
        <v>0.0</v>
      </c>
      <c r="Z19" s="287">
        <f t="shared" si="6"/>
        <v>0.0</v>
      </c>
      <c r="AA19" s="287">
        <f t="shared" si="6"/>
        <v>0.0</v>
      </c>
      <c r="AB19" s="287">
        <f t="shared" si="6"/>
        <v>0.0</v>
      </c>
      <c r="AC19" s="287">
        <f t="shared" si="6"/>
        <v>0.0</v>
      </c>
      <c r="AD19" s="287">
        <f t="shared" si="6"/>
        <v>0.0</v>
      </c>
      <c r="AE19" s="287">
        <f t="shared" si="6"/>
        <v>0.0</v>
      </c>
      <c r="AF19" s="287">
        <f t="shared" si="6"/>
        <v>0.0</v>
      </c>
      <c r="AG19" s="287">
        <f t="shared" si="6"/>
        <v>0.0</v>
      </c>
      <c r="AH19" s="287">
        <f t="shared" si="6"/>
        <v>0.0</v>
      </c>
      <c r="AI19" s="287">
        <f t="shared" si="6"/>
        <v>0.0</v>
      </c>
      <c r="AJ19" s="287">
        <f t="shared" si="6"/>
        <v>0.0</v>
      </c>
      <c r="AK19" s="287">
        <f t="shared" si="6"/>
        <v>0.0</v>
      </c>
      <c r="AL19" s="287">
        <f t="shared" si="6"/>
        <v>0.0</v>
      </c>
      <c r="AM19" s="287">
        <f t="shared" si="6"/>
        <v>0.0</v>
      </c>
      <c r="AN19" s="287">
        <f t="shared" si="6"/>
        <v>0.0</v>
      </c>
      <c r="AO19" s="287">
        <f t="shared" si="6"/>
        <v>0.0</v>
      </c>
      <c r="AP19" s="287">
        <f t="shared" si="6"/>
        <v>0.0</v>
      </c>
      <c r="AQ19" s="287">
        <f t="shared" si="6"/>
        <v>0.0</v>
      </c>
      <c r="AR19" s="287">
        <f t="shared" si="6"/>
        <v>0.0</v>
      </c>
      <c r="AS19" s="283">
        <f t="shared" si="6"/>
        <v>0.0</v>
      </c>
      <c r="AT19" s="283">
        <f t="shared" si="6"/>
        <v>-1.0</v>
      </c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287">
        <v>2376.0</v>
      </c>
      <c r="O20" s="287"/>
      <c r="P20" s="287"/>
      <c r="Q20" s="287"/>
      <c r="R20" s="287"/>
      <c r="S20" s="287"/>
      <c r="T20" s="287"/>
      <c r="U20" s="287"/>
      <c r="V20" s="322"/>
      <c r="W20" s="287"/>
      <c r="X20" s="287"/>
      <c r="Y20" s="322"/>
      <c r="Z20" s="322"/>
      <c r="AA20" s="287"/>
      <c r="AB20" s="322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184">
        <f t="shared" si="5"/>
        <v>2376.0</v>
      </c>
      <c r="AT20" s="190">
        <f>(AS20/(AS18-AS19))*100%</f>
        <v>1.0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215">
        <f t="shared" si="5"/>
        <v>0.0</v>
      </c>
      <c r="AT21" s="193">
        <f>(AS21/(AS18-AS19))*100%</f>
        <v>0.0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34"/>
      <c r="O22" s="335"/>
      <c r="P22" s="335"/>
      <c r="Q22" s="335"/>
      <c r="R22" s="335"/>
      <c r="S22" s="335"/>
      <c r="T22" s="335"/>
      <c r="U22" s="335"/>
      <c r="V22" s="335"/>
      <c r="W22" s="335"/>
      <c r="X22" s="335"/>
      <c r="Y22" s="335"/>
      <c r="Z22" s="335"/>
      <c r="AA22" s="335"/>
      <c r="AB22" s="335"/>
      <c r="AC22" s="335"/>
      <c r="AD22" s="335"/>
      <c r="AE22" s="335"/>
      <c r="AF22" s="335"/>
      <c r="AG22" s="335"/>
      <c r="AH22" s="335"/>
      <c r="AI22" s="335"/>
      <c r="AJ22" s="335"/>
      <c r="AK22" s="335"/>
      <c r="AL22" s="335"/>
      <c r="AM22" s="335"/>
      <c r="AN22" s="335"/>
      <c r="AO22" s="335"/>
      <c r="AP22" s="335"/>
      <c r="AQ22" s="335"/>
      <c r="AR22" s="336"/>
      <c r="AS22" s="207"/>
      <c r="AT22" s="208"/>
    </row>
    <row r="23" spans="8:8" s="150" ht="23.25" customFormat="1" customHeight="1">
      <c r="A23" s="169"/>
      <c r="B23" s="152" t="s">
        <v>20</v>
      </c>
      <c r="C23" s="153"/>
      <c r="D23" s="154">
        <f>F23+AS26-AS30+AS31</f>
        <v>500.0</v>
      </c>
      <c r="E23" s="155"/>
      <c r="F23" s="156">
        <v>20845.0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318"/>
      <c r="O23" s="318" t="s">
        <v>148</v>
      </c>
      <c r="P23" s="318"/>
      <c r="Q23" s="318" t="s">
        <v>150</v>
      </c>
      <c r="R23" s="318"/>
      <c r="S23" s="318"/>
      <c r="T23" s="318"/>
      <c r="U23" s="318"/>
      <c r="V23" s="318"/>
      <c r="W23" s="318"/>
      <c r="X23" s="318"/>
      <c r="Y23" s="318"/>
      <c r="Z23" s="318"/>
      <c r="AA23" s="327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9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287">
        <f>7180+500</f>
        <v>7680.0</v>
      </c>
      <c r="O24" s="320">
        <v>50000.0</v>
      </c>
      <c r="P24" s="320"/>
      <c r="Q24" s="320">
        <v>50000.0</v>
      </c>
      <c r="R24" s="320"/>
      <c r="S24" s="287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0"/>
      <c r="AK24" s="320"/>
      <c r="AL24" s="320"/>
      <c r="AM24" s="320"/>
      <c r="AN24" s="320"/>
      <c r="AO24" s="320"/>
      <c r="AP24" s="320"/>
      <c r="AQ24" s="320"/>
      <c r="AR24" s="320"/>
      <c r="AS24" s="212">
        <f>SUM(N24:AR24)</f>
        <v>107680.0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287">
        <f t="shared" si="7" ref="N25:AB25">N24-N26-N27</f>
        <v>0.0</v>
      </c>
      <c r="O25" s="287">
        <f t="shared" si="7"/>
        <v>39097.0</v>
      </c>
      <c r="P25" s="287">
        <f t="shared" si="7"/>
        <v>0.0</v>
      </c>
      <c r="Q25" s="287">
        <f t="shared" si="7"/>
        <v>26068.0</v>
      </c>
      <c r="R25" s="287">
        <f t="shared" si="7"/>
        <v>0.0</v>
      </c>
      <c r="S25" s="287">
        <f t="shared" si="7"/>
        <v>0.0</v>
      </c>
      <c r="T25" s="287">
        <f t="shared" si="7"/>
        <v>0.0</v>
      </c>
      <c r="U25" s="287">
        <f t="shared" si="7"/>
        <v>0.0</v>
      </c>
      <c r="V25" s="287">
        <f t="shared" si="7"/>
        <v>0.0</v>
      </c>
      <c r="W25" s="287">
        <f t="shared" si="7"/>
        <v>0.0</v>
      </c>
      <c r="X25" s="287">
        <f t="shared" si="7"/>
        <v>0.0</v>
      </c>
      <c r="Y25" s="287">
        <f t="shared" si="7"/>
        <v>0.0</v>
      </c>
      <c r="Z25" s="287">
        <f t="shared" si="7"/>
        <v>0.0</v>
      </c>
      <c r="AA25" s="287">
        <f t="shared" si="7"/>
        <v>0.0</v>
      </c>
      <c r="AB25" s="287">
        <f t="shared" si="7"/>
        <v>0.0</v>
      </c>
      <c r="AC25" s="287">
        <f t="shared" si="8" ref="AC25:BG25">AC24-AC26-AC27</f>
        <v>0.0</v>
      </c>
      <c r="AD25" s="320">
        <f t="shared" si="8"/>
        <v>0.0</v>
      </c>
      <c r="AE25" s="320">
        <f t="shared" si="8"/>
        <v>0.0</v>
      </c>
      <c r="AF25" s="287">
        <f t="shared" si="8"/>
        <v>0.0</v>
      </c>
      <c r="AG25" s="287">
        <f t="shared" si="8"/>
        <v>0.0</v>
      </c>
      <c r="AH25" s="287">
        <f t="shared" si="8"/>
        <v>0.0</v>
      </c>
      <c r="AI25" s="287">
        <f t="shared" si="8"/>
        <v>0.0</v>
      </c>
      <c r="AJ25" s="287">
        <f t="shared" si="8"/>
        <v>0.0</v>
      </c>
      <c r="AK25" s="287">
        <f t="shared" si="8"/>
        <v>0.0</v>
      </c>
      <c r="AL25" s="287">
        <f t="shared" si="8"/>
        <v>0.0</v>
      </c>
      <c r="AM25" s="287">
        <f t="shared" si="8"/>
        <v>0.0</v>
      </c>
      <c r="AN25" s="287">
        <f t="shared" si="8"/>
        <v>0.0</v>
      </c>
      <c r="AO25" s="287">
        <f t="shared" si="8"/>
        <v>0.0</v>
      </c>
      <c r="AP25" s="287">
        <f t="shared" si="8"/>
        <v>0.0</v>
      </c>
      <c r="AQ25" s="287">
        <f t="shared" si="8"/>
        <v>0.0</v>
      </c>
      <c r="AR25" s="287">
        <f t="shared" si="8"/>
        <v>0.0</v>
      </c>
      <c r="AS25" s="283">
        <f t="shared" si="8"/>
        <v>65165.0</v>
      </c>
      <c r="AT25" s="283">
        <f t="shared" si="8"/>
        <v>-0.9999999999999999</v>
      </c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287">
        <f>7180+500</f>
        <v>7680.0</v>
      </c>
      <c r="O26" s="287">
        <v>10903.0</v>
      </c>
      <c r="P26" s="287"/>
      <c r="Q26" s="287">
        <v>23900.0</v>
      </c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333"/>
      <c r="AD26" s="333"/>
      <c r="AE26" s="333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184">
        <f>SUM(N26:AR26)</f>
        <v>42483.0</v>
      </c>
      <c r="AT26" s="190">
        <f>(AS26/(AS24-AS25))*100%</f>
        <v>0.9992473244737151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322"/>
      <c r="O27" s="322">
        <v>0.0</v>
      </c>
      <c r="P27" s="322"/>
      <c r="Q27" s="322">
        <v>32.0</v>
      </c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215">
        <f>SUM(N27:AR27)</f>
        <v>32.0</v>
      </c>
      <c r="AT27" s="193">
        <f>(AS27/(AS24-AS25))*100%</f>
        <v>7.526755262848406E-4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334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6"/>
      <c r="AS28" s="207"/>
      <c r="AT28" s="208"/>
    </row>
    <row r="29" spans="8:8" s="150" ht="23.25" customFormat="1" customHeight="1">
      <c r="A29" s="169"/>
      <c r="B29" s="152" t="s">
        <v>21</v>
      </c>
      <c r="C29" s="153"/>
      <c r="D29" s="154">
        <f>F29+AS32-AS36+AS37</f>
        <v>0.0</v>
      </c>
      <c r="E29" s="155"/>
      <c r="F29" s="156">
        <v>0.0</v>
      </c>
      <c r="G29" s="218"/>
      <c r="H29" s="158"/>
      <c r="I29" s="159"/>
      <c r="J29" s="160"/>
      <c r="K29" s="161"/>
      <c r="L29" s="162"/>
      <c r="M29" s="163" t="s">
        <v>130</v>
      </c>
      <c r="N29" s="327"/>
      <c r="O29" s="327" t="s">
        <v>279</v>
      </c>
      <c r="P29" s="327" t="s">
        <v>280</v>
      </c>
      <c r="Q29" s="327" t="s">
        <v>281</v>
      </c>
      <c r="R29" s="327"/>
      <c r="S29" s="327" t="s">
        <v>232</v>
      </c>
      <c r="T29" s="327"/>
      <c r="U29" s="327"/>
      <c r="V29" s="327"/>
      <c r="W29" s="327"/>
      <c r="X29" s="327"/>
      <c r="Y29" s="327"/>
      <c r="Z29" s="327"/>
      <c r="AA29" s="318"/>
      <c r="AB29" s="331"/>
      <c r="AC29" s="331"/>
      <c r="AD29" s="331"/>
      <c r="AE29" s="327"/>
      <c r="AF29" s="327"/>
      <c r="AG29" s="327"/>
      <c r="AH29" s="327"/>
      <c r="AI29" s="327"/>
      <c r="AJ29" s="327"/>
      <c r="AK29" s="327"/>
      <c r="AL29" s="327"/>
      <c r="AM29" s="327"/>
      <c r="AN29" s="327"/>
      <c r="AO29" s="327"/>
      <c r="AP29" s="327"/>
      <c r="AQ29" s="327"/>
      <c r="AR29" s="327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320">
        <v>196.0</v>
      </c>
      <c r="O30" s="320">
        <f>8000*2</f>
        <v>16000.0</v>
      </c>
      <c r="P30" s="320">
        <f>8000*2</f>
        <v>16000.0</v>
      </c>
      <c r="Q30" s="329">
        <f>8000*2</f>
        <v>16000.0</v>
      </c>
      <c r="R30" s="320">
        <f>8000*2</f>
        <v>16000.0</v>
      </c>
      <c r="S30" s="320">
        <f>8000*2</f>
        <v>16000.0</v>
      </c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320"/>
      <c r="AO30" s="320"/>
      <c r="AP30" s="320"/>
      <c r="AQ30" s="320"/>
      <c r="AR30" s="320"/>
      <c r="AS30" s="212">
        <f>SUM(N30:AR30)</f>
        <v>80196.0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287">
        <f t="shared" si="9" ref="N31:Z31">N30-N32-N33</f>
        <v>0.0</v>
      </c>
      <c r="O31" s="287">
        <f t="shared" si="9"/>
        <v>2519.0</v>
      </c>
      <c r="P31" s="287">
        <f t="shared" si="9"/>
        <v>1947.0</v>
      </c>
      <c r="Q31" s="287">
        <f t="shared" si="9"/>
        <v>2754.0</v>
      </c>
      <c r="R31" s="287">
        <f t="shared" si="9"/>
        <v>1948.0</v>
      </c>
      <c r="S31" s="287">
        <f t="shared" si="9"/>
        <v>8200.0</v>
      </c>
      <c r="T31" s="287">
        <f t="shared" si="9"/>
        <v>0.0</v>
      </c>
      <c r="U31" s="287">
        <f t="shared" si="9"/>
        <v>0.0</v>
      </c>
      <c r="V31" s="287">
        <f t="shared" si="9"/>
        <v>0.0</v>
      </c>
      <c r="W31" s="287">
        <f t="shared" si="9"/>
        <v>0.0</v>
      </c>
      <c r="X31" s="287">
        <f t="shared" si="9"/>
        <v>0.0</v>
      </c>
      <c r="Y31" s="287">
        <f t="shared" si="9"/>
        <v>0.0</v>
      </c>
      <c r="Z31" s="287">
        <f t="shared" si="9"/>
        <v>0.0</v>
      </c>
      <c r="AA31" s="287">
        <f t="shared" si="10" ref="AA31:BG31">AA30-AA32-AA33</f>
        <v>0.0</v>
      </c>
      <c r="AB31" s="287">
        <f t="shared" si="10"/>
        <v>0.0</v>
      </c>
      <c r="AC31" s="287">
        <f t="shared" si="10"/>
        <v>0.0</v>
      </c>
      <c r="AD31" s="320">
        <f t="shared" si="10"/>
        <v>0.0</v>
      </c>
      <c r="AE31" s="320">
        <f t="shared" si="10"/>
        <v>0.0</v>
      </c>
      <c r="AF31" s="287">
        <f t="shared" si="10"/>
        <v>0.0</v>
      </c>
      <c r="AG31" s="287">
        <f t="shared" si="10"/>
        <v>0.0</v>
      </c>
      <c r="AH31" s="287">
        <f t="shared" si="10"/>
        <v>0.0</v>
      </c>
      <c r="AI31" s="287">
        <f t="shared" si="10"/>
        <v>0.0</v>
      </c>
      <c r="AJ31" s="287">
        <f t="shared" si="10"/>
        <v>0.0</v>
      </c>
      <c r="AK31" s="287">
        <f t="shared" si="10"/>
        <v>0.0</v>
      </c>
      <c r="AL31" s="287">
        <f t="shared" si="10"/>
        <v>0.0</v>
      </c>
      <c r="AM31" s="287">
        <f t="shared" si="10"/>
        <v>0.0</v>
      </c>
      <c r="AN31" s="287">
        <f t="shared" si="10"/>
        <v>0.0</v>
      </c>
      <c r="AO31" s="287">
        <f t="shared" si="10"/>
        <v>0.0</v>
      </c>
      <c r="AP31" s="287">
        <f t="shared" si="10"/>
        <v>0.0</v>
      </c>
      <c r="AQ31" s="287">
        <f t="shared" si="10"/>
        <v>0.0</v>
      </c>
      <c r="AR31" s="287">
        <f t="shared" si="10"/>
        <v>0.0</v>
      </c>
      <c r="AS31" s="283">
        <f t="shared" si="10"/>
        <v>17368.0</v>
      </c>
      <c r="AT31" s="283">
        <f t="shared" si="10"/>
        <v>-1.0000000000000002</v>
      </c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287">
        <v>196.0</v>
      </c>
      <c r="O32" s="287">
        <f t="shared" si="11" ref="O32:O36">5722+7759</f>
        <v>13481.0</v>
      </c>
      <c r="P32" s="287">
        <f>5798+8255</f>
        <v>14053.0</v>
      </c>
      <c r="Q32" s="337">
        <f>7973+5273</f>
        <v>13246.0</v>
      </c>
      <c r="R32" s="287">
        <f>6500+7545</f>
        <v>14045.0</v>
      </c>
      <c r="S32" s="287">
        <f>7170+629</f>
        <v>7799.0</v>
      </c>
      <c r="T32" s="287"/>
      <c r="U32" s="287"/>
      <c r="V32" s="287"/>
      <c r="W32" s="287"/>
      <c r="X32" s="287"/>
      <c r="Y32" s="287"/>
      <c r="Z32" s="287"/>
      <c r="AA32" s="287"/>
      <c r="AB32" s="287"/>
      <c r="AC32" s="333"/>
      <c r="AD32" s="287"/>
      <c r="AE32" s="287"/>
      <c r="AF32" s="287"/>
      <c r="AG32" s="287"/>
      <c r="AH32" s="287"/>
      <c r="AI32" s="287"/>
      <c r="AJ32" s="287"/>
      <c r="AK32" s="287"/>
      <c r="AL32" s="287"/>
      <c r="AM32" s="287"/>
      <c r="AN32" s="287"/>
      <c r="AO32" s="287"/>
      <c r="AP32" s="287"/>
      <c r="AQ32" s="287"/>
      <c r="AR32" s="287"/>
      <c r="AS32" s="184">
        <f>SUM(N32:AR32)</f>
        <v>62820.0</v>
      </c>
      <c r="AT32" s="190">
        <f>(AS32/(AS30-AS31))*100%</f>
        <v>0.9998726682370918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322"/>
      <c r="O33" s="322">
        <v>0.0</v>
      </c>
      <c r="P33" s="322">
        <v>0.0</v>
      </c>
      <c r="Q33" s="329">
        <v>0.0</v>
      </c>
      <c r="R33" s="322">
        <v>7.0</v>
      </c>
      <c r="S33" s="322">
        <v>1.0</v>
      </c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  <c r="AS33" s="215">
        <f>SUM(N33:AR33)</f>
        <v>8.0</v>
      </c>
      <c r="AT33" s="193">
        <f>(AS33/(AS30-AS31))*100%</f>
        <v>1.2733176290825746E-4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35"/>
      <c r="Z34" s="335"/>
      <c r="AA34" s="335"/>
      <c r="AB34" s="335"/>
      <c r="AC34" s="335"/>
      <c r="AD34" s="335"/>
      <c r="AE34" s="335"/>
      <c r="AF34" s="335"/>
      <c r="AG34" s="335"/>
      <c r="AH34" s="335"/>
      <c r="AI34" s="335"/>
      <c r="AJ34" s="335"/>
      <c r="AK34" s="335"/>
      <c r="AL34" s="335"/>
      <c r="AM34" s="335"/>
      <c r="AN34" s="335"/>
      <c r="AO34" s="335"/>
      <c r="AP34" s="335"/>
      <c r="AQ34" s="335"/>
      <c r="AR34" s="336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154">
        <f>F35+AS38-AS42+AS43</f>
        <v>0.0</v>
      </c>
      <c r="E35" s="155"/>
      <c r="F35" s="156">
        <v>8699.0</v>
      </c>
      <c r="G35" s="218">
        <v>44197.0</v>
      </c>
      <c r="H35" s="158"/>
      <c r="I35" s="159"/>
      <c r="J35" s="160"/>
      <c r="K35" s="161"/>
      <c r="L35" s="162"/>
      <c r="M35" s="163" t="s">
        <v>130</v>
      </c>
      <c r="N35" s="320"/>
      <c r="O35" s="320"/>
      <c r="P35" s="320"/>
      <c r="Q35" s="320"/>
      <c r="R35" s="320"/>
      <c r="S35" s="287"/>
      <c r="T35" s="287"/>
      <c r="U35" s="320"/>
      <c r="V35" s="320"/>
      <c r="W35" s="338"/>
      <c r="X35" s="339"/>
      <c r="Y35" s="340"/>
      <c r="Z35" s="320"/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287">
        <v>196.0</v>
      </c>
      <c r="O36" s="320">
        <f t="shared" si="11"/>
        <v>13481.0</v>
      </c>
      <c r="P36" s="287">
        <v>14053.0</v>
      </c>
      <c r="Q36" s="287">
        <v>13246.0</v>
      </c>
      <c r="R36" s="287">
        <v>14045.0</v>
      </c>
      <c r="S36" s="287">
        <v>7799.0</v>
      </c>
      <c r="T36" s="287"/>
      <c r="U36" s="287"/>
      <c r="V36" s="287"/>
      <c r="W36" s="287"/>
      <c r="X36" s="341"/>
      <c r="Y36" s="342"/>
      <c r="Z36" s="287"/>
      <c r="AA36" s="287"/>
      <c r="AB36" s="287"/>
      <c r="AC36" s="287"/>
      <c r="AD36" s="287"/>
      <c r="AE36" s="287"/>
      <c r="AF36" s="287"/>
      <c r="AG36" s="287"/>
      <c r="AH36" s="287"/>
      <c r="AI36" s="287"/>
      <c r="AJ36" s="287"/>
      <c r="AK36" s="287"/>
      <c r="AL36" s="287"/>
      <c r="AM36" s="287"/>
      <c r="AN36" s="287"/>
      <c r="AO36" s="287"/>
      <c r="AP36" s="287"/>
      <c r="AQ36" s="287"/>
      <c r="AR36" s="287"/>
      <c r="AS36" s="212">
        <f>SUM(N36:AR36)</f>
        <v>62820.0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287">
        <f t="shared" si="12" ref="N37:AB37">N36-N38-N39</f>
        <v>0.0</v>
      </c>
      <c r="O37" s="287">
        <f t="shared" si="12"/>
        <v>0.0</v>
      </c>
      <c r="P37" s="287">
        <f t="shared" si="12"/>
        <v>0.0</v>
      </c>
      <c r="Q37" s="287">
        <f t="shared" si="12"/>
        <v>0.0</v>
      </c>
      <c r="R37" s="287">
        <f t="shared" si="12"/>
        <v>0.0</v>
      </c>
      <c r="S37" s="287">
        <f t="shared" si="12"/>
        <v>0.0</v>
      </c>
      <c r="T37" s="287">
        <f t="shared" si="12"/>
        <v>0.0</v>
      </c>
      <c r="U37" s="287">
        <f t="shared" si="12"/>
        <v>0.0</v>
      </c>
      <c r="V37" s="287">
        <f t="shared" si="12"/>
        <v>0.0</v>
      </c>
      <c r="W37" s="287">
        <f t="shared" si="12"/>
        <v>0.0</v>
      </c>
      <c r="X37" s="287">
        <f t="shared" si="12"/>
        <v>0.0</v>
      </c>
      <c r="Y37" s="287">
        <f t="shared" si="12"/>
        <v>0.0</v>
      </c>
      <c r="Z37" s="287">
        <f t="shared" si="12"/>
        <v>0.0</v>
      </c>
      <c r="AA37" s="287">
        <f t="shared" si="12"/>
        <v>0.0</v>
      </c>
      <c r="AB37" s="287">
        <f t="shared" si="12"/>
        <v>0.0</v>
      </c>
      <c r="AC37" s="287">
        <f t="shared" si="13" ref="AC37:BG37">AC36-AC38-AC39</f>
        <v>0.0</v>
      </c>
      <c r="AD37" s="320">
        <f t="shared" si="13"/>
        <v>0.0</v>
      </c>
      <c r="AE37" s="320">
        <f t="shared" si="13"/>
        <v>0.0</v>
      </c>
      <c r="AF37" s="287">
        <f t="shared" si="13"/>
        <v>0.0</v>
      </c>
      <c r="AG37" s="287">
        <f t="shared" si="13"/>
        <v>0.0</v>
      </c>
      <c r="AH37" s="287">
        <f t="shared" si="13"/>
        <v>0.0</v>
      </c>
      <c r="AI37" s="287">
        <f t="shared" si="13"/>
        <v>0.0</v>
      </c>
      <c r="AJ37" s="287">
        <f t="shared" si="13"/>
        <v>0.0</v>
      </c>
      <c r="AK37" s="287">
        <f t="shared" si="13"/>
        <v>0.0</v>
      </c>
      <c r="AL37" s="287">
        <f t="shared" si="13"/>
        <v>0.0</v>
      </c>
      <c r="AM37" s="287">
        <f t="shared" si="13"/>
        <v>0.0</v>
      </c>
      <c r="AN37" s="287">
        <f t="shared" si="13"/>
        <v>0.0</v>
      </c>
      <c r="AO37" s="287">
        <f t="shared" si="13"/>
        <v>0.0</v>
      </c>
      <c r="AP37" s="287">
        <f t="shared" si="13"/>
        <v>0.0</v>
      </c>
      <c r="AQ37" s="287">
        <f t="shared" si="13"/>
        <v>0.0</v>
      </c>
      <c r="AR37" s="287">
        <f t="shared" si="13"/>
        <v>0.0</v>
      </c>
      <c r="AS37" s="283">
        <f t="shared" si="13"/>
        <v>0.0</v>
      </c>
      <c r="AT37" s="283">
        <f t="shared" si="13"/>
        <v>-1.0</v>
      </c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322">
        <v>196.0</v>
      </c>
      <c r="O38" s="322">
        <f>5698+7761</f>
        <v>13459.0</v>
      </c>
      <c r="P38" s="322">
        <v>14035.0</v>
      </c>
      <c r="Q38" s="322">
        <v>13246.0</v>
      </c>
      <c r="R38" s="322">
        <v>14016.0</v>
      </c>
      <c r="S38" s="322">
        <v>7799.0</v>
      </c>
      <c r="T38" s="322"/>
      <c r="U38" s="322"/>
      <c r="V38" s="322"/>
      <c r="W38" s="335"/>
      <c r="X38" s="335"/>
      <c r="Y38" s="343"/>
      <c r="Z38" s="322"/>
      <c r="AA38" s="322"/>
      <c r="AB38" s="322"/>
      <c r="AC38" s="322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184">
        <f>SUM(N38:AR38)</f>
        <v>62751.0</v>
      </c>
      <c r="AT38" s="190">
        <f>(AS38/(AS36-AS37))*100%</f>
        <v>0.998901623686724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334"/>
      <c r="O39" s="335">
        <v>22.0</v>
      </c>
      <c r="P39" s="335">
        <v>18.0</v>
      </c>
      <c r="Q39" s="335">
        <v>0.0</v>
      </c>
      <c r="R39" s="335">
        <v>29.0</v>
      </c>
      <c r="S39" s="335">
        <v>0.0</v>
      </c>
      <c r="T39" s="335"/>
      <c r="U39" s="335"/>
      <c r="V39" s="335"/>
      <c r="W39" s="335"/>
      <c r="X39" s="335"/>
      <c r="Y39" s="335"/>
      <c r="Z39" s="335"/>
      <c r="AA39" s="335"/>
      <c r="AB39" s="322"/>
      <c r="AC39" s="322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215">
        <f>SUM(N39:AR39)</f>
        <v>69.0</v>
      </c>
      <c r="AT39" s="193">
        <f>(AS39/(AS36-AS37))*100%</f>
        <v>0.0010983763132760267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18"/>
      <c r="O40" s="318"/>
      <c r="P40" s="318"/>
      <c r="Q40" s="318"/>
      <c r="R40" s="318"/>
      <c r="S40" s="318"/>
      <c r="T40" s="318"/>
      <c r="U40" s="318"/>
      <c r="V40" s="318"/>
      <c r="W40" s="318"/>
      <c r="X40" s="318"/>
      <c r="Y40" s="335"/>
      <c r="Z40" s="335"/>
      <c r="AA40" s="335"/>
      <c r="AB40" s="335"/>
      <c r="AC40" s="335"/>
      <c r="AD40" s="335"/>
      <c r="AE40" s="335"/>
      <c r="AF40" s="335"/>
      <c r="AG40" s="335"/>
      <c r="AH40" s="335"/>
      <c r="AI40" s="335"/>
      <c r="AJ40" s="335"/>
      <c r="AK40" s="335"/>
      <c r="AL40" s="335"/>
      <c r="AM40" s="335"/>
      <c r="AN40" s="335"/>
      <c r="AO40" s="335"/>
      <c r="AP40" s="335"/>
      <c r="AQ40" s="335"/>
      <c r="AR40" s="336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154">
        <f>F41+AS44-AS48+AS49</f>
        <v>0.0</v>
      </c>
      <c r="E41" s="155"/>
      <c r="F41" s="156">
        <v>46533.0</v>
      </c>
      <c r="G41" s="218">
        <v>44197.0</v>
      </c>
      <c r="H41" s="158"/>
      <c r="I41" s="159"/>
      <c r="J41" s="160"/>
      <c r="K41" s="161"/>
      <c r="L41" s="162"/>
      <c r="M41" s="163" t="s">
        <v>130</v>
      </c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320"/>
      <c r="AH41" s="320"/>
      <c r="AI41" s="320"/>
      <c r="AJ41" s="320"/>
      <c r="AK41" s="320"/>
      <c r="AL41" s="320"/>
      <c r="AM41" s="320"/>
      <c r="AN41" s="320"/>
      <c r="AO41" s="320"/>
      <c r="AP41" s="320"/>
      <c r="AQ41" s="320"/>
      <c r="AR41" s="320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287"/>
      <c r="O42" s="287"/>
      <c r="P42" s="287">
        <v>36193.0</v>
      </c>
      <c r="Q42" s="287"/>
      <c r="R42" s="287"/>
      <c r="S42" s="287"/>
      <c r="T42" s="287"/>
      <c r="U42" s="287"/>
      <c r="V42" s="287">
        <v>35257.0</v>
      </c>
      <c r="W42" s="287"/>
      <c r="X42" s="287"/>
      <c r="Y42" s="287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12">
        <f t="shared" si="14" ref="AS42:AS45">SUM(N42:AR42)</f>
        <v>71450.0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87">
        <f t="shared" si="15" ref="N43:AB43">N42-N44-N45</f>
        <v>0.0</v>
      </c>
      <c r="O43" s="287">
        <f t="shared" si="15"/>
        <v>0.0</v>
      </c>
      <c r="P43" s="287">
        <f t="shared" si="15"/>
        <v>0.0</v>
      </c>
      <c r="Q43" s="287">
        <f t="shared" si="15"/>
        <v>0.0</v>
      </c>
      <c r="R43" s="287">
        <f t="shared" si="15"/>
        <v>0.0</v>
      </c>
      <c r="S43" s="287">
        <f t="shared" si="15"/>
        <v>0.0</v>
      </c>
      <c r="T43" s="287">
        <f t="shared" si="15"/>
        <v>0.0</v>
      </c>
      <c r="U43" s="287">
        <f t="shared" si="15"/>
        <v>0.0</v>
      </c>
      <c r="V43" s="287">
        <f t="shared" si="15"/>
        <v>0.0</v>
      </c>
      <c r="W43" s="287">
        <f t="shared" si="15"/>
        <v>0.0</v>
      </c>
      <c r="X43" s="287">
        <f t="shared" si="15"/>
        <v>0.0</v>
      </c>
      <c r="Y43" s="287">
        <f t="shared" si="15"/>
        <v>0.0</v>
      </c>
      <c r="Z43" s="287">
        <f t="shared" si="15"/>
        <v>0.0</v>
      </c>
      <c r="AA43" s="287">
        <f t="shared" si="15"/>
        <v>0.0</v>
      </c>
      <c r="AB43" s="287">
        <f t="shared" si="15"/>
        <v>0.0</v>
      </c>
      <c r="AC43" s="287">
        <f t="shared" si="16" ref="AC43:BG43">AC42-AC44-AC45</f>
        <v>0.0</v>
      </c>
      <c r="AD43" s="320">
        <f t="shared" si="16"/>
        <v>0.0</v>
      </c>
      <c r="AE43" s="320">
        <f t="shared" si="16"/>
        <v>0.0</v>
      </c>
      <c r="AF43" s="287">
        <f t="shared" si="16"/>
        <v>0.0</v>
      </c>
      <c r="AG43" s="287">
        <f t="shared" si="16"/>
        <v>0.0</v>
      </c>
      <c r="AH43" s="287">
        <f t="shared" si="16"/>
        <v>0.0</v>
      </c>
      <c r="AI43" s="287">
        <f t="shared" si="16"/>
        <v>0.0</v>
      </c>
      <c r="AJ43" s="287">
        <f t="shared" si="16"/>
        <v>0.0</v>
      </c>
      <c r="AK43" s="287">
        <f t="shared" si="16"/>
        <v>0.0</v>
      </c>
      <c r="AL43" s="287">
        <f t="shared" si="16"/>
        <v>0.0</v>
      </c>
      <c r="AM43" s="287">
        <f t="shared" si="16"/>
        <v>0.0</v>
      </c>
      <c r="AN43" s="287">
        <f t="shared" si="16"/>
        <v>0.0</v>
      </c>
      <c r="AO43" s="287">
        <f t="shared" si="16"/>
        <v>0.0</v>
      </c>
      <c r="AP43" s="287">
        <f t="shared" si="16"/>
        <v>0.0</v>
      </c>
      <c r="AQ43" s="287">
        <f t="shared" si="16"/>
        <v>0.0</v>
      </c>
      <c r="AR43" s="287">
        <f t="shared" si="16"/>
        <v>0.0</v>
      </c>
      <c r="AS43" s="283">
        <f t="shared" si="16"/>
        <v>0.0</v>
      </c>
      <c r="AT43" s="283">
        <f t="shared" si="16"/>
        <v>-1.0</v>
      </c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322"/>
      <c r="O44" s="322"/>
      <c r="P44" s="322">
        <f>27494+8699</f>
        <v>36193.0</v>
      </c>
      <c r="Q44" s="322"/>
      <c r="R44" s="322"/>
      <c r="S44" s="322"/>
      <c r="T44" s="322"/>
      <c r="U44" s="322"/>
      <c r="V44" s="322">
        <v>35257.0</v>
      </c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184">
        <f t="shared" si="14"/>
        <v>71450.0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334"/>
      <c r="O45" s="335"/>
      <c r="P45" s="335">
        <v>0.0</v>
      </c>
      <c r="Q45" s="335"/>
      <c r="R45" s="335"/>
      <c r="S45" s="335"/>
      <c r="T45" s="335"/>
      <c r="U45" s="335"/>
      <c r="V45" s="335"/>
      <c r="W45" s="335"/>
      <c r="X45" s="335"/>
      <c r="Y45" s="322"/>
      <c r="Z45" s="322"/>
      <c r="AA45" s="322"/>
      <c r="AB45" s="322"/>
      <c r="AC45" s="322"/>
      <c r="AD45" s="322"/>
      <c r="AE45" s="322"/>
      <c r="AF45" s="322"/>
      <c r="AG45" s="322"/>
      <c r="AH45" s="322"/>
      <c r="AI45" s="322"/>
      <c r="AJ45" s="322"/>
      <c r="AK45" s="322"/>
      <c r="AL45" s="322"/>
      <c r="AM45" s="322"/>
      <c r="AN45" s="322"/>
      <c r="AO45" s="322"/>
      <c r="AP45" s="322"/>
      <c r="AQ45" s="322"/>
      <c r="AR45" s="322"/>
      <c r="AS45" s="215">
        <f t="shared" si="14"/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18"/>
      <c r="O46" s="318"/>
      <c r="P46" s="318"/>
      <c r="Q46" s="318"/>
      <c r="R46" s="318"/>
      <c r="S46" s="318"/>
      <c r="T46" s="318"/>
      <c r="U46" s="318"/>
      <c r="V46" s="318"/>
      <c r="W46" s="318"/>
      <c r="X46" s="318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6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  <c r="AD47" s="320"/>
      <c r="AE47" s="320"/>
      <c r="AF47" s="320"/>
      <c r="AG47" s="320"/>
      <c r="AH47" s="320"/>
      <c r="AI47" s="320"/>
      <c r="AJ47" s="320"/>
      <c r="AK47" s="320"/>
      <c r="AL47" s="320"/>
      <c r="AM47" s="320"/>
      <c r="AN47" s="320"/>
      <c r="AO47" s="320"/>
      <c r="AP47" s="320"/>
      <c r="AQ47" s="320"/>
      <c r="AR47" s="320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287">
        <v>46533.0</v>
      </c>
      <c r="O48" s="287"/>
      <c r="P48" s="287"/>
      <c r="Q48" s="287"/>
      <c r="R48" s="287"/>
      <c r="S48" s="287">
        <v>36193.0</v>
      </c>
      <c r="T48" s="287"/>
      <c r="U48" s="287"/>
      <c r="V48" s="287"/>
      <c r="W48" s="287"/>
      <c r="X48" s="287"/>
      <c r="Y48" s="287"/>
      <c r="Z48" s="287">
        <v>35257.0</v>
      </c>
      <c r="AA48" s="287"/>
      <c r="AB48" s="287"/>
      <c r="AC48" s="287"/>
      <c r="AD48" s="287"/>
      <c r="AE48" s="287"/>
      <c r="AF48" s="287"/>
      <c r="AG48" s="287"/>
      <c r="AH48" s="287"/>
      <c r="AI48" s="287"/>
      <c r="AJ48" s="287"/>
      <c r="AK48" s="320"/>
      <c r="AL48" s="287"/>
      <c r="AM48" s="287"/>
      <c r="AN48" s="287"/>
      <c r="AO48" s="287"/>
      <c r="AP48" s="287"/>
      <c r="AQ48" s="287"/>
      <c r="AR48" s="287"/>
      <c r="AS48" s="212">
        <f t="shared" si="17" ref="AS48:AS51">SUM(N48:AR48)</f>
        <v>117983.0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287">
        <f t="shared" si="18" ref="N49:AB49">N48-N50-N51</f>
        <v>0.0</v>
      </c>
      <c r="O49" s="287">
        <f t="shared" si="18"/>
        <v>0.0</v>
      </c>
      <c r="P49" s="287">
        <f t="shared" si="18"/>
        <v>0.0</v>
      </c>
      <c r="Q49" s="287">
        <f t="shared" si="18"/>
        <v>0.0</v>
      </c>
      <c r="R49" s="287">
        <f t="shared" si="18"/>
        <v>0.0</v>
      </c>
      <c r="S49" s="287">
        <f t="shared" si="18"/>
        <v>0.0</v>
      </c>
      <c r="T49" s="287">
        <f t="shared" si="18"/>
        <v>0.0</v>
      </c>
      <c r="U49" s="287">
        <f t="shared" si="18"/>
        <v>0.0</v>
      </c>
      <c r="V49" s="287">
        <f t="shared" si="18"/>
        <v>0.0</v>
      </c>
      <c r="W49" s="287">
        <f t="shared" si="18"/>
        <v>0.0</v>
      </c>
      <c r="X49" s="287">
        <f t="shared" si="18"/>
        <v>0.0</v>
      </c>
      <c r="Y49" s="287">
        <f t="shared" si="18"/>
        <v>0.0</v>
      </c>
      <c r="Z49" s="287">
        <f t="shared" si="18"/>
        <v>0.0</v>
      </c>
      <c r="AA49" s="287">
        <f t="shared" si="18"/>
        <v>0.0</v>
      </c>
      <c r="AB49" s="287">
        <f t="shared" si="18"/>
        <v>0.0</v>
      </c>
      <c r="AC49" s="287">
        <f t="shared" si="19" ref="AC49:BG49">AC48-AC50-AC51</f>
        <v>0.0</v>
      </c>
      <c r="AD49" s="320">
        <f t="shared" si="19"/>
        <v>0.0</v>
      </c>
      <c r="AE49" s="320">
        <f t="shared" si="19"/>
        <v>0.0</v>
      </c>
      <c r="AF49" s="287">
        <f t="shared" si="19"/>
        <v>0.0</v>
      </c>
      <c r="AG49" s="287">
        <f t="shared" si="19"/>
        <v>0.0</v>
      </c>
      <c r="AH49" s="287">
        <f t="shared" si="19"/>
        <v>0.0</v>
      </c>
      <c r="AI49" s="287">
        <f t="shared" si="19"/>
        <v>0.0</v>
      </c>
      <c r="AJ49" s="287">
        <f t="shared" si="19"/>
        <v>0.0</v>
      </c>
      <c r="AK49" s="287">
        <f t="shared" si="19"/>
        <v>0.0</v>
      </c>
      <c r="AL49" s="287">
        <f t="shared" si="19"/>
        <v>0.0</v>
      </c>
      <c r="AM49" s="287">
        <f t="shared" si="19"/>
        <v>0.0</v>
      </c>
      <c r="AN49" s="287">
        <f t="shared" si="19"/>
        <v>0.0</v>
      </c>
      <c r="AO49" s="287">
        <f t="shared" si="19"/>
        <v>0.0</v>
      </c>
      <c r="AP49" s="287">
        <f t="shared" si="19"/>
        <v>0.0</v>
      </c>
      <c r="AQ49" s="287">
        <f t="shared" si="19"/>
        <v>0.0</v>
      </c>
      <c r="AR49" s="287">
        <f t="shared" si="19"/>
        <v>0.0</v>
      </c>
      <c r="AS49" s="283">
        <f t="shared" si="19"/>
        <v>0.0</v>
      </c>
      <c r="AT49" s="283">
        <f t="shared" si="19"/>
        <v>-1.0</v>
      </c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322">
        <v>46533.0</v>
      </c>
      <c r="O50" s="322"/>
      <c r="P50" s="322"/>
      <c r="Q50" s="322"/>
      <c r="R50" s="322"/>
      <c r="S50" s="322">
        <v>36193.0</v>
      </c>
      <c r="T50" s="322"/>
      <c r="U50" s="322"/>
      <c r="V50" s="322"/>
      <c r="W50" s="322"/>
      <c r="X50" s="322"/>
      <c r="Y50" s="322"/>
      <c r="Z50" s="322">
        <v>35257.0</v>
      </c>
      <c r="AA50" s="322"/>
      <c r="AB50" s="322"/>
      <c r="AC50" s="322"/>
      <c r="AD50" s="322"/>
      <c r="AE50" s="322"/>
      <c r="AF50" s="322"/>
      <c r="AG50" s="322"/>
      <c r="AH50" s="322"/>
      <c r="AI50" s="322"/>
      <c r="AJ50" s="322"/>
      <c r="AK50" s="287"/>
      <c r="AL50" s="322"/>
      <c r="AM50" s="322"/>
      <c r="AN50" s="322"/>
      <c r="AO50" s="322"/>
      <c r="AP50" s="322"/>
      <c r="AQ50" s="322"/>
      <c r="AR50" s="322"/>
      <c r="AS50" s="184">
        <f t="shared" si="17"/>
        <v>117983.0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334">
        <v>0.0</v>
      </c>
      <c r="O51" s="335"/>
      <c r="P51" s="335"/>
      <c r="Q51" s="335"/>
      <c r="R51" s="335"/>
      <c r="S51" s="335">
        <v>0.0</v>
      </c>
      <c r="T51" s="335"/>
      <c r="U51" s="335"/>
      <c r="V51" s="335"/>
      <c r="W51" s="335"/>
      <c r="X51" s="335"/>
      <c r="Y51" s="322"/>
      <c r="Z51" s="322"/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  <c r="AL51" s="322"/>
      <c r="AM51" s="322"/>
      <c r="AN51" s="322"/>
      <c r="AO51" s="322"/>
      <c r="AP51" s="322"/>
      <c r="AQ51" s="322"/>
      <c r="AR51" s="322"/>
      <c r="AS51" s="215">
        <f t="shared" si="17"/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6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320"/>
      <c r="AE53" s="320"/>
      <c r="AF53" s="320"/>
      <c r="AG53" s="320"/>
      <c r="AH53" s="320"/>
      <c r="AI53" s="318"/>
      <c r="AJ53" s="318"/>
      <c r="AK53" s="318"/>
      <c r="AL53" s="318"/>
      <c r="AM53" s="318"/>
      <c r="AN53" s="318"/>
      <c r="AO53" s="318"/>
      <c r="AP53" s="318"/>
      <c r="AQ53" s="318"/>
      <c r="AR53" s="319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287"/>
      <c r="O54" s="287"/>
      <c r="P54" s="287"/>
      <c r="Q54" s="287"/>
      <c r="R54" s="287"/>
      <c r="S54" s="287"/>
      <c r="T54" s="287"/>
      <c r="U54" s="287">
        <v>81081.0</v>
      </c>
      <c r="V54" s="287"/>
      <c r="W54" s="287"/>
      <c r="X54" s="287"/>
      <c r="Y54" s="287"/>
      <c r="Z54" s="287"/>
      <c r="AA54" s="287"/>
      <c r="AB54" s="287">
        <v>34750.0</v>
      </c>
      <c r="AC54" s="287"/>
      <c r="AD54" s="320"/>
      <c r="AE54" s="320"/>
      <c r="AF54" s="320"/>
      <c r="AG54" s="320"/>
      <c r="AH54" s="320"/>
      <c r="AI54" s="287"/>
      <c r="AJ54" s="320"/>
      <c r="AK54" s="320"/>
      <c r="AL54" s="320"/>
      <c r="AM54" s="320"/>
      <c r="AN54" s="320"/>
      <c r="AO54" s="320"/>
      <c r="AP54" s="320"/>
      <c r="AQ54" s="320"/>
      <c r="AR54" s="320"/>
      <c r="AS54" s="212">
        <f t="shared" si="20" ref="AS54:AS57">SUM(N54:AR54)</f>
        <v>115831.0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87">
        <f t="shared" si="21" ref="N55:AB55">N54-N56-N57</f>
        <v>0.0</v>
      </c>
      <c r="O55" s="287">
        <f t="shared" si="21"/>
        <v>0.0</v>
      </c>
      <c r="P55" s="287">
        <f t="shared" si="21"/>
        <v>0.0</v>
      </c>
      <c r="Q55" s="287">
        <f t="shared" si="21"/>
        <v>0.0</v>
      </c>
      <c r="R55" s="287">
        <f t="shared" si="21"/>
        <v>0.0</v>
      </c>
      <c r="S55" s="287">
        <f t="shared" si="21"/>
        <v>0.0</v>
      </c>
      <c r="T55" s="287">
        <f t="shared" si="21"/>
        <v>0.0</v>
      </c>
      <c r="U55" s="287">
        <f t="shared" si="21"/>
        <v>-1645.0</v>
      </c>
      <c r="V55" s="287">
        <f t="shared" si="21"/>
        <v>0.0</v>
      </c>
      <c r="W55" s="287">
        <f t="shared" si="21"/>
        <v>0.0</v>
      </c>
      <c r="X55" s="287">
        <f t="shared" si="21"/>
        <v>0.0</v>
      </c>
      <c r="Y55" s="287">
        <f t="shared" si="21"/>
        <v>0.0</v>
      </c>
      <c r="Z55" s="287">
        <f t="shared" si="21"/>
        <v>0.0</v>
      </c>
      <c r="AA55" s="287">
        <f t="shared" si="21"/>
        <v>0.0</v>
      </c>
      <c r="AB55" s="287">
        <f t="shared" si="21"/>
        <v>-507.0</v>
      </c>
      <c r="AC55" s="287">
        <f t="shared" si="22" ref="AC55:BG55">AC54-AC56-AC57</f>
        <v>0.0</v>
      </c>
      <c r="AD55" s="320">
        <f t="shared" si="22"/>
        <v>0.0</v>
      </c>
      <c r="AE55" s="320">
        <f t="shared" si="22"/>
        <v>0.0</v>
      </c>
      <c r="AF55" s="287">
        <f t="shared" si="22"/>
        <v>0.0</v>
      </c>
      <c r="AG55" s="287">
        <f t="shared" si="22"/>
        <v>0.0</v>
      </c>
      <c r="AH55" s="287">
        <f t="shared" si="22"/>
        <v>0.0</v>
      </c>
      <c r="AI55" s="287">
        <f t="shared" si="22"/>
        <v>0.0</v>
      </c>
      <c r="AJ55" s="287">
        <f t="shared" si="22"/>
        <v>0.0</v>
      </c>
      <c r="AK55" s="287">
        <f t="shared" si="22"/>
        <v>0.0</v>
      </c>
      <c r="AL55" s="287">
        <f t="shared" si="22"/>
        <v>0.0</v>
      </c>
      <c r="AM55" s="287">
        <f t="shared" si="22"/>
        <v>0.0</v>
      </c>
      <c r="AN55" s="287">
        <f t="shared" si="22"/>
        <v>0.0</v>
      </c>
      <c r="AO55" s="287">
        <f t="shared" si="22"/>
        <v>0.0</v>
      </c>
      <c r="AP55" s="287">
        <f t="shared" si="22"/>
        <v>0.0</v>
      </c>
      <c r="AQ55" s="287">
        <f t="shared" si="22"/>
        <v>0.0</v>
      </c>
      <c r="AR55" s="287">
        <f t="shared" si="22"/>
        <v>0.0</v>
      </c>
      <c r="AS55" s="283">
        <f t="shared" si="22"/>
        <v>-2152.0</v>
      </c>
      <c r="AT55" s="283">
        <f t="shared" si="22"/>
        <v>-1.0000000000000002</v>
      </c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322"/>
      <c r="O56" s="322"/>
      <c r="P56" s="322"/>
      <c r="Q56" s="322"/>
      <c r="R56" s="322"/>
      <c r="S56" s="322"/>
      <c r="T56" s="322"/>
      <c r="U56" s="322">
        <v>81081.0</v>
      </c>
      <c r="V56" s="322"/>
      <c r="W56" s="322"/>
      <c r="X56" s="322"/>
      <c r="Y56" s="322"/>
      <c r="Z56" s="322"/>
      <c r="AA56" s="322"/>
      <c r="AB56" s="322">
        <v>34750.0</v>
      </c>
      <c r="AC56" s="322"/>
      <c r="AD56" s="287"/>
      <c r="AE56" s="287"/>
      <c r="AF56" s="287"/>
      <c r="AG56" s="287"/>
      <c r="AH56" s="287"/>
      <c r="AI56" s="287"/>
      <c r="AJ56" s="287"/>
      <c r="AK56" s="287"/>
      <c r="AL56" s="287"/>
      <c r="AM56" s="287"/>
      <c r="AN56" s="287"/>
      <c r="AO56" s="287"/>
      <c r="AP56" s="287"/>
      <c r="AQ56" s="287"/>
      <c r="AR56" s="287"/>
      <c r="AS56" s="184">
        <f t="shared" si="20"/>
        <v>115831.0</v>
      </c>
      <c r="AT56" s="190">
        <f>(AS56/(AS54-AS55))*100%</f>
        <v>0.9817600840799098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290"/>
      <c r="O57" s="290"/>
      <c r="P57" s="290"/>
      <c r="Q57" s="290"/>
      <c r="R57" s="290"/>
      <c r="S57" s="290"/>
      <c r="T57" s="290"/>
      <c r="U57" s="290">
        <v>1645.0</v>
      </c>
      <c r="V57" s="290"/>
      <c r="W57" s="290"/>
      <c r="X57" s="290"/>
      <c r="Y57" s="322"/>
      <c r="Z57" s="322"/>
      <c r="AA57" s="322"/>
      <c r="AB57" s="322">
        <v>507.0</v>
      </c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  <c r="AM57" s="322"/>
      <c r="AN57" s="322"/>
      <c r="AO57" s="322"/>
      <c r="AP57" s="322"/>
      <c r="AQ57" s="322"/>
      <c r="AR57" s="322"/>
      <c r="AS57" s="215">
        <f t="shared" si="20"/>
        <v>2152.0</v>
      </c>
      <c r="AT57" s="193">
        <f>(AS57/(AS54-AS55))*100%</f>
        <v>0.018239915920090184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500.0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344"/>
      <c r="O58" s="344"/>
      <c r="P58" s="344"/>
      <c r="Q58" s="344"/>
      <c r="R58" s="344"/>
      <c r="S58" s="344"/>
      <c r="T58" s="344"/>
      <c r="U58" s="344"/>
      <c r="V58" s="344" t="s">
        <v>282</v>
      </c>
      <c r="W58" s="344"/>
      <c r="X58" s="344"/>
      <c r="Y58" s="290"/>
      <c r="Z58" s="290"/>
      <c r="AA58" s="290"/>
      <c r="AB58" s="290"/>
      <c r="AC58" s="290"/>
      <c r="AD58" s="290"/>
      <c r="AE58" s="290"/>
      <c r="AF58" s="290" t="s">
        <v>178</v>
      </c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1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345"/>
      <c r="O59" s="346"/>
      <c r="P59" s="346"/>
      <c r="Q59" s="346"/>
      <c r="R59" s="346"/>
      <c r="S59" s="346"/>
      <c r="T59" s="346"/>
      <c r="U59" s="346"/>
      <c r="V59" s="346">
        <v>81081.0</v>
      </c>
      <c r="W59" s="346"/>
      <c r="X59" s="346"/>
      <c r="Y59" s="344"/>
      <c r="Z59" s="344"/>
      <c r="AA59" s="344"/>
      <c r="AB59" s="344"/>
      <c r="AC59" s="344"/>
      <c r="AD59" s="344"/>
      <c r="AE59" s="344"/>
      <c r="AF59" s="344">
        <v>34750.0</v>
      </c>
      <c r="AG59" s="344"/>
      <c r="AH59" s="344"/>
      <c r="AI59" s="344"/>
      <c r="AJ59" s="344"/>
      <c r="AK59" s="344"/>
      <c r="AL59" s="344"/>
      <c r="AM59" s="344"/>
      <c r="AN59" s="344"/>
      <c r="AO59" s="344"/>
      <c r="AP59" s="344"/>
      <c r="AQ59" s="344"/>
      <c r="AR59" s="347"/>
      <c r="AS59" s="263">
        <f>SUM(N59:AR59)</f>
        <v>115831.0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R10" state="frozen" activePane="bottomRight"/>
      <selection pane="bottomRight" activeCell="R32" sqref="R32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5703125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515652-07-12 
SUP11C, SL12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283</v>
      </c>
      <c r="B5" s="152" t="s">
        <v>129</v>
      </c>
      <c r="C5" s="153"/>
      <c r="D5" s="154">
        <f>F5+AS8-AS12+AS13</f>
        <v>-51544.0</v>
      </c>
      <c r="E5" s="155"/>
      <c r="F5" s="156">
        <v>0.0</v>
      </c>
      <c r="G5" s="218"/>
      <c r="H5" s="158"/>
      <c r="I5" s="159"/>
      <c r="J5" s="160"/>
      <c r="K5" s="161"/>
      <c r="L5" s="162"/>
      <c r="M5" s="163" t="s">
        <v>130</v>
      </c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318"/>
      <c r="AF5" s="318"/>
      <c r="AG5" s="318"/>
      <c r="AH5" s="318"/>
      <c r="AI5" s="318"/>
      <c r="AJ5" s="318"/>
      <c r="AK5" s="318"/>
      <c r="AL5" s="318"/>
      <c r="AM5" s="318"/>
      <c r="AN5" s="318"/>
      <c r="AO5" s="318"/>
      <c r="AP5" s="318"/>
      <c r="AQ5" s="318"/>
      <c r="AR5" s="319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87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7"/>
      <c r="AH6" s="287"/>
      <c r="AI6" s="287"/>
      <c r="AJ6" s="287"/>
      <c r="AK6" s="287"/>
      <c r="AL6" s="287"/>
      <c r="AM6" s="287"/>
      <c r="AN6" s="287"/>
      <c r="AO6" s="287"/>
      <c r="AP6" s="287"/>
      <c r="AQ6" s="287"/>
      <c r="AR6" s="287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287">
        <f t="shared" si="0" ref="N7:AR7">N6-N8-N9</f>
        <v>0.0</v>
      </c>
      <c r="O7" s="320">
        <f t="shared" si="0"/>
        <v>0.0</v>
      </c>
      <c r="P7" s="320">
        <f t="shared" si="0"/>
        <v>0.0</v>
      </c>
      <c r="Q7" s="287">
        <f t="shared" si="0"/>
        <v>0.0</v>
      </c>
      <c r="R7" s="287">
        <f t="shared" si="0"/>
        <v>0.0</v>
      </c>
      <c r="S7" s="287">
        <f t="shared" si="0"/>
        <v>0.0</v>
      </c>
      <c r="T7" s="287">
        <f t="shared" si="0"/>
        <v>0.0</v>
      </c>
      <c r="U7" s="287">
        <f t="shared" si="0"/>
        <v>0.0</v>
      </c>
      <c r="V7" s="287">
        <f t="shared" si="0"/>
        <v>0.0</v>
      </c>
      <c r="W7" s="287">
        <f t="shared" si="0"/>
        <v>0.0</v>
      </c>
      <c r="X7" s="287">
        <f t="shared" si="0"/>
        <v>0.0</v>
      </c>
      <c r="Y7" s="287">
        <f t="shared" si="0"/>
        <v>0.0</v>
      </c>
      <c r="Z7" s="287">
        <f t="shared" si="0"/>
        <v>0.0</v>
      </c>
      <c r="AA7" s="287">
        <f t="shared" si="0"/>
        <v>0.0</v>
      </c>
      <c r="AB7" s="287">
        <f t="shared" si="0"/>
        <v>0.0</v>
      </c>
      <c r="AC7" s="287">
        <f t="shared" si="0"/>
        <v>0.0</v>
      </c>
      <c r="AD7" s="287">
        <f t="shared" si="0"/>
        <v>0.0</v>
      </c>
      <c r="AE7" s="287">
        <f t="shared" si="0"/>
        <v>0.0</v>
      </c>
      <c r="AF7" s="287">
        <f t="shared" si="0"/>
        <v>0.0</v>
      </c>
      <c r="AG7" s="287">
        <f t="shared" si="0"/>
        <v>0.0</v>
      </c>
      <c r="AH7" s="287">
        <f t="shared" si="0"/>
        <v>0.0</v>
      </c>
      <c r="AI7" s="287">
        <f t="shared" si="0"/>
        <v>0.0</v>
      </c>
      <c r="AJ7" s="287">
        <f t="shared" si="0"/>
        <v>0.0</v>
      </c>
      <c r="AK7" s="287">
        <f t="shared" si="0"/>
        <v>0.0</v>
      </c>
      <c r="AL7" s="287">
        <f t="shared" si="0"/>
        <v>0.0</v>
      </c>
      <c r="AM7" s="287">
        <f t="shared" si="0"/>
        <v>0.0</v>
      </c>
      <c r="AN7" s="287">
        <f t="shared" si="0"/>
        <v>0.0</v>
      </c>
      <c r="AO7" s="287">
        <f t="shared" si="0"/>
        <v>0.0</v>
      </c>
      <c r="AP7" s="287">
        <f t="shared" si="0"/>
        <v>0.0</v>
      </c>
      <c r="AQ7" s="287">
        <f t="shared" si="0"/>
        <v>0.0</v>
      </c>
      <c r="AR7" s="287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189">
        <f t="shared" si="1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322"/>
      <c r="AQ9" s="322"/>
      <c r="AR9" s="322"/>
      <c r="AS9" s="184">
        <f t="shared" si="1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34"/>
      <c r="O10" s="335"/>
      <c r="P10" s="335"/>
      <c r="Q10" s="335"/>
      <c r="R10" s="335"/>
      <c r="S10" s="335"/>
      <c r="T10" s="335"/>
      <c r="U10" s="335"/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  <c r="AF10" s="335"/>
      <c r="AG10" s="335"/>
      <c r="AH10" s="335"/>
      <c r="AI10" s="335"/>
      <c r="AJ10" s="335"/>
      <c r="AK10" s="335"/>
      <c r="AL10" s="335"/>
      <c r="AM10" s="335"/>
      <c r="AN10" s="335"/>
      <c r="AO10" s="335"/>
      <c r="AP10" s="335"/>
      <c r="AQ10" s="335"/>
      <c r="AR10" s="336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0.0</v>
      </c>
      <c r="E11" s="155"/>
      <c r="F11" s="156">
        <v>0.0</v>
      </c>
      <c r="G11" s="218"/>
      <c r="H11" s="158"/>
      <c r="I11" s="159"/>
      <c r="J11" s="160"/>
      <c r="K11" s="161"/>
      <c r="L11" s="162"/>
      <c r="M11" s="163" t="s">
        <v>130</v>
      </c>
      <c r="N11" s="318"/>
      <c r="O11" s="318"/>
      <c r="P11" s="318"/>
      <c r="Q11" s="348"/>
      <c r="R11" s="318" t="s">
        <v>159</v>
      </c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9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320"/>
      <c r="O12" s="320"/>
      <c r="P12" s="320"/>
      <c r="Q12" s="349"/>
      <c r="R12" s="320">
        <f>48563+2981</f>
        <v>51544.0</v>
      </c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212">
        <f t="shared" si="1"/>
        <v>51544.0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287">
        <f t="shared" si="2" ref="N13:AR13">N12-N14-N15</f>
        <v>0.0</v>
      </c>
      <c r="O13" s="320">
        <f t="shared" si="2"/>
        <v>0.0</v>
      </c>
      <c r="P13" s="320">
        <f t="shared" si="2"/>
        <v>0.0</v>
      </c>
      <c r="Q13" s="287">
        <f t="shared" si="2"/>
        <v>0.0</v>
      </c>
      <c r="R13" s="287">
        <f t="shared" si="2"/>
        <v>0.0</v>
      </c>
      <c r="S13" s="287">
        <f t="shared" si="2"/>
        <v>0.0</v>
      </c>
      <c r="T13" s="287">
        <f t="shared" si="2"/>
        <v>0.0</v>
      </c>
      <c r="U13" s="287">
        <f t="shared" si="2"/>
        <v>0.0</v>
      </c>
      <c r="V13" s="287">
        <f t="shared" si="2"/>
        <v>0.0</v>
      </c>
      <c r="W13" s="287">
        <f t="shared" si="2"/>
        <v>0.0</v>
      </c>
      <c r="X13" s="287">
        <f t="shared" si="2"/>
        <v>0.0</v>
      </c>
      <c r="Y13" s="287">
        <f t="shared" si="2"/>
        <v>0.0</v>
      </c>
      <c r="Z13" s="287">
        <f t="shared" si="2"/>
        <v>0.0</v>
      </c>
      <c r="AA13" s="287">
        <f t="shared" si="2"/>
        <v>0.0</v>
      </c>
      <c r="AB13" s="287">
        <f t="shared" si="2"/>
        <v>0.0</v>
      </c>
      <c r="AC13" s="287">
        <f t="shared" si="2"/>
        <v>0.0</v>
      </c>
      <c r="AD13" s="287">
        <f t="shared" si="2"/>
        <v>0.0</v>
      </c>
      <c r="AE13" s="287">
        <f t="shared" si="2"/>
        <v>0.0</v>
      </c>
      <c r="AF13" s="287">
        <f t="shared" si="2"/>
        <v>0.0</v>
      </c>
      <c r="AG13" s="287">
        <f t="shared" si="2"/>
        <v>0.0</v>
      </c>
      <c r="AH13" s="287">
        <f t="shared" si="2"/>
        <v>0.0</v>
      </c>
      <c r="AI13" s="287">
        <f t="shared" si="2"/>
        <v>0.0</v>
      </c>
      <c r="AJ13" s="287">
        <f t="shared" si="2"/>
        <v>0.0</v>
      </c>
      <c r="AK13" s="287">
        <f t="shared" si="2"/>
        <v>0.0</v>
      </c>
      <c r="AL13" s="287">
        <f t="shared" si="2"/>
        <v>0.0</v>
      </c>
      <c r="AM13" s="287">
        <f t="shared" si="2"/>
        <v>0.0</v>
      </c>
      <c r="AN13" s="287">
        <f t="shared" si="2"/>
        <v>0.0</v>
      </c>
      <c r="AO13" s="287">
        <f t="shared" si="2"/>
        <v>0.0</v>
      </c>
      <c r="AP13" s="287">
        <f t="shared" si="2"/>
        <v>0.0</v>
      </c>
      <c r="AQ13" s="287">
        <f t="shared" si="2"/>
        <v>0.0</v>
      </c>
      <c r="AR13" s="287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287"/>
      <c r="O14" s="287"/>
      <c r="P14" s="287"/>
      <c r="Q14" s="349"/>
      <c r="R14" s="320">
        <f>48563+2981</f>
        <v>51544.0</v>
      </c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184">
        <f t="shared" si="1"/>
        <v>51544.0</v>
      </c>
      <c r="AT14" s="190">
        <f>(AS14/(AS12-AS13))*100%</f>
        <v>1.0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322"/>
      <c r="O15" s="322"/>
      <c r="P15" s="322"/>
      <c r="Q15" s="349"/>
      <c r="R15" s="350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215">
        <f t="shared" si="1"/>
        <v>0.0</v>
      </c>
      <c r="AT15" s="193">
        <f>(AS15/(AS12-AS13))*100%</f>
        <v>0.0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34"/>
      <c r="O16" s="335"/>
      <c r="P16" s="335"/>
      <c r="Q16" s="138"/>
      <c r="R16" s="351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335"/>
      <c r="AJ16" s="335"/>
      <c r="AK16" s="335"/>
      <c r="AL16" s="335"/>
      <c r="AM16" s="335"/>
      <c r="AN16" s="335"/>
      <c r="AO16" s="335"/>
      <c r="AP16" s="335"/>
      <c r="AQ16" s="335"/>
      <c r="AR16" s="336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0.0</v>
      </c>
      <c r="G17" s="218"/>
      <c r="H17" s="158"/>
      <c r="I17" s="159"/>
      <c r="J17" s="160"/>
      <c r="K17" s="161"/>
      <c r="L17" s="162"/>
      <c r="M17" s="163" t="s">
        <v>130</v>
      </c>
      <c r="N17" s="327"/>
      <c r="O17" s="327"/>
      <c r="P17" s="327"/>
      <c r="Q17" s="318"/>
      <c r="R17" s="318" t="s">
        <v>159</v>
      </c>
      <c r="S17" s="327"/>
      <c r="T17" s="327"/>
      <c r="U17" s="327"/>
      <c r="V17" s="327"/>
      <c r="W17" s="327"/>
      <c r="X17" s="327"/>
      <c r="Y17" s="327"/>
      <c r="Z17" s="327"/>
      <c r="AA17" s="327"/>
      <c r="AB17" s="327"/>
      <c r="AC17" s="32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320"/>
      <c r="O18" s="320"/>
      <c r="P18" s="320"/>
      <c r="Q18" s="320"/>
      <c r="R18" s="320">
        <f>48563+2981</f>
        <v>51544.0</v>
      </c>
      <c r="S18" s="320"/>
      <c r="T18" s="320"/>
      <c r="U18" s="320"/>
      <c r="V18" s="320"/>
      <c r="W18" s="320"/>
      <c r="X18" s="320"/>
      <c r="Y18" s="320"/>
      <c r="Z18" s="320"/>
      <c r="AA18" s="320"/>
      <c r="AB18" s="320"/>
      <c r="AC18" s="320"/>
      <c r="AD18" s="320"/>
      <c r="AE18" s="320"/>
      <c r="AF18" s="320"/>
      <c r="AG18" s="320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212">
        <f>SUM(N18:AR18)</f>
        <v>51544.0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287">
        <f t="shared" si="3" ref="N19:AR19">N18-N20-N21</f>
        <v>0.0</v>
      </c>
      <c r="O19" s="320">
        <f t="shared" si="3"/>
        <v>0.0</v>
      </c>
      <c r="P19" s="320">
        <f t="shared" si="3"/>
        <v>0.0</v>
      </c>
      <c r="Q19" s="287">
        <f t="shared" si="3"/>
        <v>0.0</v>
      </c>
      <c r="R19" s="287">
        <f t="shared" si="3"/>
        <v>0.0</v>
      </c>
      <c r="S19" s="287">
        <f t="shared" si="3"/>
        <v>0.0</v>
      </c>
      <c r="T19" s="287">
        <f t="shared" si="3"/>
        <v>0.0</v>
      </c>
      <c r="U19" s="287">
        <f t="shared" si="3"/>
        <v>0.0</v>
      </c>
      <c r="V19" s="287">
        <f t="shared" si="3"/>
        <v>0.0</v>
      </c>
      <c r="W19" s="287">
        <f t="shared" si="3"/>
        <v>0.0</v>
      </c>
      <c r="X19" s="287">
        <f t="shared" si="3"/>
        <v>0.0</v>
      </c>
      <c r="Y19" s="287">
        <f t="shared" si="3"/>
        <v>0.0</v>
      </c>
      <c r="Z19" s="287">
        <f t="shared" si="3"/>
        <v>0.0</v>
      </c>
      <c r="AA19" s="287">
        <f t="shared" si="3"/>
        <v>0.0</v>
      </c>
      <c r="AB19" s="287">
        <f t="shared" si="3"/>
        <v>0.0</v>
      </c>
      <c r="AC19" s="287">
        <f t="shared" si="3"/>
        <v>0.0</v>
      </c>
      <c r="AD19" s="287">
        <f t="shared" si="3"/>
        <v>0.0</v>
      </c>
      <c r="AE19" s="287">
        <f t="shared" si="3"/>
        <v>0.0</v>
      </c>
      <c r="AF19" s="287">
        <f t="shared" si="3"/>
        <v>0.0</v>
      </c>
      <c r="AG19" s="287">
        <f t="shared" si="3"/>
        <v>0.0</v>
      </c>
      <c r="AH19" s="287">
        <f t="shared" si="3"/>
        <v>0.0</v>
      </c>
      <c r="AI19" s="287">
        <f t="shared" si="3"/>
        <v>0.0</v>
      </c>
      <c r="AJ19" s="287">
        <f t="shared" si="3"/>
        <v>0.0</v>
      </c>
      <c r="AK19" s="287">
        <f t="shared" si="3"/>
        <v>0.0</v>
      </c>
      <c r="AL19" s="287">
        <f t="shared" si="3"/>
        <v>0.0</v>
      </c>
      <c r="AM19" s="287">
        <f t="shared" si="3"/>
        <v>0.0</v>
      </c>
      <c r="AN19" s="287">
        <f t="shared" si="3"/>
        <v>0.0</v>
      </c>
      <c r="AO19" s="287">
        <f t="shared" si="3"/>
        <v>0.0</v>
      </c>
      <c r="AP19" s="287">
        <f t="shared" si="3"/>
        <v>0.0</v>
      </c>
      <c r="AQ19" s="287">
        <f t="shared" si="3"/>
        <v>0.0</v>
      </c>
      <c r="AR19" s="287">
        <f t="shared" si="3"/>
        <v>0.0</v>
      </c>
      <c r="AS19" s="214">
        <f>SUM(N19:AR19)</f>
        <v>0.0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287"/>
      <c r="O20" s="287"/>
      <c r="P20" s="287"/>
      <c r="Q20" s="350"/>
      <c r="R20" s="320">
        <f>48563+2981</f>
        <v>51544.0</v>
      </c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184">
        <f>SUM(N20:AR20)</f>
        <v>51544.0</v>
      </c>
      <c r="AT20" s="190">
        <f>(AS20/(AS18-AS19))*100%</f>
        <v>1.0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322"/>
      <c r="O21" s="322"/>
      <c r="P21" s="322"/>
      <c r="Q21" s="350"/>
      <c r="R21" s="35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215">
        <f>SUM(N21:AR21)</f>
        <v>0.0</v>
      </c>
      <c r="AT21" s="193">
        <f>(AS21/(AS18-AS19))*100%</f>
        <v>0.0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34"/>
      <c r="O22" s="335"/>
      <c r="P22" s="335"/>
      <c r="Q22" s="318"/>
      <c r="R22" s="351"/>
      <c r="S22" s="335"/>
      <c r="T22" s="335"/>
      <c r="U22" s="335"/>
      <c r="V22" s="335"/>
      <c r="W22" s="335"/>
      <c r="X22" s="335"/>
      <c r="Y22" s="335"/>
      <c r="Z22" s="335"/>
      <c r="AA22" s="335"/>
      <c r="AB22" s="335"/>
      <c r="AC22" s="335"/>
      <c r="AD22" s="335"/>
      <c r="AE22" s="335"/>
      <c r="AF22" s="335"/>
      <c r="AG22" s="335"/>
      <c r="AH22" s="335"/>
      <c r="AI22" s="335"/>
      <c r="AJ22" s="335"/>
      <c r="AK22" s="335"/>
      <c r="AL22" s="335"/>
      <c r="AM22" s="335"/>
      <c r="AN22" s="335"/>
      <c r="AO22" s="335"/>
      <c r="AP22" s="335"/>
      <c r="AQ22" s="335"/>
      <c r="AR22" s="336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2981.0</v>
      </c>
      <c r="E23" s="155"/>
      <c r="F23" s="156">
        <v>0.0</v>
      </c>
      <c r="G23" s="157"/>
      <c r="H23" s="158"/>
      <c r="I23" s="159"/>
      <c r="J23" s="160"/>
      <c r="K23" s="161"/>
      <c r="L23" s="162"/>
      <c r="M23" s="163" t="s">
        <v>130</v>
      </c>
      <c r="N23" s="318"/>
      <c r="O23" s="318"/>
      <c r="P23" s="318"/>
      <c r="Q23" s="318"/>
      <c r="R23" s="318" t="s">
        <v>159</v>
      </c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9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320"/>
      <c r="O24" s="320"/>
      <c r="P24" s="320"/>
      <c r="Q24" s="350"/>
      <c r="R24" s="320">
        <f>48563+2981</f>
        <v>51544.0</v>
      </c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0"/>
      <c r="AK24" s="320"/>
      <c r="AL24" s="320"/>
      <c r="AM24" s="320"/>
      <c r="AN24" s="320"/>
      <c r="AO24" s="320"/>
      <c r="AP24" s="320"/>
      <c r="AQ24" s="320"/>
      <c r="AR24" s="320"/>
      <c r="AS24" s="212">
        <f>SUM(N24:AR24)</f>
        <v>51544.0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287">
        <f t="shared" si="4" ref="N25:AR25">N24-N26-N27</f>
        <v>0.0</v>
      </c>
      <c r="O25" s="320">
        <f t="shared" si="4"/>
        <v>0.0</v>
      </c>
      <c r="P25" s="320">
        <f t="shared" si="4"/>
        <v>0.0</v>
      </c>
      <c r="Q25" s="287">
        <f t="shared" si="4"/>
        <v>0.0</v>
      </c>
      <c r="R25" s="287">
        <f t="shared" si="4"/>
        <v>0.0</v>
      </c>
      <c r="S25" s="287">
        <f t="shared" si="4"/>
        <v>0.0</v>
      </c>
      <c r="T25" s="287">
        <f t="shared" si="4"/>
        <v>0.0</v>
      </c>
      <c r="U25" s="287">
        <f t="shared" si="4"/>
        <v>0.0</v>
      </c>
      <c r="V25" s="287">
        <f t="shared" si="4"/>
        <v>0.0</v>
      </c>
      <c r="W25" s="287">
        <f t="shared" si="4"/>
        <v>0.0</v>
      </c>
      <c r="X25" s="287">
        <f t="shared" si="4"/>
        <v>0.0</v>
      </c>
      <c r="Y25" s="287">
        <f t="shared" si="4"/>
        <v>0.0</v>
      </c>
      <c r="Z25" s="287">
        <f t="shared" si="4"/>
        <v>0.0</v>
      </c>
      <c r="AA25" s="287">
        <f t="shared" si="4"/>
        <v>0.0</v>
      </c>
      <c r="AB25" s="287">
        <f t="shared" si="4"/>
        <v>0.0</v>
      </c>
      <c r="AC25" s="287">
        <f t="shared" si="4"/>
        <v>0.0</v>
      </c>
      <c r="AD25" s="287">
        <f t="shared" si="4"/>
        <v>0.0</v>
      </c>
      <c r="AE25" s="287">
        <f t="shared" si="4"/>
        <v>0.0</v>
      </c>
      <c r="AF25" s="287">
        <f t="shared" si="4"/>
        <v>0.0</v>
      </c>
      <c r="AG25" s="287">
        <f t="shared" si="4"/>
        <v>0.0</v>
      </c>
      <c r="AH25" s="287">
        <f t="shared" si="4"/>
        <v>0.0</v>
      </c>
      <c r="AI25" s="287">
        <f t="shared" si="4"/>
        <v>0.0</v>
      </c>
      <c r="AJ25" s="287">
        <f t="shared" si="4"/>
        <v>0.0</v>
      </c>
      <c r="AK25" s="287">
        <f t="shared" si="4"/>
        <v>0.0</v>
      </c>
      <c r="AL25" s="287">
        <f t="shared" si="4"/>
        <v>0.0</v>
      </c>
      <c r="AM25" s="287">
        <f t="shared" si="4"/>
        <v>0.0</v>
      </c>
      <c r="AN25" s="287">
        <f t="shared" si="4"/>
        <v>0.0</v>
      </c>
      <c r="AO25" s="287">
        <f t="shared" si="4"/>
        <v>0.0</v>
      </c>
      <c r="AP25" s="287">
        <f t="shared" si="4"/>
        <v>0.0</v>
      </c>
      <c r="AQ25" s="287">
        <f t="shared" si="4"/>
        <v>0.0</v>
      </c>
      <c r="AR25" s="287">
        <f t="shared" si="4"/>
        <v>0.0</v>
      </c>
      <c r="AS25" s="214">
        <f>SUM(N25:AR25)</f>
        <v>0.0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287"/>
      <c r="O26" s="287"/>
      <c r="P26" s="287"/>
      <c r="Q26" s="350"/>
      <c r="R26" s="320">
        <f>48563+2981</f>
        <v>51544.0</v>
      </c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184">
        <f>SUM(N26:AR26)</f>
        <v>51544.0</v>
      </c>
      <c r="AT26" s="190">
        <f>(AS26/(AS24-AS25))*100%</f>
        <v>1.0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322"/>
      <c r="O27" s="322"/>
      <c r="P27" s="322"/>
      <c r="Q27" s="138"/>
      <c r="R27" s="353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215">
        <f>SUM(N27:AR27)</f>
        <v>0.0</v>
      </c>
      <c r="AT27" s="193">
        <f>(AS27/(AS24-AS25))*100%</f>
        <v>0.0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334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6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157"/>
      <c r="H29" s="158"/>
      <c r="I29" s="159"/>
      <c r="J29" s="160"/>
      <c r="K29" s="161"/>
      <c r="L29" s="162"/>
      <c r="M29" s="163" t="s">
        <v>130</v>
      </c>
      <c r="N29" s="327"/>
      <c r="O29" s="327"/>
      <c r="P29" s="327"/>
      <c r="Q29" s="327"/>
      <c r="R29" s="318" t="s">
        <v>159</v>
      </c>
      <c r="S29" s="327"/>
      <c r="T29" s="327"/>
      <c r="U29" s="327"/>
      <c r="V29" s="327"/>
      <c r="W29" s="327"/>
      <c r="X29" s="327"/>
      <c r="Y29" s="327"/>
      <c r="Z29" s="327"/>
      <c r="AA29" s="327"/>
      <c r="AB29" s="327"/>
      <c r="AC29" s="327"/>
      <c r="AD29" s="327"/>
      <c r="AE29" s="327"/>
      <c r="AF29" s="327"/>
      <c r="AG29" s="327"/>
      <c r="AH29" s="327"/>
      <c r="AI29" s="327"/>
      <c r="AJ29" s="327"/>
      <c r="AK29" s="327"/>
      <c r="AL29" s="327"/>
      <c r="AM29" s="327"/>
      <c r="AN29" s="327"/>
      <c r="AO29" s="327"/>
      <c r="AP29" s="327"/>
      <c r="AQ29" s="327"/>
      <c r="AR29" s="327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320"/>
      <c r="O30" s="320"/>
      <c r="P30" s="320"/>
      <c r="Q30" s="320"/>
      <c r="R30" s="320">
        <f>48563</f>
        <v>48563.0</v>
      </c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320"/>
      <c r="AO30" s="320"/>
      <c r="AP30" s="320"/>
      <c r="AQ30" s="320"/>
      <c r="AR30" s="320"/>
      <c r="AS30" s="212">
        <f>SUM(N30:AR30)</f>
        <v>48563.0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287">
        <f t="shared" si="5" ref="N31:AR31">N30-N32-N33</f>
        <v>0.0</v>
      </c>
      <c r="O31" s="320">
        <f t="shared" si="5"/>
        <v>0.0</v>
      </c>
      <c r="P31" s="320">
        <f t="shared" si="5"/>
        <v>0.0</v>
      </c>
      <c r="Q31" s="287">
        <f t="shared" si="5"/>
        <v>0.0</v>
      </c>
      <c r="R31" s="287">
        <f t="shared" si="5"/>
        <v>0.0</v>
      </c>
      <c r="S31" s="287">
        <f t="shared" si="5"/>
        <v>0.0</v>
      </c>
      <c r="T31" s="287">
        <f t="shared" si="5"/>
        <v>0.0</v>
      </c>
      <c r="U31" s="287">
        <f t="shared" si="5"/>
        <v>0.0</v>
      </c>
      <c r="V31" s="287">
        <f t="shared" si="5"/>
        <v>0.0</v>
      </c>
      <c r="W31" s="287">
        <f t="shared" si="5"/>
        <v>0.0</v>
      </c>
      <c r="X31" s="287">
        <f t="shared" si="5"/>
        <v>0.0</v>
      </c>
      <c r="Y31" s="287">
        <f t="shared" si="5"/>
        <v>0.0</v>
      </c>
      <c r="Z31" s="287">
        <f t="shared" si="5"/>
        <v>0.0</v>
      </c>
      <c r="AA31" s="287">
        <f t="shared" si="5"/>
        <v>0.0</v>
      </c>
      <c r="AB31" s="287">
        <f t="shared" si="5"/>
        <v>0.0</v>
      </c>
      <c r="AC31" s="287"/>
      <c r="AD31" s="287">
        <f t="shared" si="5"/>
        <v>0.0</v>
      </c>
      <c r="AE31" s="287">
        <f t="shared" si="5"/>
        <v>0.0</v>
      </c>
      <c r="AF31" s="287">
        <f t="shared" si="5"/>
        <v>0.0</v>
      </c>
      <c r="AG31" s="287">
        <f t="shared" si="5"/>
        <v>0.0</v>
      </c>
      <c r="AH31" s="287">
        <f t="shared" si="5"/>
        <v>0.0</v>
      </c>
      <c r="AI31" s="287">
        <f t="shared" si="5"/>
        <v>0.0</v>
      </c>
      <c r="AJ31" s="287">
        <f t="shared" si="5"/>
        <v>0.0</v>
      </c>
      <c r="AK31" s="287">
        <f t="shared" si="5"/>
        <v>0.0</v>
      </c>
      <c r="AL31" s="287">
        <f t="shared" si="5"/>
        <v>0.0</v>
      </c>
      <c r="AM31" s="287">
        <f t="shared" si="5"/>
        <v>0.0</v>
      </c>
      <c r="AN31" s="287">
        <f t="shared" si="5"/>
        <v>0.0</v>
      </c>
      <c r="AO31" s="287">
        <f t="shared" si="5"/>
        <v>0.0</v>
      </c>
      <c r="AP31" s="287">
        <f t="shared" si="5"/>
        <v>0.0</v>
      </c>
      <c r="AQ31" s="287">
        <f t="shared" si="5"/>
        <v>0.0</v>
      </c>
      <c r="AR31" s="287">
        <f t="shared" si="5"/>
        <v>0.0</v>
      </c>
      <c r="AS31" s="214">
        <f>SUM(N31:AR31)</f>
        <v>0.0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287"/>
      <c r="O32" s="287"/>
      <c r="P32" s="287"/>
      <c r="Q32" s="287"/>
      <c r="R32" s="320">
        <f>48563</f>
        <v>48563.0</v>
      </c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7"/>
      <c r="AN32" s="287"/>
      <c r="AO32" s="287"/>
      <c r="AP32" s="287"/>
      <c r="AQ32" s="287"/>
      <c r="AR32" s="287"/>
      <c r="AS32" s="184">
        <f>SUM(N32:AR32)</f>
        <v>48563.0</v>
      </c>
      <c r="AT32" s="190">
        <f>(AS32/(AS30-AS31))*100%</f>
        <v>1.0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  <c r="AS33" s="215">
        <f>SUM(N33:AR33)</f>
        <v>0.0</v>
      </c>
      <c r="AT33" s="193">
        <f>(AS33/(AS30-AS31))*100%</f>
        <v>0.0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334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35"/>
      <c r="AB34" s="335"/>
      <c r="AC34" s="335"/>
      <c r="AD34" s="335"/>
      <c r="AE34" s="335"/>
      <c r="AF34" s="335"/>
      <c r="AG34" s="335"/>
      <c r="AH34" s="335"/>
      <c r="AI34" s="335"/>
      <c r="AJ34" s="335"/>
      <c r="AK34" s="335"/>
      <c r="AL34" s="335"/>
      <c r="AM34" s="335"/>
      <c r="AN34" s="335"/>
      <c r="AO34" s="335"/>
      <c r="AP34" s="335"/>
      <c r="AQ34" s="335"/>
      <c r="AR34" s="336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154">
        <f>F35+AS38-AS42+AS43</f>
        <v>0.0</v>
      </c>
      <c r="E35" s="155"/>
      <c r="F35" s="156">
        <v>0.0</v>
      </c>
      <c r="G35" s="218"/>
      <c r="H35" s="158"/>
      <c r="I35" s="159"/>
      <c r="J35" s="160"/>
      <c r="K35" s="161"/>
      <c r="L35" s="162"/>
      <c r="M35" s="163" t="s">
        <v>130</v>
      </c>
      <c r="N35" s="318"/>
      <c r="O35" s="318"/>
      <c r="P35" s="318"/>
      <c r="Q35" s="318"/>
      <c r="R35" s="318" t="s">
        <v>159</v>
      </c>
      <c r="S35" s="318"/>
      <c r="T35" s="318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9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320"/>
      <c r="O36" s="320"/>
      <c r="P36" s="320"/>
      <c r="Q36" s="320"/>
      <c r="R36" s="320">
        <v>48563.0</v>
      </c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20"/>
      <c r="AR36" s="320"/>
      <c r="AS36" s="212">
        <f t="shared" si="6" ref="AS36:AS39">SUM(N36:AR36)</f>
        <v>48563.0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287">
        <f t="shared" si="7" ref="N37:AR37">N36-N38-N39</f>
        <v>0.0</v>
      </c>
      <c r="O37" s="320">
        <f t="shared" si="7"/>
        <v>0.0</v>
      </c>
      <c r="P37" s="320">
        <f t="shared" si="7"/>
        <v>0.0</v>
      </c>
      <c r="Q37" s="287">
        <f t="shared" si="7"/>
        <v>0.0</v>
      </c>
      <c r="R37" s="287">
        <f t="shared" si="7"/>
        <v>0.0</v>
      </c>
      <c r="S37" s="287">
        <f t="shared" si="7"/>
        <v>0.0</v>
      </c>
      <c r="T37" s="287">
        <f t="shared" si="7"/>
        <v>0.0</v>
      </c>
      <c r="U37" s="287">
        <f t="shared" si="7"/>
        <v>0.0</v>
      </c>
      <c r="V37" s="287">
        <f t="shared" si="7"/>
        <v>0.0</v>
      </c>
      <c r="W37" s="287">
        <f t="shared" si="7"/>
        <v>0.0</v>
      </c>
      <c r="X37" s="287">
        <f t="shared" si="7"/>
        <v>0.0</v>
      </c>
      <c r="Y37" s="287">
        <f t="shared" si="7"/>
        <v>0.0</v>
      </c>
      <c r="Z37" s="287">
        <f t="shared" si="7"/>
        <v>0.0</v>
      </c>
      <c r="AA37" s="287">
        <f t="shared" si="7"/>
        <v>0.0</v>
      </c>
      <c r="AB37" s="287">
        <f t="shared" si="7"/>
        <v>0.0</v>
      </c>
      <c r="AC37" s="287">
        <f t="shared" si="7"/>
        <v>0.0</v>
      </c>
      <c r="AD37" s="287">
        <f t="shared" si="7"/>
        <v>0.0</v>
      </c>
      <c r="AE37" s="287">
        <f t="shared" si="7"/>
        <v>0.0</v>
      </c>
      <c r="AF37" s="287">
        <f t="shared" si="7"/>
        <v>0.0</v>
      </c>
      <c r="AG37" s="287">
        <f t="shared" si="7"/>
        <v>0.0</v>
      </c>
      <c r="AH37" s="287">
        <f t="shared" si="7"/>
        <v>0.0</v>
      </c>
      <c r="AI37" s="287">
        <f t="shared" si="7"/>
        <v>0.0</v>
      </c>
      <c r="AJ37" s="287">
        <f t="shared" si="7"/>
        <v>0.0</v>
      </c>
      <c r="AK37" s="287">
        <f t="shared" si="7"/>
        <v>0.0</v>
      </c>
      <c r="AL37" s="287">
        <f t="shared" si="7"/>
        <v>0.0</v>
      </c>
      <c r="AM37" s="287">
        <f t="shared" si="7"/>
        <v>0.0</v>
      </c>
      <c r="AN37" s="287">
        <f t="shared" si="7"/>
        <v>0.0</v>
      </c>
      <c r="AO37" s="287">
        <f t="shared" si="7"/>
        <v>0.0</v>
      </c>
      <c r="AP37" s="287">
        <f t="shared" si="7"/>
        <v>0.0</v>
      </c>
      <c r="AQ37" s="287">
        <f t="shared" si="7"/>
        <v>0.0</v>
      </c>
      <c r="AR37" s="287">
        <f t="shared" si="7"/>
        <v>0.0</v>
      </c>
      <c r="AS37" s="214">
        <f t="shared" si="6"/>
        <v>0.0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87"/>
      <c r="O38" s="287"/>
      <c r="P38" s="287"/>
      <c r="Q38" s="287"/>
      <c r="R38" s="287">
        <v>48563.0</v>
      </c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87"/>
      <c r="AO38" s="287"/>
      <c r="AP38" s="287"/>
      <c r="AQ38" s="287"/>
      <c r="AR38" s="287"/>
      <c r="AS38" s="184">
        <f t="shared" si="6"/>
        <v>48563.0</v>
      </c>
      <c r="AT38" s="190">
        <f>(AS38/(AS36-AS37))*100%</f>
        <v>1.0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22"/>
      <c r="Y39" s="322"/>
      <c r="Z39" s="322"/>
      <c r="AA39" s="322"/>
      <c r="AB39" s="322"/>
      <c r="AC39" s="322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215">
        <f t="shared" si="6"/>
        <v>0.0</v>
      </c>
      <c r="AT39" s="193">
        <f>(AS39/(AS36-AS37))*100%</f>
        <v>0.0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34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35"/>
      <c r="AB40" s="335"/>
      <c r="AC40" s="335"/>
      <c r="AD40" s="335"/>
      <c r="AE40" s="335"/>
      <c r="AF40" s="335"/>
      <c r="AG40" s="335"/>
      <c r="AH40" s="335"/>
      <c r="AI40" s="335"/>
      <c r="AJ40" s="335"/>
      <c r="AK40" s="335"/>
      <c r="AL40" s="335"/>
      <c r="AM40" s="335"/>
      <c r="AN40" s="335"/>
      <c r="AO40" s="335"/>
      <c r="AP40" s="335"/>
      <c r="AQ40" s="335"/>
      <c r="AR40" s="336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154">
        <f>F41+AS44-AS48+AS49</f>
        <v>0.0</v>
      </c>
      <c r="E41" s="155"/>
      <c r="F41" s="156">
        <v>0.0</v>
      </c>
      <c r="G41" s="218"/>
      <c r="H41" s="158"/>
      <c r="I41" s="159"/>
      <c r="J41" s="160"/>
      <c r="K41" s="161"/>
      <c r="L41" s="162"/>
      <c r="M41" s="163" t="s">
        <v>130</v>
      </c>
      <c r="N41" s="318"/>
      <c r="O41" s="318"/>
      <c r="P41" s="318"/>
      <c r="Q41" s="318"/>
      <c r="R41" s="318" t="s">
        <v>159</v>
      </c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27"/>
      <c r="AL41" s="318"/>
      <c r="AM41" s="318"/>
      <c r="AN41" s="318"/>
      <c r="AO41" s="318"/>
      <c r="AP41" s="318"/>
      <c r="AQ41" s="318"/>
      <c r="AR41" s="319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320"/>
      <c r="O42" s="320"/>
      <c r="P42" s="320"/>
      <c r="Q42" s="320"/>
      <c r="R42" s="320">
        <v>48563.0</v>
      </c>
      <c r="S42" s="320"/>
      <c r="T42" s="320"/>
      <c r="U42" s="320"/>
      <c r="V42" s="320"/>
      <c r="W42" s="320"/>
      <c r="X42" s="320"/>
      <c r="Y42" s="320"/>
      <c r="Z42" s="320"/>
      <c r="AA42" s="320"/>
      <c r="AB42" s="320"/>
      <c r="AC42" s="320"/>
      <c r="AD42" s="320"/>
      <c r="AE42" s="320"/>
      <c r="AF42" s="320"/>
      <c r="AG42" s="320"/>
      <c r="AH42" s="320"/>
      <c r="AI42" s="320"/>
      <c r="AJ42" s="329"/>
      <c r="AK42" s="320"/>
      <c r="AL42" s="320"/>
      <c r="AM42" s="320"/>
      <c r="AN42" s="320"/>
      <c r="AO42" s="320"/>
      <c r="AP42" s="320"/>
      <c r="AQ42" s="320"/>
      <c r="AR42" s="320"/>
      <c r="AS42" s="212">
        <f>SUM(N42:AR42)</f>
        <v>48563.0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87">
        <f t="shared" si="8" ref="N43:AR43">N42-N44-N45</f>
        <v>0.0</v>
      </c>
      <c r="O43" s="320">
        <f t="shared" si="8"/>
        <v>0.0</v>
      </c>
      <c r="P43" s="320">
        <f t="shared" si="8"/>
        <v>0.0</v>
      </c>
      <c r="Q43" s="287">
        <f t="shared" si="8"/>
        <v>0.0</v>
      </c>
      <c r="R43" s="287">
        <f t="shared" si="8"/>
        <v>0.0</v>
      </c>
      <c r="S43" s="287">
        <f t="shared" si="8"/>
        <v>0.0</v>
      </c>
      <c r="T43" s="287">
        <f t="shared" si="8"/>
        <v>0.0</v>
      </c>
      <c r="U43" s="287">
        <f t="shared" si="8"/>
        <v>0.0</v>
      </c>
      <c r="V43" s="287">
        <f t="shared" si="8"/>
        <v>0.0</v>
      </c>
      <c r="W43" s="287">
        <f t="shared" si="8"/>
        <v>0.0</v>
      </c>
      <c r="X43" s="287">
        <f t="shared" si="8"/>
        <v>0.0</v>
      </c>
      <c r="Y43" s="287">
        <f t="shared" si="8"/>
        <v>0.0</v>
      </c>
      <c r="Z43" s="287">
        <f t="shared" si="8"/>
        <v>0.0</v>
      </c>
      <c r="AA43" s="287">
        <f t="shared" si="8"/>
        <v>0.0</v>
      </c>
      <c r="AB43" s="287">
        <f t="shared" si="8"/>
        <v>0.0</v>
      </c>
      <c r="AC43" s="287">
        <f t="shared" si="8"/>
        <v>0.0</v>
      </c>
      <c r="AD43" s="287">
        <f t="shared" si="8"/>
        <v>0.0</v>
      </c>
      <c r="AE43" s="287">
        <f t="shared" si="8"/>
        <v>0.0</v>
      </c>
      <c r="AF43" s="287">
        <f t="shared" si="8"/>
        <v>0.0</v>
      </c>
      <c r="AG43" s="287">
        <f t="shared" si="8"/>
        <v>0.0</v>
      </c>
      <c r="AH43" s="287">
        <f t="shared" si="8"/>
        <v>0.0</v>
      </c>
      <c r="AI43" s="287">
        <f t="shared" si="8"/>
        <v>0.0</v>
      </c>
      <c r="AJ43" s="287">
        <f t="shared" si="8"/>
        <v>0.0</v>
      </c>
      <c r="AK43" s="287">
        <f t="shared" si="8"/>
        <v>0.0</v>
      </c>
      <c r="AL43" s="287">
        <f t="shared" si="8"/>
        <v>0.0</v>
      </c>
      <c r="AM43" s="287">
        <f t="shared" si="8"/>
        <v>0.0</v>
      </c>
      <c r="AN43" s="287">
        <f t="shared" si="8"/>
        <v>0.0</v>
      </c>
      <c r="AO43" s="287">
        <f t="shared" si="8"/>
        <v>0.0</v>
      </c>
      <c r="AP43" s="287">
        <f t="shared" si="8"/>
        <v>0.0</v>
      </c>
      <c r="AQ43" s="287">
        <f t="shared" si="8"/>
        <v>0.0</v>
      </c>
      <c r="AR43" s="287">
        <f t="shared" si="8"/>
        <v>0.0</v>
      </c>
      <c r="AS43" s="214">
        <f>SUM(N43:AR43)</f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287"/>
      <c r="O44" s="287"/>
      <c r="P44" s="287"/>
      <c r="Q44" s="287"/>
      <c r="R44" s="287">
        <v>48563.0</v>
      </c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7"/>
      <c r="AG44" s="287"/>
      <c r="AH44" s="287"/>
      <c r="AI44" s="287"/>
      <c r="AJ44" s="329"/>
      <c r="AK44" s="287"/>
      <c r="AL44" s="287"/>
      <c r="AM44" s="287"/>
      <c r="AN44" s="287"/>
      <c r="AO44" s="287"/>
      <c r="AP44" s="287"/>
      <c r="AQ44" s="287"/>
      <c r="AR44" s="287"/>
      <c r="AS44" s="184">
        <f>SUM(N44:AR44)</f>
        <v>48563.0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2"/>
      <c r="AF45" s="322"/>
      <c r="AG45" s="322"/>
      <c r="AH45" s="322"/>
      <c r="AI45" s="322"/>
      <c r="AJ45" s="329"/>
      <c r="AK45" s="322"/>
      <c r="AL45" s="322"/>
      <c r="AM45" s="322"/>
      <c r="AN45" s="322"/>
      <c r="AO45" s="322"/>
      <c r="AP45" s="322"/>
      <c r="AQ45" s="322"/>
      <c r="AR45" s="322"/>
      <c r="AS45" s="215">
        <f>SUM(N45:AR45)</f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34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6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318"/>
      <c r="O47" s="318"/>
      <c r="P47" s="318"/>
      <c r="Q47" s="318"/>
      <c r="R47" s="318" t="s">
        <v>159</v>
      </c>
      <c r="S47" s="318"/>
      <c r="T47" s="318"/>
      <c r="U47" s="318"/>
      <c r="V47" s="318"/>
      <c r="W47" s="318"/>
      <c r="X47" s="318"/>
      <c r="Y47" s="318"/>
      <c r="Z47" s="318"/>
      <c r="AA47" s="318"/>
      <c r="AB47" s="318"/>
      <c r="AC47" s="318"/>
      <c r="AD47" s="318"/>
      <c r="AE47" s="318"/>
      <c r="AF47" s="318"/>
      <c r="AG47" s="318"/>
      <c r="AH47" s="318"/>
      <c r="AI47" s="318"/>
      <c r="AJ47" s="318"/>
      <c r="AK47" s="318"/>
      <c r="AL47" s="318"/>
      <c r="AM47" s="318"/>
      <c r="AN47" s="318"/>
      <c r="AO47" s="318"/>
      <c r="AP47" s="318"/>
      <c r="AQ47" s="318"/>
      <c r="AR47" s="319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320"/>
      <c r="O48" s="320"/>
      <c r="P48" s="320"/>
      <c r="Q48" s="320"/>
      <c r="R48" s="320">
        <v>48563.0</v>
      </c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320"/>
      <c r="AE48" s="320"/>
      <c r="AF48" s="320"/>
      <c r="AG48" s="320"/>
      <c r="AH48" s="320"/>
      <c r="AI48" s="320"/>
      <c r="AJ48" s="320"/>
      <c r="AK48" s="320"/>
      <c r="AL48" s="320"/>
      <c r="AM48" s="320"/>
      <c r="AN48" s="320"/>
      <c r="AO48" s="320"/>
      <c r="AP48" s="320"/>
      <c r="AQ48" s="320"/>
      <c r="AR48" s="320"/>
      <c r="AS48" s="212">
        <f t="shared" si="9" ref="AS48:AS51">SUM(N48:AR48)</f>
        <v>48563.0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287">
        <f t="shared" si="10" ref="N49:AR49">N48-N50-N51</f>
        <v>0.0</v>
      </c>
      <c r="O49" s="320">
        <f t="shared" si="10"/>
        <v>0.0</v>
      </c>
      <c r="P49" s="320">
        <f t="shared" si="10"/>
        <v>0.0</v>
      </c>
      <c r="Q49" s="287">
        <f t="shared" si="10"/>
        <v>0.0</v>
      </c>
      <c r="R49" s="287">
        <f t="shared" si="10"/>
        <v>0.0</v>
      </c>
      <c r="S49" s="287">
        <f t="shared" si="10"/>
        <v>0.0</v>
      </c>
      <c r="T49" s="287">
        <f t="shared" si="10"/>
        <v>0.0</v>
      </c>
      <c r="U49" s="287">
        <f t="shared" si="10"/>
        <v>0.0</v>
      </c>
      <c r="V49" s="287">
        <f t="shared" si="10"/>
        <v>0.0</v>
      </c>
      <c r="W49" s="287">
        <f t="shared" si="10"/>
        <v>0.0</v>
      </c>
      <c r="X49" s="287">
        <f t="shared" si="10"/>
        <v>0.0</v>
      </c>
      <c r="Y49" s="287">
        <f t="shared" si="10"/>
        <v>0.0</v>
      </c>
      <c r="Z49" s="287">
        <f t="shared" si="10"/>
        <v>0.0</v>
      </c>
      <c r="AA49" s="287">
        <f t="shared" si="10"/>
        <v>0.0</v>
      </c>
      <c r="AB49" s="287">
        <f t="shared" si="10"/>
        <v>0.0</v>
      </c>
      <c r="AC49" s="287">
        <f t="shared" si="10"/>
        <v>0.0</v>
      </c>
      <c r="AD49" s="287">
        <f t="shared" si="10"/>
        <v>0.0</v>
      </c>
      <c r="AE49" s="287">
        <f t="shared" si="10"/>
        <v>0.0</v>
      </c>
      <c r="AF49" s="287">
        <f t="shared" si="10"/>
        <v>0.0</v>
      </c>
      <c r="AG49" s="287">
        <f t="shared" si="10"/>
        <v>0.0</v>
      </c>
      <c r="AH49" s="287">
        <f t="shared" si="10"/>
        <v>0.0</v>
      </c>
      <c r="AI49" s="287">
        <f t="shared" si="10"/>
        <v>0.0</v>
      </c>
      <c r="AJ49" s="287">
        <f t="shared" si="10"/>
        <v>0.0</v>
      </c>
      <c r="AK49" s="287">
        <f t="shared" si="10"/>
        <v>0.0</v>
      </c>
      <c r="AL49" s="287">
        <f t="shared" si="10"/>
        <v>0.0</v>
      </c>
      <c r="AM49" s="287">
        <f t="shared" si="10"/>
        <v>0.0</v>
      </c>
      <c r="AN49" s="287">
        <f t="shared" si="10"/>
        <v>0.0</v>
      </c>
      <c r="AO49" s="287">
        <f t="shared" si="10"/>
        <v>0.0</v>
      </c>
      <c r="AP49" s="287">
        <f t="shared" si="10"/>
        <v>0.0</v>
      </c>
      <c r="AQ49" s="287">
        <f t="shared" si="10"/>
        <v>0.0</v>
      </c>
      <c r="AR49" s="287">
        <f t="shared" si="10"/>
        <v>0.0</v>
      </c>
      <c r="AS49" s="214">
        <f t="shared" si="9"/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287"/>
      <c r="O50" s="287"/>
      <c r="P50" s="287"/>
      <c r="Q50" s="287"/>
      <c r="R50" s="287">
        <v>48563.0</v>
      </c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7"/>
      <c r="AG50" s="287"/>
      <c r="AH50" s="287"/>
      <c r="AI50" s="287"/>
      <c r="AJ50" s="287"/>
      <c r="AK50" s="287"/>
      <c r="AL50" s="287"/>
      <c r="AM50" s="287"/>
      <c r="AN50" s="287"/>
      <c r="AO50" s="287"/>
      <c r="AP50" s="287"/>
      <c r="AQ50" s="287"/>
      <c r="AR50" s="287"/>
      <c r="AS50" s="184">
        <f t="shared" si="9"/>
        <v>48563.0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22"/>
      <c r="Y51" s="322"/>
      <c r="Z51" s="322"/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  <c r="AL51" s="322"/>
      <c r="AM51" s="322"/>
      <c r="AN51" s="322"/>
      <c r="AO51" s="322"/>
      <c r="AP51" s="322"/>
      <c r="AQ51" s="322"/>
      <c r="AR51" s="322"/>
      <c r="AS51" s="215">
        <f t="shared" si="9"/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34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6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29318.0</v>
      </c>
      <c r="F53" s="232">
        <v>40755.0</v>
      </c>
      <c r="G53" s="157">
        <v>44197.0</v>
      </c>
      <c r="H53" s="233"/>
      <c r="I53" s="234"/>
      <c r="J53" s="234"/>
      <c r="K53" s="160"/>
      <c r="L53" s="162"/>
      <c r="M53" s="163" t="s">
        <v>130</v>
      </c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318"/>
      <c r="AD53" s="318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9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320"/>
      <c r="O54" s="320"/>
      <c r="P54" s="320"/>
      <c r="Q54" s="320"/>
      <c r="R54" s="320">
        <v>48563.0</v>
      </c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20"/>
      <c r="AP54" s="320"/>
      <c r="AQ54" s="320"/>
      <c r="AR54" s="320"/>
      <c r="AS54" s="212">
        <f t="shared" si="11" ref="AS54:AS57">SUM(N54:AR54)</f>
        <v>48563.0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87">
        <f t="shared" si="12" ref="N55:AR55">N54-N56-N57</f>
        <v>0.0</v>
      </c>
      <c r="O55" s="320">
        <f t="shared" si="12"/>
        <v>0.0</v>
      </c>
      <c r="P55" s="320">
        <f t="shared" si="12"/>
        <v>0.0</v>
      </c>
      <c r="Q55" s="287">
        <f t="shared" si="12"/>
        <v>0.0</v>
      </c>
      <c r="R55" s="287">
        <f t="shared" si="12"/>
        <v>0.0</v>
      </c>
      <c r="S55" s="287">
        <f t="shared" si="12"/>
        <v>0.0</v>
      </c>
      <c r="T55" s="287">
        <f t="shared" si="12"/>
        <v>0.0</v>
      </c>
      <c r="U55" s="287">
        <f t="shared" si="12"/>
        <v>0.0</v>
      </c>
      <c r="V55" s="287">
        <f t="shared" si="12"/>
        <v>0.0</v>
      </c>
      <c r="W55" s="287">
        <f t="shared" si="12"/>
        <v>0.0</v>
      </c>
      <c r="X55" s="287">
        <f t="shared" si="12"/>
        <v>0.0</v>
      </c>
      <c r="Y55" s="287">
        <f t="shared" si="12"/>
        <v>0.0</v>
      </c>
      <c r="Z55" s="287">
        <f t="shared" si="12"/>
        <v>0.0</v>
      </c>
      <c r="AA55" s="287">
        <f t="shared" si="12"/>
        <v>0.0</v>
      </c>
      <c r="AB55" s="287">
        <f t="shared" si="12"/>
        <v>0.0</v>
      </c>
      <c r="AC55" s="287">
        <f t="shared" si="12"/>
        <v>0.0</v>
      </c>
      <c r="AD55" s="287">
        <f t="shared" si="12"/>
        <v>0.0</v>
      </c>
      <c r="AE55" s="287">
        <f t="shared" si="12"/>
        <v>0.0</v>
      </c>
      <c r="AF55" s="287">
        <f t="shared" si="12"/>
        <v>0.0</v>
      </c>
      <c r="AG55" s="287">
        <f t="shared" si="12"/>
        <v>0.0</v>
      </c>
      <c r="AH55" s="287">
        <f t="shared" si="12"/>
        <v>0.0</v>
      </c>
      <c r="AI55" s="287">
        <f t="shared" si="12"/>
        <v>0.0</v>
      </c>
      <c r="AJ55" s="287">
        <f t="shared" si="12"/>
        <v>0.0</v>
      </c>
      <c r="AK55" s="287">
        <f t="shared" si="12"/>
        <v>0.0</v>
      </c>
      <c r="AL55" s="287">
        <f t="shared" si="12"/>
        <v>0.0</v>
      </c>
      <c r="AM55" s="287">
        <f t="shared" si="12"/>
        <v>0.0</v>
      </c>
      <c r="AN55" s="287">
        <f t="shared" si="12"/>
        <v>0.0</v>
      </c>
      <c r="AO55" s="287">
        <f t="shared" si="12"/>
        <v>0.0</v>
      </c>
      <c r="AP55" s="287">
        <f t="shared" si="12"/>
        <v>0.0</v>
      </c>
      <c r="AQ55" s="287">
        <f t="shared" si="12"/>
        <v>0.0</v>
      </c>
      <c r="AR55" s="287">
        <f t="shared" si="12"/>
        <v>0.0</v>
      </c>
      <c r="AS55" s="214">
        <f t="shared" si="11"/>
        <v>0.0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287"/>
      <c r="O56" s="287"/>
      <c r="P56" s="287"/>
      <c r="Q56" s="287"/>
      <c r="R56" s="287">
        <v>48563.0</v>
      </c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7"/>
      <c r="AG56" s="287"/>
      <c r="AH56" s="287"/>
      <c r="AI56" s="287"/>
      <c r="AJ56" s="287"/>
      <c r="AK56" s="287"/>
      <c r="AL56" s="287"/>
      <c r="AM56" s="287"/>
      <c r="AN56" s="287"/>
      <c r="AO56" s="287"/>
      <c r="AP56" s="287"/>
      <c r="AQ56" s="287"/>
      <c r="AR56" s="287"/>
      <c r="AS56" s="184">
        <f t="shared" si="11"/>
        <v>48563.0</v>
      </c>
      <c r="AT56" s="190">
        <f>(AS56/(AS54-AS55))*100%</f>
        <v>1.0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  <c r="AM57" s="322"/>
      <c r="AN57" s="322"/>
      <c r="AO57" s="322"/>
      <c r="AP57" s="322"/>
      <c r="AQ57" s="322"/>
      <c r="AR57" s="322"/>
      <c r="AS57" s="215">
        <f t="shared" si="11"/>
        <v>0.0</v>
      </c>
      <c r="AT57" s="193">
        <f>(AS57/(AS54-AS55))*100%</f>
        <v>0.0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-19245.0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 t="s">
        <v>248</v>
      </c>
      <c r="AB58" s="290" t="s">
        <v>177</v>
      </c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1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>
        <v>48563.0</v>
      </c>
      <c r="AB59" s="344">
        <v>11437.0</v>
      </c>
      <c r="AC59" s="344"/>
      <c r="AD59" s="344"/>
      <c r="AE59" s="344"/>
      <c r="AF59" s="344"/>
      <c r="AG59" s="344"/>
      <c r="AH59" s="344"/>
      <c r="AI59" s="344"/>
      <c r="AJ59" s="344"/>
      <c r="AK59" s="344"/>
      <c r="AL59" s="344"/>
      <c r="AM59" s="344"/>
      <c r="AN59" s="344"/>
      <c r="AO59" s="344"/>
      <c r="AP59" s="344"/>
      <c r="AQ59" s="344"/>
      <c r="AR59" s="347"/>
      <c r="AS59" s="263">
        <f>SUM(N59:AR59)</f>
        <v>60000.0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13" state="frozen" activePane="bottomRight"/>
      <selection pane="bottomRight" activeCell="N20" sqref="N20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5703125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515654-07-12 
SUP11C, SQ1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284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220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220">
        <f t="shared" si="0" ref="N7:AR7">N6-N8-N9</f>
        <v>0.0</v>
      </c>
      <c r="O7" s="183">
        <f t="shared" si="0"/>
        <v>0.0</v>
      </c>
      <c r="P7" s="183">
        <f t="shared" si="0"/>
        <v>0.0</v>
      </c>
      <c r="Q7" s="220">
        <f t="shared" si="0"/>
        <v>0.0</v>
      </c>
      <c r="R7" s="220">
        <f t="shared" si="0"/>
        <v>0.0</v>
      </c>
      <c r="S7" s="220">
        <f t="shared" si="0"/>
        <v>0.0</v>
      </c>
      <c r="T7" s="220">
        <f t="shared" si="0"/>
        <v>0.0</v>
      </c>
      <c r="U7" s="220">
        <f t="shared" si="0"/>
        <v>0.0</v>
      </c>
      <c r="V7" s="220">
        <f t="shared" si="0"/>
        <v>0.0</v>
      </c>
      <c r="W7" s="220">
        <f t="shared" si="0"/>
        <v>0.0</v>
      </c>
      <c r="X7" s="220">
        <f t="shared" si="0"/>
        <v>0.0</v>
      </c>
      <c r="Y7" s="220">
        <f t="shared" si="0"/>
        <v>0.0</v>
      </c>
      <c r="Z7" s="220">
        <f t="shared" si="0"/>
        <v>0.0</v>
      </c>
      <c r="AA7" s="220">
        <f t="shared" si="0"/>
        <v>0.0</v>
      </c>
      <c r="AB7" s="220">
        <f t="shared" si="0"/>
        <v>0.0</v>
      </c>
      <c r="AC7" s="220">
        <f t="shared" si="0"/>
        <v>0.0</v>
      </c>
      <c r="AD7" s="220">
        <f t="shared" si="0"/>
        <v>0.0</v>
      </c>
      <c r="AE7" s="220">
        <f t="shared" si="0"/>
        <v>0.0</v>
      </c>
      <c r="AF7" s="220">
        <f t="shared" si="0"/>
        <v>0.0</v>
      </c>
      <c r="AG7" s="220">
        <f t="shared" si="0"/>
        <v>0.0</v>
      </c>
      <c r="AH7" s="220">
        <f t="shared" si="0"/>
        <v>0.0</v>
      </c>
      <c r="AI7" s="220">
        <f t="shared" si="0"/>
        <v>0.0</v>
      </c>
      <c r="AJ7" s="220">
        <f t="shared" si="0"/>
        <v>0.0</v>
      </c>
      <c r="AK7" s="220">
        <f t="shared" si="0"/>
        <v>0.0</v>
      </c>
      <c r="AL7" s="220">
        <f t="shared" si="0"/>
        <v>0.0</v>
      </c>
      <c r="AM7" s="220">
        <f t="shared" si="0"/>
        <v>0.0</v>
      </c>
      <c r="AN7" s="220">
        <f t="shared" si="0"/>
        <v>0.0</v>
      </c>
      <c r="AO7" s="220">
        <f t="shared" si="0"/>
        <v>0.0</v>
      </c>
      <c r="AP7" s="220">
        <f t="shared" si="0"/>
        <v>0.0</v>
      </c>
      <c r="AQ7" s="220">
        <f t="shared" si="0"/>
        <v>0.0</v>
      </c>
      <c r="AR7" s="220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303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189">
        <f t="shared" si="1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282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3"/>
      <c r="AR9" s="303"/>
      <c r="AS9" s="184">
        <f t="shared" si="1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54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164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2"/>
      <c r="AR10" s="355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-168327.0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83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6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220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212">
        <f t="shared" si="1"/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220">
        <f t="shared" si="2" ref="N13:AR13">N12-N14-N15</f>
        <v>0.0</v>
      </c>
      <c r="O13" s="183">
        <f t="shared" si="2"/>
        <v>0.0</v>
      </c>
      <c r="P13" s="183">
        <f t="shared" si="2"/>
        <v>0.0</v>
      </c>
      <c r="Q13" s="220">
        <f t="shared" si="2"/>
        <v>0.0</v>
      </c>
      <c r="R13" s="220">
        <f t="shared" si="2"/>
        <v>0.0</v>
      </c>
      <c r="S13" s="220">
        <f t="shared" si="2"/>
        <v>0.0</v>
      </c>
      <c r="T13" s="220">
        <f t="shared" si="2"/>
        <v>0.0</v>
      </c>
      <c r="U13" s="220">
        <f t="shared" si="2"/>
        <v>0.0</v>
      </c>
      <c r="V13" s="220">
        <f t="shared" si="2"/>
        <v>0.0</v>
      </c>
      <c r="W13" s="220">
        <f t="shared" si="2"/>
        <v>0.0</v>
      </c>
      <c r="X13" s="220">
        <f t="shared" si="2"/>
        <v>0.0</v>
      </c>
      <c r="Y13" s="220">
        <f t="shared" si="2"/>
        <v>0.0</v>
      </c>
      <c r="Z13" s="220">
        <f t="shared" si="2"/>
        <v>0.0</v>
      </c>
      <c r="AA13" s="220">
        <f t="shared" si="2"/>
        <v>0.0</v>
      </c>
      <c r="AB13" s="220">
        <f t="shared" si="2"/>
        <v>0.0</v>
      </c>
      <c r="AC13" s="220">
        <f t="shared" si="2"/>
        <v>0.0</v>
      </c>
      <c r="AD13" s="220">
        <f t="shared" si="2"/>
        <v>0.0</v>
      </c>
      <c r="AE13" s="220">
        <f t="shared" si="2"/>
        <v>0.0</v>
      </c>
      <c r="AF13" s="220">
        <f t="shared" si="2"/>
        <v>0.0</v>
      </c>
      <c r="AG13" s="220">
        <f t="shared" si="2"/>
        <v>0.0</v>
      </c>
      <c r="AH13" s="220">
        <f t="shared" si="2"/>
        <v>0.0</v>
      </c>
      <c r="AI13" s="220">
        <f t="shared" si="2"/>
        <v>0.0</v>
      </c>
      <c r="AJ13" s="220">
        <f t="shared" si="2"/>
        <v>0.0</v>
      </c>
      <c r="AK13" s="220">
        <f t="shared" si="2"/>
        <v>0.0</v>
      </c>
      <c r="AL13" s="220">
        <f t="shared" si="2"/>
        <v>0.0</v>
      </c>
      <c r="AM13" s="220">
        <f t="shared" si="2"/>
        <v>0.0</v>
      </c>
      <c r="AN13" s="220">
        <f t="shared" si="2"/>
        <v>0.0</v>
      </c>
      <c r="AO13" s="220">
        <f t="shared" si="2"/>
        <v>0.0</v>
      </c>
      <c r="AP13" s="220">
        <f t="shared" si="2"/>
        <v>0.0</v>
      </c>
      <c r="AQ13" s="220">
        <f t="shared" si="2"/>
        <v>0.0</v>
      </c>
      <c r="AR13" s="220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303"/>
      <c r="O14" s="303"/>
      <c r="P14" s="303"/>
      <c r="Q14" s="303"/>
      <c r="R14" s="220"/>
      <c r="S14" s="220"/>
      <c r="T14" s="303"/>
      <c r="U14" s="303"/>
      <c r="V14" s="220"/>
      <c r="W14" s="303"/>
      <c r="X14" s="303"/>
      <c r="Y14" s="220"/>
      <c r="Z14" s="220"/>
      <c r="AA14" s="303"/>
      <c r="AB14" s="303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184">
        <f t="shared" si="1"/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/>
      <c r="AH15" s="303"/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215">
        <f t="shared" si="1"/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54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  <c r="AQ16" s="282"/>
      <c r="AR16" s="355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11191.0</v>
      </c>
      <c r="G17" s="157"/>
      <c r="H17" s="158"/>
      <c r="I17" s="159"/>
      <c r="J17" s="160"/>
      <c r="K17" s="161"/>
      <c r="L17" s="162"/>
      <c r="M17" s="163" t="s">
        <v>130</v>
      </c>
      <c r="N17" s="165"/>
      <c r="O17" s="165" t="s">
        <v>285</v>
      </c>
      <c r="P17" s="165" t="s">
        <v>286</v>
      </c>
      <c r="Q17" s="165" t="s">
        <v>287</v>
      </c>
      <c r="R17" s="165"/>
      <c r="S17" s="165" t="s">
        <v>288</v>
      </c>
      <c r="T17" s="165" t="s">
        <v>289</v>
      </c>
      <c r="U17" s="165" t="s">
        <v>186</v>
      </c>
      <c r="V17" s="165" t="s">
        <v>187</v>
      </c>
      <c r="W17" s="165"/>
      <c r="X17" s="165" t="s">
        <v>188</v>
      </c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3">
        <f>4665+6680+826</f>
        <v>12171.0</v>
      </c>
      <c r="O18" s="183">
        <f>8000*2</f>
        <v>16000.0</v>
      </c>
      <c r="P18" s="356">
        <f>10000*2</f>
        <v>20000.0</v>
      </c>
      <c r="Q18" s="356">
        <f>10000*2</f>
        <v>20000.0</v>
      </c>
      <c r="R18" s="183">
        <f>11000*2</f>
        <v>22000.0</v>
      </c>
      <c r="S18" s="183">
        <f>10000*2</f>
        <v>20000.0</v>
      </c>
      <c r="T18" s="356">
        <v>10000.0</v>
      </c>
      <c r="U18" s="356">
        <f t="shared" si="3" ref="U18:X18">8500*2</f>
        <v>17000.0</v>
      </c>
      <c r="V18" s="356">
        <f t="shared" si="3"/>
        <v>17000.0</v>
      </c>
      <c r="W18" s="356"/>
      <c r="X18" s="356">
        <f>8500*2</f>
        <v>17000.0</v>
      </c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212">
        <f>SUM(N18:AR18)</f>
        <v>171171.0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3">
        <f>N18-N20-N21</f>
        <v>0.0</v>
      </c>
      <c r="O19" s="183">
        <f t="shared" si="4" ref="N19:AR19">O18-O20-O21</f>
        <v>-2866.0</v>
      </c>
      <c r="P19" s="183">
        <f t="shared" si="4"/>
        <v>1313.0</v>
      </c>
      <c r="Q19" s="220">
        <f t="shared" si="4"/>
        <v>-298.0</v>
      </c>
      <c r="R19" s="220">
        <f t="shared" si="4"/>
        <v>-265.0</v>
      </c>
      <c r="S19" s="220">
        <f t="shared" si="4"/>
        <v>166.0</v>
      </c>
      <c r="T19" s="220">
        <f t="shared" si="4"/>
        <v>-1308.0</v>
      </c>
      <c r="U19" s="220">
        <f t="shared" si="4"/>
        <v>-2326.0</v>
      </c>
      <c r="V19" s="220">
        <f t="shared" si="4"/>
        <v>1626.0</v>
      </c>
      <c r="W19" s="220">
        <f t="shared" si="4"/>
        <v>0.0</v>
      </c>
      <c r="X19" s="220">
        <f t="shared" si="4"/>
        <v>6802.0</v>
      </c>
      <c r="Y19" s="220">
        <f t="shared" si="4"/>
        <v>0.0</v>
      </c>
      <c r="Z19" s="220">
        <f t="shared" si="4"/>
        <v>0.0</v>
      </c>
      <c r="AA19" s="220">
        <f t="shared" si="4"/>
        <v>0.0</v>
      </c>
      <c r="AB19" s="220">
        <f t="shared" si="4"/>
        <v>0.0</v>
      </c>
      <c r="AC19" s="220">
        <f t="shared" si="4"/>
        <v>0.0</v>
      </c>
      <c r="AD19" s="220">
        <f t="shared" si="4"/>
        <v>0.0</v>
      </c>
      <c r="AE19" s="220">
        <f t="shared" si="4"/>
        <v>0.0</v>
      </c>
      <c r="AF19" s="220">
        <f t="shared" si="4"/>
        <v>0.0</v>
      </c>
      <c r="AG19" s="220">
        <f t="shared" si="4"/>
        <v>0.0</v>
      </c>
      <c r="AH19" s="220">
        <f t="shared" si="4"/>
        <v>0.0</v>
      </c>
      <c r="AI19" s="220">
        <f t="shared" si="4"/>
        <v>0.0</v>
      </c>
      <c r="AJ19" s="220">
        <f t="shared" si="4"/>
        <v>0.0</v>
      </c>
      <c r="AK19" s="220">
        <f t="shared" si="4"/>
        <v>0.0</v>
      </c>
      <c r="AL19" s="220">
        <f t="shared" si="4"/>
        <v>0.0</v>
      </c>
      <c r="AM19" s="220">
        <f t="shared" si="4"/>
        <v>0.0</v>
      </c>
      <c r="AN19" s="220">
        <f t="shared" si="4"/>
        <v>0.0</v>
      </c>
      <c r="AO19" s="220">
        <f t="shared" si="4"/>
        <v>0.0</v>
      </c>
      <c r="AP19" s="220">
        <f t="shared" si="4"/>
        <v>0.0</v>
      </c>
      <c r="AQ19" s="220">
        <f t="shared" si="4"/>
        <v>0.0</v>
      </c>
      <c r="AR19" s="220">
        <f t="shared" si="4"/>
        <v>0.0</v>
      </c>
      <c r="AS19" s="214">
        <f>SUM(N19:AR19)</f>
        <v>2844.0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3">
        <f>4665+6680+826</f>
        <v>12171.0</v>
      </c>
      <c r="O20" s="220">
        <f>10040+8820</f>
        <v>18860.0</v>
      </c>
      <c r="P20" s="357">
        <f>9324+9361</f>
        <v>18685.0</v>
      </c>
      <c r="Q20" s="357">
        <f>10293+10002</f>
        <v>20295.0</v>
      </c>
      <c r="R20" s="220">
        <f>11017+11245</f>
        <v>22262.0</v>
      </c>
      <c r="S20" s="220">
        <f>11207+8620</f>
        <v>19827.0</v>
      </c>
      <c r="T20" s="357">
        <v>11307.0</v>
      </c>
      <c r="U20" s="357">
        <f>9888+9432</f>
        <v>19320.0</v>
      </c>
      <c r="V20" s="220">
        <f>8166+7206</f>
        <v>15372.0</v>
      </c>
      <c r="W20" s="357"/>
      <c r="X20" s="357">
        <f>10198</f>
        <v>10198.0</v>
      </c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184">
        <f>SUM(N20:AR20)</f>
        <v>168297.0</v>
      </c>
      <c r="AT20" s="190">
        <f>(AS20/(AS18-AS19))*100%</f>
        <v>0.9998217754727405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303"/>
      <c r="O21" s="303">
        <v>6.0</v>
      </c>
      <c r="P21" s="303">
        <v>2.0</v>
      </c>
      <c r="Q21" s="303">
        <f>1+2</f>
        <v>3.0</v>
      </c>
      <c r="R21" s="303">
        <v>3.0</v>
      </c>
      <c r="S21" s="303">
        <f>3+4</f>
        <v>7.0</v>
      </c>
      <c r="T21" s="303">
        <v>1.0</v>
      </c>
      <c r="U21" s="303">
        <f>3+3</f>
        <v>6.0</v>
      </c>
      <c r="V21" s="303">
        <f>2+0</f>
        <v>2.0</v>
      </c>
      <c r="W21" s="303"/>
      <c r="X21" s="303">
        <v>0.0</v>
      </c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215">
        <f>SUM(N21:AR21)</f>
        <v>30.0</v>
      </c>
      <c r="AT21" s="193">
        <f>(AS21/(AS18-AS19))*100%</f>
        <v>1.7822452725944145E-4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54"/>
      <c r="O22" s="282"/>
      <c r="P22" s="282"/>
      <c r="Q22" s="315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355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0.0</v>
      </c>
      <c r="E23" s="155"/>
      <c r="F23" s="156">
        <v>25216.0</v>
      </c>
      <c r="G23" s="157"/>
      <c r="H23" s="158"/>
      <c r="I23" s="159"/>
      <c r="J23" s="160"/>
      <c r="K23" s="161"/>
      <c r="L23" s="162"/>
      <c r="M23" s="163" t="s">
        <v>130</v>
      </c>
      <c r="N23" s="164"/>
      <c r="O23" s="164" t="s">
        <v>148</v>
      </c>
      <c r="P23" s="164" t="s">
        <v>149</v>
      </c>
      <c r="Q23" s="164" t="s">
        <v>290</v>
      </c>
      <c r="R23" s="164"/>
      <c r="S23" s="164" t="s">
        <v>200</v>
      </c>
      <c r="T23" s="164"/>
      <c r="U23" s="164"/>
      <c r="V23" s="164" t="s">
        <v>154</v>
      </c>
      <c r="W23" s="164"/>
      <c r="X23" s="164" t="s">
        <v>198</v>
      </c>
      <c r="Y23" s="164" t="s">
        <v>156</v>
      </c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6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183">
        <f>-400+6680+826</f>
        <v>7106.0</v>
      </c>
      <c r="O24" s="183">
        <v>50000.0</v>
      </c>
      <c r="P24" s="183">
        <v>50000.0</v>
      </c>
      <c r="Q24" s="183">
        <v>50000.0</v>
      </c>
      <c r="R24" s="183">
        <v>50000.0</v>
      </c>
      <c r="S24" s="183">
        <v>50000.0</v>
      </c>
      <c r="T24" s="183"/>
      <c r="U24" s="183"/>
      <c r="V24" s="183">
        <v>6319.0</v>
      </c>
      <c r="W24" s="183"/>
      <c r="X24" s="183">
        <v>62430.0</v>
      </c>
      <c r="Y24" s="183">
        <v>6357.0</v>
      </c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212">
        <f>SUM(N24:AR24)</f>
        <v>332212.0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183">
        <f>N24-N26-N27</f>
        <v>0.0</v>
      </c>
      <c r="O25" s="183">
        <f t="shared" si="5" ref="N25:AR25">O24-O26-O27</f>
        <v>35081.0</v>
      </c>
      <c r="P25" s="183">
        <f t="shared" si="5"/>
        <v>30865.0</v>
      </c>
      <c r="Q25" s="220">
        <f t="shared" si="5"/>
        <v>35462.0</v>
      </c>
      <c r="R25" s="220">
        <f t="shared" si="5"/>
        <v>24653.0</v>
      </c>
      <c r="S25" s="220">
        <f t="shared" si="5"/>
        <v>26972.0</v>
      </c>
      <c r="T25" s="220">
        <f t="shared" si="5"/>
        <v>0.0</v>
      </c>
      <c r="U25" s="220">
        <f t="shared" si="5"/>
        <v>0.0</v>
      </c>
      <c r="V25" s="220">
        <f t="shared" si="5"/>
        <v>0.0</v>
      </c>
      <c r="W25" s="220">
        <f t="shared" si="5"/>
        <v>0.0</v>
      </c>
      <c r="X25" s="220">
        <f t="shared" si="5"/>
        <v>-292.0</v>
      </c>
      <c r="Y25" s="220">
        <f t="shared" si="5"/>
        <v>-17.0</v>
      </c>
      <c r="Z25" s="220">
        <f t="shared" si="5"/>
        <v>0.0</v>
      </c>
      <c r="AA25" s="220">
        <f t="shared" si="5"/>
        <v>0.0</v>
      </c>
      <c r="AB25" s="220">
        <f t="shared" si="5"/>
        <v>0.0</v>
      </c>
      <c r="AC25" s="220">
        <f t="shared" si="5"/>
        <v>0.0</v>
      </c>
      <c r="AD25" s="220">
        <f t="shared" si="5"/>
        <v>0.0</v>
      </c>
      <c r="AE25" s="220">
        <f t="shared" si="5"/>
        <v>0.0</v>
      </c>
      <c r="AF25" s="220">
        <f t="shared" si="5"/>
        <v>0.0</v>
      </c>
      <c r="AG25" s="220">
        <f t="shared" si="5"/>
        <v>0.0</v>
      </c>
      <c r="AH25" s="220">
        <f t="shared" si="5"/>
        <v>0.0</v>
      </c>
      <c r="AI25" s="220">
        <f t="shared" si="5"/>
        <v>0.0</v>
      </c>
      <c r="AJ25" s="220">
        <f t="shared" si="5"/>
        <v>0.0</v>
      </c>
      <c r="AK25" s="220">
        <f t="shared" si="5"/>
        <v>0.0</v>
      </c>
      <c r="AL25" s="220">
        <f t="shared" si="5"/>
        <v>0.0</v>
      </c>
      <c r="AM25" s="220">
        <f t="shared" si="5"/>
        <v>0.0</v>
      </c>
      <c r="AN25" s="220">
        <f t="shared" si="5"/>
        <v>0.0</v>
      </c>
      <c r="AO25" s="220">
        <f t="shared" si="5"/>
        <v>0.0</v>
      </c>
      <c r="AP25" s="220">
        <f t="shared" si="5"/>
        <v>0.0</v>
      </c>
      <c r="AQ25" s="220">
        <f t="shared" si="5"/>
        <v>0.0</v>
      </c>
      <c r="AR25" s="220">
        <f t="shared" si="5"/>
        <v>0.0</v>
      </c>
      <c r="AS25" s="214">
        <f>SUM(N25:AR25)</f>
        <v>152724.0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183">
        <f>-400+6680+826</f>
        <v>7106.0</v>
      </c>
      <c r="O26" s="220">
        <v>14850.0</v>
      </c>
      <c r="P26" s="220">
        <v>19097.0</v>
      </c>
      <c r="Q26" s="220">
        <v>14538.0</v>
      </c>
      <c r="R26" s="220">
        <v>25296.0</v>
      </c>
      <c r="S26" s="220">
        <f>22976</f>
        <v>22976.0</v>
      </c>
      <c r="T26" s="220"/>
      <c r="U26" s="183"/>
      <c r="V26" s="220">
        <v>6319.0</v>
      </c>
      <c r="W26" s="220"/>
      <c r="X26" s="220">
        <v>62430.0</v>
      </c>
      <c r="Y26" s="220">
        <v>6357.0</v>
      </c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  <c r="AR26" s="220"/>
      <c r="AS26" s="184">
        <f>SUM(N26:AR26)</f>
        <v>178969.0</v>
      </c>
      <c r="AT26" s="190">
        <f>(AS26/(AS24-AS25))*100%</f>
        <v>0.9971084417899804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303"/>
      <c r="O27" s="303">
        <v>69.0</v>
      </c>
      <c r="P27" s="303">
        <v>38.0</v>
      </c>
      <c r="Q27" s="303">
        <v>0.0</v>
      </c>
      <c r="R27" s="303">
        <v>51.0</v>
      </c>
      <c r="S27" s="303">
        <v>52.0</v>
      </c>
      <c r="T27" s="303"/>
      <c r="U27" s="303"/>
      <c r="V27" s="303"/>
      <c r="W27" s="303"/>
      <c r="X27" s="303">
        <v>292.0</v>
      </c>
      <c r="Y27" s="303">
        <v>17.0</v>
      </c>
      <c r="Z27" s="303"/>
      <c r="AA27" s="303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  <c r="AQ27" s="303"/>
      <c r="AR27" s="303"/>
      <c r="AS27" s="215">
        <f>SUM(N27:AR27)</f>
        <v>519.0</v>
      </c>
      <c r="AT27" s="193">
        <f>(AS27/(AS24-AS25))*100%</f>
        <v>0.0028915582100196113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354"/>
      <c r="O28" s="282"/>
      <c r="P28" s="282"/>
      <c r="Q28" s="282"/>
      <c r="R28" s="282"/>
      <c r="S28" s="282"/>
      <c r="T28" s="282"/>
      <c r="U28" s="282"/>
      <c r="V28" s="282"/>
      <c r="W28" s="282"/>
      <c r="X28" s="303"/>
      <c r="Y28" s="282"/>
      <c r="Z28" s="282"/>
      <c r="AA28" s="282"/>
      <c r="AB28" s="282"/>
      <c r="AC28" s="282"/>
      <c r="AD28" s="282"/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282"/>
      <c r="AQ28" s="282"/>
      <c r="AR28" s="355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157"/>
      <c r="H29" s="158"/>
      <c r="I29" s="159"/>
      <c r="J29" s="160"/>
      <c r="K29" s="161"/>
      <c r="L29" s="162"/>
      <c r="M29" s="163" t="s">
        <v>130</v>
      </c>
      <c r="N29" s="165"/>
      <c r="O29" s="165" t="s">
        <v>269</v>
      </c>
      <c r="P29" s="165" t="s">
        <v>270</v>
      </c>
      <c r="Q29" s="165" t="s">
        <v>291</v>
      </c>
      <c r="R29" s="165"/>
      <c r="S29" s="165" t="s">
        <v>292</v>
      </c>
      <c r="T29" s="165"/>
      <c r="U29" s="165"/>
      <c r="V29" s="165"/>
      <c r="W29" s="165"/>
      <c r="X29" s="165"/>
      <c r="Y29" s="165"/>
      <c r="Z29" s="165" t="s">
        <v>293</v>
      </c>
      <c r="AA29" s="165"/>
      <c r="AB29" s="165" t="s">
        <v>294</v>
      </c>
      <c r="AC29" s="165" t="s">
        <v>241</v>
      </c>
      <c r="AD29" s="165"/>
      <c r="AE29" s="165" t="s">
        <v>242</v>
      </c>
      <c r="AF29" s="165" t="s">
        <v>243</v>
      </c>
      <c r="AG29" s="165" t="s">
        <v>244</v>
      </c>
      <c r="AH29" s="165" t="s">
        <v>245</v>
      </c>
      <c r="AI29" s="165" t="s">
        <v>246</v>
      </c>
      <c r="AJ29" s="165" t="s">
        <v>247</v>
      </c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183">
        <f>839-391-99+5777</f>
        <v>6126.0</v>
      </c>
      <c r="O30" s="183">
        <f>6000*2</f>
        <v>12000.0</v>
      </c>
      <c r="P30" s="183">
        <f>6000*2</f>
        <v>12000.0</v>
      </c>
      <c r="Q30" s="183">
        <f t="shared" si="6" ref="Q30:U30">10000*2</f>
        <v>20000.0</v>
      </c>
      <c r="R30" s="183">
        <f t="shared" si="6"/>
        <v>20000.0</v>
      </c>
      <c r="S30" s="183">
        <f t="shared" si="6"/>
        <v>20000.0</v>
      </c>
      <c r="T30" s="183"/>
      <c r="U30" s="183"/>
      <c r="V30" s="183"/>
      <c r="W30" s="183"/>
      <c r="X30" s="183"/>
      <c r="Y30" s="183"/>
      <c r="Z30" s="183">
        <f t="shared" si="7" ref="Z30:AJ30">8000*2</f>
        <v>16000.0</v>
      </c>
      <c r="AA30" s="183">
        <f t="shared" si="7"/>
        <v>16000.0</v>
      </c>
      <c r="AB30" s="183">
        <f t="shared" si="7"/>
        <v>16000.0</v>
      </c>
      <c r="AC30" s="183">
        <f t="shared" si="7"/>
        <v>16000.0</v>
      </c>
      <c r="AD30" s="183"/>
      <c r="AE30" s="183">
        <f t="shared" si="7"/>
        <v>16000.0</v>
      </c>
      <c r="AF30" s="183">
        <f t="shared" si="7"/>
        <v>16000.0</v>
      </c>
      <c r="AG30" s="183">
        <f t="shared" si="7"/>
        <v>16000.0</v>
      </c>
      <c r="AH30" s="183">
        <f t="shared" si="7"/>
        <v>16000.0</v>
      </c>
      <c r="AI30" s="183">
        <f t="shared" si="7"/>
        <v>16000.0</v>
      </c>
      <c r="AJ30" s="183">
        <f t="shared" si="7"/>
        <v>16000.0</v>
      </c>
      <c r="AK30" s="183"/>
      <c r="AL30" s="183"/>
      <c r="AM30" s="183"/>
      <c r="AN30" s="183"/>
      <c r="AO30" s="183"/>
      <c r="AP30" s="183"/>
      <c r="AQ30" s="183"/>
      <c r="AR30" s="183"/>
      <c r="AS30" s="212">
        <f t="shared" si="8" ref="AS30:AS33">SUM(N30:AR30)</f>
        <v>250126.0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220">
        <f t="shared" si="9" ref="N31:AR31">N30-N32-N33</f>
        <v>0.0</v>
      </c>
      <c r="O31" s="183">
        <f t="shared" si="9"/>
        <v>-5649.0</v>
      </c>
      <c r="P31" s="183">
        <f t="shared" si="9"/>
        <v>-4291.0</v>
      </c>
      <c r="Q31" s="220">
        <f t="shared" si="9"/>
        <v>2809.0</v>
      </c>
      <c r="R31" s="220">
        <f t="shared" si="9"/>
        <v>2723.0</v>
      </c>
      <c r="S31" s="220">
        <f t="shared" si="9"/>
        <v>10830.0</v>
      </c>
      <c r="T31" s="220">
        <f t="shared" si="9"/>
        <v>0.0</v>
      </c>
      <c r="U31" s="220">
        <f t="shared" si="9"/>
        <v>0.0</v>
      </c>
      <c r="V31" s="220">
        <f t="shared" si="9"/>
        <v>0.0</v>
      </c>
      <c r="W31" s="220">
        <f t="shared" si="9"/>
        <v>0.0</v>
      </c>
      <c r="X31" s="220">
        <f t="shared" si="9"/>
        <v>0.0</v>
      </c>
      <c r="Y31" s="220">
        <f t="shared" si="9"/>
        <v>0.0</v>
      </c>
      <c r="Z31" s="220">
        <f t="shared" si="9"/>
        <v>6345.0</v>
      </c>
      <c r="AA31" s="220">
        <f t="shared" si="9"/>
        <v>3588.0</v>
      </c>
      <c r="AB31" s="220">
        <f t="shared" si="9"/>
        <v>3177.0</v>
      </c>
      <c r="AC31" s="220">
        <f t="shared" si="9"/>
        <v>5298.0</v>
      </c>
      <c r="AD31" s="220">
        <f t="shared" si="9"/>
        <v>0.0</v>
      </c>
      <c r="AE31" s="220">
        <f t="shared" si="9"/>
        <v>3467.0</v>
      </c>
      <c r="AF31" s="220">
        <f t="shared" si="9"/>
        <v>1936.0</v>
      </c>
      <c r="AG31" s="220">
        <f t="shared" si="9"/>
        <v>4630.0</v>
      </c>
      <c r="AH31" s="220">
        <f t="shared" si="9"/>
        <v>879.0</v>
      </c>
      <c r="AI31" s="220">
        <f t="shared" si="9"/>
        <v>3538.0</v>
      </c>
      <c r="AJ31" s="220">
        <f t="shared" si="9"/>
        <v>6661.0</v>
      </c>
      <c r="AK31" s="220">
        <f t="shared" si="9"/>
        <v>0.0</v>
      </c>
      <c r="AL31" s="220">
        <f t="shared" si="9"/>
        <v>0.0</v>
      </c>
      <c r="AM31" s="220">
        <f t="shared" si="9"/>
        <v>0.0</v>
      </c>
      <c r="AN31" s="220">
        <f t="shared" si="9"/>
        <v>0.0</v>
      </c>
      <c r="AO31" s="220">
        <f t="shared" si="9"/>
        <v>0.0</v>
      </c>
      <c r="AP31" s="220">
        <f t="shared" si="9"/>
        <v>0.0</v>
      </c>
      <c r="AQ31" s="220">
        <f t="shared" si="9"/>
        <v>0.0</v>
      </c>
      <c r="AR31" s="220">
        <f t="shared" si="9"/>
        <v>0.0</v>
      </c>
      <c r="AS31" s="214">
        <f t="shared" si="8"/>
        <v>45941.0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183">
        <f>839-391-99+5777</f>
        <v>6126.0</v>
      </c>
      <c r="O32" s="220">
        <f>8501+9148</f>
        <v>17649.0</v>
      </c>
      <c r="P32" s="220">
        <f>8656+7635</f>
        <v>16291.0</v>
      </c>
      <c r="Q32" s="220">
        <f>8240+8951</f>
        <v>17191.0</v>
      </c>
      <c r="R32" s="220">
        <f>8384+8888</f>
        <v>17272.0</v>
      </c>
      <c r="S32" s="220">
        <f>8376+782</f>
        <v>9158.0</v>
      </c>
      <c r="T32" s="220"/>
      <c r="U32" s="220"/>
      <c r="V32" s="220"/>
      <c r="W32" s="220"/>
      <c r="X32" s="220"/>
      <c r="Y32" s="220"/>
      <c r="Z32" s="183">
        <f>1553+8095</f>
        <v>9648.0</v>
      </c>
      <c r="AA32" s="220">
        <f>6310+6100</f>
        <v>12410.0</v>
      </c>
      <c r="AB32" s="220">
        <f>6125+6692</f>
        <v>12817.0</v>
      </c>
      <c r="AC32" s="220">
        <f>5293+5405</f>
        <v>10698.0</v>
      </c>
      <c r="AD32" s="220"/>
      <c r="AE32" s="220">
        <f>4735+7790</f>
        <v>12525.0</v>
      </c>
      <c r="AF32" s="220">
        <f>7383+6675</f>
        <v>14058.0</v>
      </c>
      <c r="AG32" s="220">
        <f>7252+4112</f>
        <v>11364.0</v>
      </c>
      <c r="AH32" s="220">
        <f>7477+7639</f>
        <v>15116.0</v>
      </c>
      <c r="AI32" s="220">
        <f>7210+5242</f>
        <v>12452.0</v>
      </c>
      <c r="AJ32" s="220">
        <f>5375+3960</f>
        <v>9335.0</v>
      </c>
      <c r="AK32" s="220"/>
      <c r="AL32" s="220"/>
      <c r="AM32" s="220"/>
      <c r="AN32" s="220"/>
      <c r="AO32" s="220"/>
      <c r="AP32" s="220"/>
      <c r="AQ32" s="220"/>
      <c r="AR32" s="220"/>
      <c r="AS32" s="184">
        <f t="shared" si="8"/>
        <v>204110.0</v>
      </c>
      <c r="AT32" s="190">
        <f>(AS32/(AS30-AS31))*100%</f>
        <v>0.9996326860445185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303"/>
      <c r="O33" s="303">
        <v>0.0</v>
      </c>
      <c r="P33" s="303">
        <v>0.0</v>
      </c>
      <c r="Q33" s="303">
        <v>0.0</v>
      </c>
      <c r="R33" s="303">
        <v>5.0</v>
      </c>
      <c r="S33" s="303">
        <f>10+2</f>
        <v>12.0</v>
      </c>
      <c r="T33" s="303"/>
      <c r="U33" s="303"/>
      <c r="V33" s="303"/>
      <c r="W33" s="303"/>
      <c r="X33" s="303"/>
      <c r="Y33" s="303"/>
      <c r="Z33" s="220">
        <f>7</f>
        <v>7.0</v>
      </c>
      <c r="AA33" s="303">
        <v>2.0</v>
      </c>
      <c r="AB33" s="303">
        <v>6.0</v>
      </c>
      <c r="AC33" s="303">
        <f>4</f>
        <v>4.0</v>
      </c>
      <c r="AD33" s="303"/>
      <c r="AE33" s="303">
        <f>4+4</f>
        <v>8.0</v>
      </c>
      <c r="AF33" s="303">
        <f>6</f>
        <v>6.0</v>
      </c>
      <c r="AG33" s="303">
        <f>6</f>
        <v>6.0</v>
      </c>
      <c r="AH33" s="303">
        <f>2+3</f>
        <v>5.0</v>
      </c>
      <c r="AI33" s="303">
        <v>10.0</v>
      </c>
      <c r="AJ33" s="303">
        <f>4</f>
        <v>4.0</v>
      </c>
      <c r="AK33" s="303"/>
      <c r="AL33" s="303"/>
      <c r="AM33" s="303"/>
      <c r="AN33" s="303"/>
      <c r="AO33" s="303"/>
      <c r="AP33" s="303"/>
      <c r="AQ33" s="303"/>
      <c r="AR33" s="303"/>
      <c r="AS33" s="215">
        <f t="shared" si="8"/>
        <v>75.0</v>
      </c>
      <c r="AT33" s="193">
        <f>(AS33/(AS30-AS31))*100%</f>
        <v>3.673139554815486E-4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354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220"/>
      <c r="AA34" s="282"/>
      <c r="AB34" s="282"/>
      <c r="AC34" s="282"/>
      <c r="AD34" s="282"/>
      <c r="AE34" s="282"/>
      <c r="AF34" s="282"/>
      <c r="AG34" s="282"/>
      <c r="AH34" s="282"/>
      <c r="AI34" s="282"/>
      <c r="AJ34" s="282"/>
      <c r="AK34" s="282"/>
      <c r="AL34" s="282"/>
      <c r="AM34" s="282"/>
      <c r="AN34" s="282"/>
      <c r="AO34" s="282"/>
      <c r="AP34" s="282"/>
      <c r="AQ34" s="282"/>
      <c r="AR34" s="355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154">
        <f>F35+AS38-AS42+AS43</f>
        <v>0.0</v>
      </c>
      <c r="E35" s="155"/>
      <c r="F35" s="156">
        <v>11903.0</v>
      </c>
      <c r="G35" s="218"/>
      <c r="H35" s="158"/>
      <c r="I35" s="159"/>
      <c r="J35" s="160"/>
      <c r="K35" s="161"/>
      <c r="L35" s="162"/>
      <c r="M35" s="163" t="s">
        <v>130</v>
      </c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303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220">
        <v>839.0</v>
      </c>
      <c r="O36" s="220">
        <f>8501+9148</f>
        <v>17649.0</v>
      </c>
      <c r="P36" s="220">
        <v>16291.0</v>
      </c>
      <c r="Q36" s="220">
        <v>17191.0</v>
      </c>
      <c r="R36" s="183">
        <v>17272.0</v>
      </c>
      <c r="S36" s="183">
        <v>9158.0</v>
      </c>
      <c r="T36" s="220"/>
      <c r="U36" s="220"/>
      <c r="V36" s="183"/>
      <c r="W36" s="220"/>
      <c r="X36" s="183"/>
      <c r="Y36" s="183"/>
      <c r="Z36" s="183">
        <v>9648.0</v>
      </c>
      <c r="AA36" s="183">
        <v>12361.0</v>
      </c>
      <c r="AB36" s="183">
        <f>6692+6125</f>
        <v>12817.0</v>
      </c>
      <c r="AC36" s="222">
        <v>10698.0</v>
      </c>
      <c r="AD36" s="306"/>
      <c r="AE36" s="222">
        <v>12134.0</v>
      </c>
      <c r="AF36" s="222">
        <v>13959.0</v>
      </c>
      <c r="AG36" s="183">
        <v>17141.0</v>
      </c>
      <c r="AH36" s="183">
        <f>7639+7477</f>
        <v>15116.0</v>
      </c>
      <c r="AI36" s="222">
        <f>7210+5242</f>
        <v>12452.0</v>
      </c>
      <c r="AJ36" s="222">
        <f>5375+3960</f>
        <v>9335.0</v>
      </c>
      <c r="AK36" s="306"/>
      <c r="AL36" s="306"/>
      <c r="AM36" s="306"/>
      <c r="AN36" s="183"/>
      <c r="AO36" s="183"/>
      <c r="AP36" s="183"/>
      <c r="AQ36" s="183"/>
      <c r="AR36" s="183"/>
      <c r="AS36" s="212">
        <f t="shared" si="10" ref="AS36:AS39">SUM(N36:AR36)</f>
        <v>204061.0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220">
        <f t="shared" si="11" ref="N37:AR37">N36-N38-N39</f>
        <v>0.0</v>
      </c>
      <c r="O37" s="183">
        <f t="shared" si="11"/>
        <v>0.0</v>
      </c>
      <c r="P37" s="183">
        <f t="shared" si="11"/>
        <v>0.0</v>
      </c>
      <c r="Q37" s="220">
        <f t="shared" si="11"/>
        <v>0.0</v>
      </c>
      <c r="R37" s="220">
        <f t="shared" si="11"/>
        <v>0.0</v>
      </c>
      <c r="S37" s="220">
        <f t="shared" si="11"/>
        <v>0.0</v>
      </c>
      <c r="T37" s="220">
        <f t="shared" si="11"/>
        <v>0.0</v>
      </c>
      <c r="U37" s="220">
        <f t="shared" si="11"/>
        <v>0.0</v>
      </c>
      <c r="V37" s="220">
        <f t="shared" si="11"/>
        <v>0.0</v>
      </c>
      <c r="W37" s="220">
        <f t="shared" si="11"/>
        <v>0.0</v>
      </c>
      <c r="X37" s="220">
        <f t="shared" si="11"/>
        <v>0.0</v>
      </c>
      <c r="Y37" s="220">
        <f t="shared" si="11"/>
        <v>0.0</v>
      </c>
      <c r="Z37" s="220">
        <f t="shared" si="11"/>
        <v>0.0</v>
      </c>
      <c r="AA37" s="220">
        <f t="shared" si="11"/>
        <v>-49.0</v>
      </c>
      <c r="AB37" s="220">
        <f t="shared" si="11"/>
        <v>0.0</v>
      </c>
      <c r="AC37" s="220">
        <f t="shared" si="11"/>
        <v>0.0</v>
      </c>
      <c r="AD37" s="220">
        <f t="shared" si="11"/>
        <v>0.0</v>
      </c>
      <c r="AE37" s="220">
        <f t="shared" si="11"/>
        <v>0.0</v>
      </c>
      <c r="AF37" s="220">
        <f t="shared" si="11"/>
        <v>0.0</v>
      </c>
      <c r="AG37" s="220">
        <f t="shared" si="11"/>
        <v>0.0</v>
      </c>
      <c r="AH37" s="220">
        <f t="shared" si="11"/>
        <v>0.0</v>
      </c>
      <c r="AI37" s="220">
        <f t="shared" si="11"/>
        <v>0.0</v>
      </c>
      <c r="AJ37" s="220">
        <f t="shared" si="11"/>
        <v>0.0</v>
      </c>
      <c r="AK37" s="220">
        <f t="shared" si="11"/>
        <v>0.0</v>
      </c>
      <c r="AL37" s="220">
        <f t="shared" si="11"/>
        <v>0.0</v>
      </c>
      <c r="AM37" s="220">
        <f t="shared" si="11"/>
        <v>0.0</v>
      </c>
      <c r="AN37" s="220">
        <f t="shared" si="11"/>
        <v>0.0</v>
      </c>
      <c r="AO37" s="220">
        <f t="shared" si="11"/>
        <v>0.0</v>
      </c>
      <c r="AP37" s="220">
        <f t="shared" si="11"/>
        <v>0.0</v>
      </c>
      <c r="AQ37" s="220">
        <f t="shared" si="11"/>
        <v>0.0</v>
      </c>
      <c r="AR37" s="220">
        <f t="shared" si="11"/>
        <v>0.0</v>
      </c>
      <c r="AS37" s="214">
        <f t="shared" si="10"/>
        <v>-49.0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20">
        <v>839.0</v>
      </c>
      <c r="O38" s="220">
        <f>8489+9140</f>
        <v>17629.0</v>
      </c>
      <c r="P38" s="220">
        <v>16269.0</v>
      </c>
      <c r="Q38" s="220">
        <v>17191.0</v>
      </c>
      <c r="R38" s="220">
        <v>17170.0</v>
      </c>
      <c r="S38" s="220">
        <v>9158.0</v>
      </c>
      <c r="T38" s="220"/>
      <c r="U38" s="220"/>
      <c r="V38" s="220"/>
      <c r="W38" s="220"/>
      <c r="X38" s="220"/>
      <c r="Y38" s="220"/>
      <c r="Z38" s="220">
        <v>9102.0</v>
      </c>
      <c r="AA38" s="220">
        <v>12361.0</v>
      </c>
      <c r="AB38" s="183">
        <v>12723.0</v>
      </c>
      <c r="AC38" s="222">
        <v>10679.0</v>
      </c>
      <c r="AD38" s="306"/>
      <c r="AE38" s="222">
        <v>12134.0</v>
      </c>
      <c r="AF38" s="222">
        <v>13959.0</v>
      </c>
      <c r="AG38" s="183">
        <v>17141.0</v>
      </c>
      <c r="AH38" s="183">
        <f>7639+7477</f>
        <v>15116.0</v>
      </c>
      <c r="AI38" s="222">
        <v>12246.0</v>
      </c>
      <c r="AJ38" s="222">
        <v>9175.0</v>
      </c>
      <c r="AK38" s="306"/>
      <c r="AL38" s="306"/>
      <c r="AM38" s="306"/>
      <c r="AN38" s="220"/>
      <c r="AO38" s="220"/>
      <c r="AP38" s="220"/>
      <c r="AQ38" s="220"/>
      <c r="AR38" s="220"/>
      <c r="AS38" s="184">
        <f t="shared" si="10"/>
        <v>202892.0</v>
      </c>
      <c r="AT38" s="190">
        <f>(AS38/(AS36-AS37))*100%</f>
        <v>0.9940326294645044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303"/>
      <c r="O39" s="303">
        <v>20.0</v>
      </c>
      <c r="P39" s="303">
        <v>22.0</v>
      </c>
      <c r="Q39" s="303">
        <v>0.0</v>
      </c>
      <c r="R39" s="303">
        <v>102.0</v>
      </c>
      <c r="S39" s="303">
        <v>0.0</v>
      </c>
      <c r="T39" s="303"/>
      <c r="U39" s="303"/>
      <c r="V39" s="303"/>
      <c r="W39" s="303"/>
      <c r="X39" s="303"/>
      <c r="Y39" s="303"/>
      <c r="Z39" s="303">
        <v>546.0</v>
      </c>
      <c r="AA39" s="303">
        <v>49.0</v>
      </c>
      <c r="AB39" s="303">
        <v>94.0</v>
      </c>
      <c r="AC39" s="303">
        <v>19.0</v>
      </c>
      <c r="AD39" s="303"/>
      <c r="AE39" s="303"/>
      <c r="AF39" s="303"/>
      <c r="AG39" s="303"/>
      <c r="AH39" s="303"/>
      <c r="AI39" s="303">
        <v>206.0</v>
      </c>
      <c r="AJ39" s="303">
        <v>160.0</v>
      </c>
      <c r="AK39" s="303"/>
      <c r="AL39" s="303"/>
      <c r="AM39" s="303"/>
      <c r="AN39" s="303"/>
      <c r="AO39" s="303"/>
      <c r="AP39" s="303"/>
      <c r="AQ39" s="303"/>
      <c r="AR39" s="303"/>
      <c r="AS39" s="215">
        <f t="shared" si="10"/>
        <v>1218.0</v>
      </c>
      <c r="AT39" s="193">
        <f>(AS39/(AS36-AS37))*100%</f>
        <v>0.005967370535495566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54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  <c r="AP40" s="282"/>
      <c r="AQ40" s="282"/>
      <c r="AR40" s="355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154">
        <f>F41+AS44-AS48+AS49</f>
        <v>124636.0</v>
      </c>
      <c r="E41" s="155"/>
      <c r="F41" s="156">
        <v>58071.0</v>
      </c>
      <c r="G41" s="218"/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 t="s">
        <v>159</v>
      </c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5"/>
      <c r="AL41" s="164"/>
      <c r="AM41" s="164"/>
      <c r="AN41" s="164"/>
      <c r="AO41" s="164"/>
      <c r="AP41" s="164"/>
      <c r="AQ41" s="164"/>
      <c r="AR41" s="166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/>
      <c r="O42" s="183"/>
      <c r="P42" s="183">
        <v>45801.0</v>
      </c>
      <c r="Q42" s="183"/>
      <c r="R42" s="183"/>
      <c r="S42" s="183"/>
      <c r="T42" s="183">
        <v>390.0</v>
      </c>
      <c r="U42" s="183"/>
      <c r="V42" s="183">
        <v>43968.0</v>
      </c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103215.0</v>
      </c>
      <c r="AK42" s="183"/>
      <c r="AL42" s="183">
        <v>21421.0</v>
      </c>
      <c r="AM42" s="183"/>
      <c r="AN42" s="183"/>
      <c r="AO42" s="183"/>
      <c r="AP42" s="183"/>
      <c r="AQ42" s="183"/>
      <c r="AR42" s="183"/>
      <c r="AS42" s="212">
        <f>SUM(N42:AR42)</f>
        <v>214795.0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20">
        <f t="shared" si="12" ref="N43:AR43">N42-N44-N45</f>
        <v>0.0</v>
      </c>
      <c r="O43" s="183">
        <f t="shared" si="12"/>
        <v>0.0</v>
      </c>
      <c r="P43" s="183">
        <f t="shared" si="12"/>
        <v>0.0</v>
      </c>
      <c r="Q43" s="220">
        <f t="shared" si="12"/>
        <v>0.0</v>
      </c>
      <c r="R43" s="220">
        <f t="shared" si="12"/>
        <v>0.0</v>
      </c>
      <c r="S43" s="220">
        <f t="shared" si="12"/>
        <v>0.0</v>
      </c>
      <c r="T43" s="220">
        <f t="shared" si="12"/>
        <v>0.0</v>
      </c>
      <c r="U43" s="220">
        <f t="shared" si="12"/>
        <v>0.0</v>
      </c>
      <c r="V43" s="220">
        <f t="shared" si="12"/>
        <v>0.0</v>
      </c>
      <c r="W43" s="220">
        <f t="shared" si="12"/>
        <v>0.0</v>
      </c>
      <c r="X43" s="220">
        <f t="shared" si="12"/>
        <v>0.0</v>
      </c>
      <c r="Y43" s="220">
        <f t="shared" si="12"/>
        <v>0.0</v>
      </c>
      <c r="Z43" s="220">
        <f t="shared" si="12"/>
        <v>0.0</v>
      </c>
      <c r="AA43" s="220">
        <f t="shared" si="12"/>
        <v>0.0</v>
      </c>
      <c r="AB43" s="220">
        <f t="shared" si="12"/>
        <v>0.0</v>
      </c>
      <c r="AC43" s="220">
        <f t="shared" si="12"/>
        <v>0.0</v>
      </c>
      <c r="AD43" s="220">
        <f t="shared" si="12"/>
        <v>0.0</v>
      </c>
      <c r="AE43" s="220">
        <f t="shared" si="12"/>
        <v>0.0</v>
      </c>
      <c r="AF43" s="220">
        <f t="shared" si="12"/>
        <v>0.0</v>
      </c>
      <c r="AG43" s="220">
        <f t="shared" si="12"/>
        <v>0.0</v>
      </c>
      <c r="AH43" s="220">
        <f t="shared" si="12"/>
        <v>0.0</v>
      </c>
      <c r="AI43" s="220">
        <f t="shared" si="12"/>
        <v>0.0</v>
      </c>
      <c r="AJ43" s="220">
        <f t="shared" si="12"/>
        <v>0.0</v>
      </c>
      <c r="AK43" s="220">
        <f t="shared" si="12"/>
        <v>0.0</v>
      </c>
      <c r="AL43" s="220">
        <f t="shared" si="12"/>
        <v>0.0</v>
      </c>
      <c r="AM43" s="220">
        <f t="shared" si="12"/>
        <v>0.0</v>
      </c>
      <c r="AN43" s="220">
        <f t="shared" si="12"/>
        <v>0.0</v>
      </c>
      <c r="AO43" s="220">
        <f t="shared" si="12"/>
        <v>0.0</v>
      </c>
      <c r="AP43" s="220">
        <f t="shared" si="12"/>
        <v>0.0</v>
      </c>
      <c r="AQ43" s="220">
        <f t="shared" si="12"/>
        <v>0.0</v>
      </c>
      <c r="AR43" s="220">
        <f t="shared" si="12"/>
        <v>0.0</v>
      </c>
      <c r="AS43" s="214">
        <f>SUM(N43:AR43)</f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220"/>
      <c r="O44" s="220"/>
      <c r="P44" s="220">
        <v>45801.0</v>
      </c>
      <c r="Q44" s="220"/>
      <c r="R44" s="220"/>
      <c r="S44" s="220"/>
      <c r="T44" s="220">
        <v>390.0</v>
      </c>
      <c r="U44" s="220"/>
      <c r="V44" s="220">
        <v>43968.0</v>
      </c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>
        <v>103215.0</v>
      </c>
      <c r="AK44" s="220"/>
      <c r="AL44" s="220">
        <v>21421.0</v>
      </c>
      <c r="AM44" s="220"/>
      <c r="AN44" s="220"/>
      <c r="AO44" s="220"/>
      <c r="AP44" s="220"/>
      <c r="AQ44" s="220"/>
      <c r="AR44" s="220"/>
      <c r="AS44" s="184">
        <f>SUM(N44:AR44)</f>
        <v>214795.0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303"/>
      <c r="O45" s="303"/>
      <c r="P45" s="303">
        <v>0.0</v>
      </c>
      <c r="Q45" s="303"/>
      <c r="R45" s="303"/>
      <c r="S45" s="303"/>
      <c r="T45" s="303">
        <v>0.0</v>
      </c>
      <c r="U45" s="303"/>
      <c r="V45" s="303"/>
      <c r="W45" s="303"/>
      <c r="X45" s="303"/>
      <c r="Y45" s="303"/>
      <c r="Z45" s="303"/>
      <c r="AA45" s="303"/>
      <c r="AB45" s="303"/>
      <c r="AC45" s="303"/>
      <c r="AD45" s="303"/>
      <c r="AE45" s="303"/>
      <c r="AF45" s="303"/>
      <c r="AG45" s="303"/>
      <c r="AH45" s="303"/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215">
        <f>SUM(N45:AR45)</f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54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282"/>
      <c r="AG46" s="282"/>
      <c r="AH46" s="282"/>
      <c r="AI46" s="282"/>
      <c r="AJ46" s="282"/>
      <c r="AK46" s="282"/>
      <c r="AL46" s="282"/>
      <c r="AM46" s="282"/>
      <c r="AN46" s="282"/>
      <c r="AO46" s="282"/>
      <c r="AP46" s="282"/>
      <c r="AQ46" s="282"/>
      <c r="AR46" s="355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164"/>
      <c r="O47" s="164"/>
      <c r="P47" s="164"/>
      <c r="Q47" s="164"/>
      <c r="R47" s="164"/>
      <c r="S47" s="164"/>
      <c r="T47" s="164" t="s">
        <v>159</v>
      </c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6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183">
        <v>58071.0</v>
      </c>
      <c r="O48" s="225"/>
      <c r="P48" s="183"/>
      <c r="Q48" s="183"/>
      <c r="R48" s="183">
        <v>45801.0</v>
      </c>
      <c r="S48" s="183"/>
      <c r="T48" s="183">
        <v>390.0</v>
      </c>
      <c r="U48" s="183"/>
      <c r="V48" s="183"/>
      <c r="W48" s="183"/>
      <c r="X48" s="183"/>
      <c r="Y48" s="183"/>
      <c r="Z48" s="183">
        <v>43968.0</v>
      </c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>SUM(N48:AR48)</f>
        <v>148230.0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220">
        <f t="shared" si="13" ref="N49:AR49">N48-N50-N51</f>
        <v>0.0</v>
      </c>
      <c r="O49" s="183">
        <f t="shared" si="13"/>
        <v>0.0</v>
      </c>
      <c r="P49" s="183">
        <f t="shared" si="13"/>
        <v>0.0</v>
      </c>
      <c r="Q49" s="220">
        <f t="shared" si="13"/>
        <v>0.0</v>
      </c>
      <c r="R49" s="220">
        <f t="shared" si="13"/>
        <v>0.0</v>
      </c>
      <c r="S49" s="220">
        <f t="shared" si="13"/>
        <v>0.0</v>
      </c>
      <c r="T49" s="220">
        <f t="shared" si="13"/>
        <v>0.0</v>
      </c>
      <c r="U49" s="220">
        <f t="shared" si="13"/>
        <v>0.0</v>
      </c>
      <c r="V49" s="220">
        <f t="shared" si="13"/>
        <v>0.0</v>
      </c>
      <c r="W49" s="220">
        <f t="shared" si="13"/>
        <v>0.0</v>
      </c>
      <c r="X49" s="220">
        <f t="shared" si="13"/>
        <v>0.0</v>
      </c>
      <c r="Y49" s="220">
        <f t="shared" si="13"/>
        <v>0.0</v>
      </c>
      <c r="Z49" s="220">
        <f t="shared" si="13"/>
        <v>0.0</v>
      </c>
      <c r="AA49" s="220">
        <f t="shared" si="13"/>
        <v>0.0</v>
      </c>
      <c r="AB49" s="220">
        <f t="shared" si="13"/>
        <v>0.0</v>
      </c>
      <c r="AC49" s="220">
        <f t="shared" si="13"/>
        <v>0.0</v>
      </c>
      <c r="AD49" s="220">
        <f t="shared" si="13"/>
        <v>0.0</v>
      </c>
      <c r="AE49" s="220">
        <f t="shared" si="13"/>
        <v>0.0</v>
      </c>
      <c r="AF49" s="220">
        <f t="shared" si="13"/>
        <v>0.0</v>
      </c>
      <c r="AG49" s="220">
        <f t="shared" si="13"/>
        <v>0.0</v>
      </c>
      <c r="AH49" s="220">
        <f t="shared" si="13"/>
        <v>0.0</v>
      </c>
      <c r="AI49" s="220">
        <f t="shared" si="13"/>
        <v>0.0</v>
      </c>
      <c r="AJ49" s="220">
        <f t="shared" si="13"/>
        <v>0.0</v>
      </c>
      <c r="AK49" s="220">
        <f t="shared" si="13"/>
        <v>0.0</v>
      </c>
      <c r="AL49" s="220">
        <f t="shared" si="13"/>
        <v>0.0</v>
      </c>
      <c r="AM49" s="220">
        <f t="shared" si="13"/>
        <v>0.0</v>
      </c>
      <c r="AN49" s="220">
        <f t="shared" si="13"/>
        <v>0.0</v>
      </c>
      <c r="AO49" s="220">
        <f t="shared" si="13"/>
        <v>0.0</v>
      </c>
      <c r="AP49" s="220">
        <f t="shared" si="13"/>
        <v>0.0</v>
      </c>
      <c r="AQ49" s="220">
        <f t="shared" si="13"/>
        <v>0.0</v>
      </c>
      <c r="AR49" s="220">
        <f t="shared" si="13"/>
        <v>0.0</v>
      </c>
      <c r="AS49" s="214">
        <f>SUM(N49:AR49)</f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220">
        <v>58071.0</v>
      </c>
      <c r="O50" s="225"/>
      <c r="P50" s="220"/>
      <c r="Q50" s="220"/>
      <c r="R50" s="220">
        <v>45801.0</v>
      </c>
      <c r="S50" s="220"/>
      <c r="T50" s="220">
        <v>390.0</v>
      </c>
      <c r="U50" s="220"/>
      <c r="V50" s="220"/>
      <c r="W50" s="220"/>
      <c r="X50" s="220"/>
      <c r="Y50" s="220"/>
      <c r="Z50" s="220">
        <v>43968.0</v>
      </c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184">
        <f>SUM(N50:AR50)</f>
        <v>148230.0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303">
        <v>0.0</v>
      </c>
      <c r="O51" s="225"/>
      <c r="P51" s="303"/>
      <c r="Q51" s="303"/>
      <c r="R51" s="303">
        <v>0.0</v>
      </c>
      <c r="S51" s="303"/>
      <c r="T51" s="303">
        <v>0.0</v>
      </c>
      <c r="U51" s="303"/>
      <c r="V51" s="303"/>
      <c r="W51" s="303"/>
      <c r="X51" s="303"/>
      <c r="Y51" s="303"/>
      <c r="Z51" s="303"/>
      <c r="AA51" s="303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215">
        <f>SUM(N51:AR51)</f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54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2"/>
      <c r="AR52" s="355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6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183"/>
      <c r="O54" s="183"/>
      <c r="P54" s="183"/>
      <c r="Q54" s="183"/>
      <c r="R54" s="183"/>
      <c r="S54" s="183"/>
      <c r="T54" s="183">
        <v>104262.0</v>
      </c>
      <c r="U54" s="183"/>
      <c r="V54" s="183"/>
      <c r="W54" s="183"/>
      <c r="X54" s="183"/>
      <c r="Y54" s="183"/>
      <c r="Z54" s="183"/>
      <c r="AA54" s="183"/>
      <c r="AB54" s="183">
        <v>43770.0</v>
      </c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 t="shared" si="14" ref="AS54:AS57">SUM(N54:AR54)</f>
        <v>148032.0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20">
        <f t="shared" si="15" ref="N55:AR55">N54-N56-N57</f>
        <v>0.0</v>
      </c>
      <c r="O55" s="183">
        <f t="shared" si="15"/>
        <v>0.0</v>
      </c>
      <c r="P55" s="183">
        <f t="shared" si="15"/>
        <v>0.0</v>
      </c>
      <c r="Q55" s="220">
        <f t="shared" si="15"/>
        <v>0.0</v>
      </c>
      <c r="R55" s="220">
        <f t="shared" si="15"/>
        <v>0.0</v>
      </c>
      <c r="S55" s="220">
        <f t="shared" si="15"/>
        <v>0.0</v>
      </c>
      <c r="T55" s="220">
        <f t="shared" si="15"/>
        <v>0.0</v>
      </c>
      <c r="U55" s="220">
        <f t="shared" si="15"/>
        <v>0.0</v>
      </c>
      <c r="V55" s="220">
        <f t="shared" si="15"/>
        <v>0.0</v>
      </c>
      <c r="W55" s="220">
        <f t="shared" si="15"/>
        <v>0.0</v>
      </c>
      <c r="X55" s="220">
        <f t="shared" si="15"/>
        <v>0.0</v>
      </c>
      <c r="Y55" s="220">
        <f t="shared" si="15"/>
        <v>0.0</v>
      </c>
      <c r="Z55" s="220">
        <f t="shared" si="15"/>
        <v>0.0</v>
      </c>
      <c r="AA55" s="220">
        <f t="shared" si="15"/>
        <v>0.0</v>
      </c>
      <c r="AB55" s="220">
        <f t="shared" si="15"/>
        <v>-198.0</v>
      </c>
      <c r="AC55" s="220">
        <f t="shared" si="15"/>
        <v>0.0</v>
      </c>
      <c r="AD55" s="220">
        <f t="shared" si="15"/>
        <v>0.0</v>
      </c>
      <c r="AE55" s="220">
        <f t="shared" si="15"/>
        <v>0.0</v>
      </c>
      <c r="AF55" s="220">
        <f t="shared" si="15"/>
        <v>0.0</v>
      </c>
      <c r="AG55" s="220">
        <f t="shared" si="15"/>
        <v>0.0</v>
      </c>
      <c r="AH55" s="220">
        <f t="shared" si="15"/>
        <v>0.0</v>
      </c>
      <c r="AI55" s="220">
        <f t="shared" si="15"/>
        <v>0.0</v>
      </c>
      <c r="AJ55" s="220">
        <f t="shared" si="15"/>
        <v>0.0</v>
      </c>
      <c r="AK55" s="220">
        <f t="shared" si="15"/>
        <v>0.0</v>
      </c>
      <c r="AL55" s="220">
        <f t="shared" si="15"/>
        <v>0.0</v>
      </c>
      <c r="AM55" s="220">
        <f t="shared" si="15"/>
        <v>0.0</v>
      </c>
      <c r="AN55" s="220">
        <f t="shared" si="15"/>
        <v>0.0</v>
      </c>
      <c r="AO55" s="220">
        <f t="shared" si="15"/>
        <v>0.0</v>
      </c>
      <c r="AP55" s="220">
        <f t="shared" si="15"/>
        <v>0.0</v>
      </c>
      <c r="AQ55" s="220">
        <f t="shared" si="15"/>
        <v>0.0</v>
      </c>
      <c r="AR55" s="220">
        <f t="shared" si="15"/>
        <v>0.0</v>
      </c>
      <c r="AS55" s="214">
        <f t="shared" si="14"/>
        <v>-198.0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220"/>
      <c r="O56" s="220"/>
      <c r="P56" s="220"/>
      <c r="Q56" s="220"/>
      <c r="R56" s="220"/>
      <c r="S56" s="220"/>
      <c r="T56" s="220">
        <v>104262.0</v>
      </c>
      <c r="U56" s="220"/>
      <c r="V56" s="220"/>
      <c r="W56" s="220"/>
      <c r="X56" s="220"/>
      <c r="Y56" s="220"/>
      <c r="Z56" s="220"/>
      <c r="AA56" s="220"/>
      <c r="AB56" s="220">
        <v>43770.0</v>
      </c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184">
        <f t="shared" si="14"/>
        <v>148032.0</v>
      </c>
      <c r="AT56" s="190">
        <f>(AS56/(AS54-AS55))*100%</f>
        <v>0.9986642380085003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303"/>
      <c r="O57" s="303"/>
      <c r="P57" s="303"/>
      <c r="Q57" s="303"/>
      <c r="R57" s="303"/>
      <c r="S57" s="303"/>
      <c r="T57" s="303">
        <v>0.0</v>
      </c>
      <c r="U57" s="303"/>
      <c r="V57" s="303"/>
      <c r="W57" s="303"/>
      <c r="X57" s="303"/>
      <c r="Y57" s="303"/>
      <c r="Z57" s="303"/>
      <c r="AA57" s="303"/>
      <c r="AB57" s="303">
        <v>198.0</v>
      </c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215">
        <f t="shared" si="14"/>
        <v>198.0</v>
      </c>
      <c r="AT57" s="193">
        <f>(AS57/(AS54-AS55))*100%</f>
        <v>0.0013357619914996963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-43691.0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 t="s">
        <v>295</v>
      </c>
      <c r="Z58" s="251"/>
      <c r="AA58" s="251"/>
      <c r="AB58" s="251"/>
      <c r="AC58" s="251"/>
      <c r="AD58" s="251"/>
      <c r="AE58" s="251"/>
      <c r="AF58" s="251" t="s">
        <v>178</v>
      </c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358"/>
      <c r="O59" s="358"/>
      <c r="P59" s="358"/>
      <c r="Q59" s="358"/>
      <c r="R59" s="358"/>
      <c r="S59" s="358"/>
      <c r="T59" s="358"/>
      <c r="U59" s="358"/>
      <c r="V59" s="358"/>
      <c r="W59" s="358"/>
      <c r="X59" s="358"/>
      <c r="Y59" s="358">
        <v>104262.0</v>
      </c>
      <c r="Z59" s="358"/>
      <c r="AA59" s="358"/>
      <c r="AB59" s="358"/>
      <c r="AC59" s="358"/>
      <c r="AD59" s="358"/>
      <c r="AE59" s="358"/>
      <c r="AF59" s="358">
        <v>43770.0</v>
      </c>
      <c r="AG59" s="358"/>
      <c r="AH59" s="358"/>
      <c r="AI59" s="358"/>
      <c r="AJ59" s="358"/>
      <c r="AK59" s="358"/>
      <c r="AL59" s="358"/>
      <c r="AM59" s="358"/>
      <c r="AN59" s="358"/>
      <c r="AO59" s="358"/>
      <c r="AP59" s="358"/>
      <c r="AQ59" s="358"/>
      <c r="AR59" s="359"/>
      <c r="AS59" s="263">
        <f>SUM(N59:AR59)</f>
        <v>148032.0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20" state="frozen" activePane="bottomRight"/>
      <selection pane="bottomRight" activeCell="N31" sqref="N31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5703125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515655-07-12 
SUP11C, SQ2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296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360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361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36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184">
        <f>SUM(O6:AR6)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300">
        <f t="shared" si="0" ref="N7:AD7">O6-N8-N9</f>
        <v>0.0</v>
      </c>
      <c r="O7" s="297">
        <f t="shared" si="0"/>
        <v>0.0</v>
      </c>
      <c r="P7" s="297">
        <f t="shared" si="0"/>
        <v>0.0</v>
      </c>
      <c r="Q7" s="300">
        <f t="shared" si="0"/>
        <v>0.0</v>
      </c>
      <c r="R7" s="300">
        <f t="shared" si="0"/>
        <v>0.0</v>
      </c>
      <c r="S7" s="300">
        <f t="shared" si="0"/>
        <v>0.0</v>
      </c>
      <c r="T7" s="300">
        <f t="shared" si="0"/>
        <v>0.0</v>
      </c>
      <c r="U7" s="300">
        <f t="shared" si="0"/>
        <v>0.0</v>
      </c>
      <c r="V7" s="300">
        <f t="shared" si="0"/>
        <v>0.0</v>
      </c>
      <c r="W7" s="300">
        <f t="shared" si="0"/>
        <v>0.0</v>
      </c>
      <c r="X7" s="300">
        <f t="shared" si="0"/>
        <v>0.0</v>
      </c>
      <c r="Y7" s="300">
        <f t="shared" si="0"/>
        <v>0.0</v>
      </c>
      <c r="Z7" s="300">
        <f t="shared" si="0"/>
        <v>0.0</v>
      </c>
      <c r="AA7" s="300">
        <f t="shared" si="0"/>
        <v>0.0</v>
      </c>
      <c r="AB7" s="300">
        <f t="shared" si="0"/>
        <v>0.0</v>
      </c>
      <c r="AC7" s="300">
        <f t="shared" si="0"/>
        <v>0.0</v>
      </c>
      <c r="AD7" s="300">
        <f t="shared" si="0"/>
        <v>0.0</v>
      </c>
      <c r="AE7" s="300">
        <f t="shared" si="1" ref="AE7:AR7">AE6-AE8-AE9</f>
        <v>0.0</v>
      </c>
      <c r="AF7" s="300">
        <f t="shared" si="1"/>
        <v>0.0</v>
      </c>
      <c r="AG7" s="300">
        <f t="shared" si="1"/>
        <v>0.0</v>
      </c>
      <c r="AH7" s="300">
        <f t="shared" si="1"/>
        <v>0.0</v>
      </c>
      <c r="AI7" s="300">
        <f t="shared" si="1"/>
        <v>0.0</v>
      </c>
      <c r="AJ7" s="300">
        <f t="shared" si="1"/>
        <v>0.0</v>
      </c>
      <c r="AK7" s="300">
        <f t="shared" si="1"/>
        <v>0.0</v>
      </c>
      <c r="AL7" s="300">
        <f t="shared" si="1"/>
        <v>0.0</v>
      </c>
      <c r="AM7" s="300">
        <f t="shared" si="1"/>
        <v>0.0</v>
      </c>
      <c r="AN7" s="300">
        <f t="shared" si="1"/>
        <v>0.0</v>
      </c>
      <c r="AO7" s="300">
        <f t="shared" si="1"/>
        <v>0.0</v>
      </c>
      <c r="AP7" s="300">
        <f t="shared" si="1"/>
        <v>0.0</v>
      </c>
      <c r="AQ7" s="300">
        <f t="shared" si="1"/>
        <v>0.0</v>
      </c>
      <c r="AR7" s="300">
        <f t="shared" si="1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  <c r="AI8" s="300"/>
      <c r="AJ8" s="300"/>
      <c r="AK8" s="300"/>
      <c r="AL8" s="300"/>
      <c r="AM8" s="300"/>
      <c r="AN8" s="300"/>
      <c r="AO8" s="300"/>
      <c r="AP8" s="300"/>
      <c r="AQ8" s="300"/>
      <c r="AR8" s="300"/>
      <c r="AS8" s="189">
        <f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02"/>
      <c r="AS9" s="184">
        <f>SUM(N9:AR9)</f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62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4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-467742.0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361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12">
        <f>SUM(N12:AR12)</f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300">
        <f t="shared" si="2" ref="N13:AR13">N12-N14-N15</f>
        <v>0.0</v>
      </c>
      <c r="O13" s="297">
        <f t="shared" si="2"/>
        <v>0.0</v>
      </c>
      <c r="P13" s="297">
        <f t="shared" si="2"/>
        <v>0.0</v>
      </c>
      <c r="Q13" s="300">
        <f t="shared" si="2"/>
        <v>0.0</v>
      </c>
      <c r="R13" s="300">
        <f t="shared" si="2"/>
        <v>0.0</v>
      </c>
      <c r="S13" s="300">
        <f t="shared" si="2"/>
        <v>0.0</v>
      </c>
      <c r="T13" s="300">
        <f t="shared" si="2"/>
        <v>0.0</v>
      </c>
      <c r="U13" s="300">
        <f t="shared" si="2"/>
        <v>0.0</v>
      </c>
      <c r="V13" s="300">
        <f t="shared" si="2"/>
        <v>0.0</v>
      </c>
      <c r="W13" s="300">
        <f t="shared" si="2"/>
        <v>0.0</v>
      </c>
      <c r="X13" s="300">
        <f t="shared" si="2"/>
        <v>0.0</v>
      </c>
      <c r="Y13" s="300">
        <f t="shared" si="2"/>
        <v>0.0</v>
      </c>
      <c r="Z13" s="300">
        <f t="shared" si="2"/>
        <v>0.0</v>
      </c>
      <c r="AA13" s="300">
        <f t="shared" si="2"/>
        <v>0.0</v>
      </c>
      <c r="AB13" s="300"/>
      <c r="AC13" s="300">
        <f t="shared" si="2"/>
        <v>0.0</v>
      </c>
      <c r="AD13" s="300">
        <f t="shared" si="2"/>
        <v>0.0</v>
      </c>
      <c r="AE13" s="300">
        <f t="shared" si="2"/>
        <v>0.0</v>
      </c>
      <c r="AF13" s="300">
        <f t="shared" si="2"/>
        <v>0.0</v>
      </c>
      <c r="AG13" s="300">
        <f t="shared" si="2"/>
        <v>0.0</v>
      </c>
      <c r="AH13" s="300">
        <f t="shared" si="2"/>
        <v>0.0</v>
      </c>
      <c r="AI13" s="300">
        <f t="shared" si="2"/>
        <v>0.0</v>
      </c>
      <c r="AJ13" s="300">
        <f t="shared" si="2"/>
        <v>0.0</v>
      </c>
      <c r="AK13" s="300">
        <f t="shared" si="2"/>
        <v>0.0</v>
      </c>
      <c r="AL13" s="300">
        <f t="shared" si="2"/>
        <v>0.0</v>
      </c>
      <c r="AM13" s="300">
        <f t="shared" si="2"/>
        <v>0.0</v>
      </c>
      <c r="AN13" s="300">
        <f t="shared" si="2"/>
        <v>0.0</v>
      </c>
      <c r="AO13" s="300">
        <f t="shared" si="2"/>
        <v>0.0</v>
      </c>
      <c r="AP13" s="300">
        <f t="shared" si="2"/>
        <v>0.0</v>
      </c>
      <c r="AQ13" s="300">
        <f t="shared" si="2"/>
        <v>0.0</v>
      </c>
      <c r="AR13" s="300">
        <f t="shared" si="2"/>
        <v>0.0</v>
      </c>
      <c r="AS13" s="214">
        <f>SUM(N13:AR13)</f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300"/>
      <c r="AQ14" s="300"/>
      <c r="AR14" s="300"/>
      <c r="AS14" s="184">
        <f>SUM(N14:AR14)</f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/>
      <c r="AH15" s="303"/>
      <c r="AI15" s="303"/>
      <c r="AJ15" s="303"/>
      <c r="AK15" s="303"/>
      <c r="AL15" s="303"/>
      <c r="AM15" s="303"/>
      <c r="AN15" s="303"/>
      <c r="AO15" s="303"/>
      <c r="AP15" s="302"/>
      <c r="AQ15" s="302"/>
      <c r="AR15" s="302"/>
      <c r="AS15" s="215">
        <f>SUM(N15:AR15)</f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54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363"/>
      <c r="AQ16" s="363"/>
      <c r="AR16" s="364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30383.0</v>
      </c>
      <c r="E17" s="155"/>
      <c r="F17" s="156">
        <v>38045.0</v>
      </c>
      <c r="G17" s="218">
        <v>44197.0</v>
      </c>
      <c r="H17" s="158"/>
      <c r="I17" s="159"/>
      <c r="J17" s="160"/>
      <c r="K17" s="161"/>
      <c r="L17" s="162"/>
      <c r="M17" s="163" t="s">
        <v>130</v>
      </c>
      <c r="N17" s="165"/>
      <c r="O17" s="165" t="s">
        <v>285</v>
      </c>
      <c r="P17" s="165" t="s">
        <v>286</v>
      </c>
      <c r="Q17" s="165" t="s">
        <v>297</v>
      </c>
      <c r="R17" s="165"/>
      <c r="S17" s="165" t="s">
        <v>298</v>
      </c>
      <c r="T17" s="165"/>
      <c r="U17" s="165"/>
      <c r="V17" s="165"/>
      <c r="W17" s="165" t="s">
        <v>299</v>
      </c>
      <c r="X17" s="165"/>
      <c r="Y17" s="165" t="s">
        <v>189</v>
      </c>
      <c r="Z17" s="165" t="s">
        <v>190</v>
      </c>
      <c r="AA17" s="282"/>
      <c r="AB17" s="311" t="s">
        <v>192</v>
      </c>
      <c r="AC17" s="165" t="s">
        <v>266</v>
      </c>
      <c r="AD17" s="165" t="s">
        <v>194</v>
      </c>
      <c r="AE17" s="165"/>
      <c r="AF17" s="165" t="s">
        <v>195</v>
      </c>
      <c r="AG17" s="165" t="s">
        <v>196</v>
      </c>
      <c r="AH17" s="165" t="s">
        <v>197</v>
      </c>
      <c r="AI17" s="165" t="s">
        <v>198</v>
      </c>
      <c r="AJ17" s="165" t="s">
        <v>168</v>
      </c>
      <c r="AK17" s="165"/>
      <c r="AL17" s="165"/>
      <c r="AM17" s="165"/>
      <c r="AN17" s="165"/>
      <c r="AO17" s="165"/>
      <c r="AP17" s="295"/>
      <c r="AQ17" s="295"/>
      <c r="AR17" s="29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220">
        <f>21357-3254</f>
        <v>18103.0</v>
      </c>
      <c r="O18" s="183">
        <f>8000*2</f>
        <v>16000.0</v>
      </c>
      <c r="P18" s="183">
        <f>10000*2</f>
        <v>20000.0</v>
      </c>
      <c r="Q18" s="183">
        <f>10000*2</f>
        <v>20000.0</v>
      </c>
      <c r="R18" s="183">
        <f>10000*2</f>
        <v>20000.0</v>
      </c>
      <c r="S18" s="183">
        <v>10000.0</v>
      </c>
      <c r="T18" s="183"/>
      <c r="U18" s="183"/>
      <c r="V18" s="183"/>
      <c r="W18" s="183">
        <v>10000.0</v>
      </c>
      <c r="X18" s="183"/>
      <c r="Y18" s="183">
        <f>10000*2</f>
        <v>20000.0</v>
      </c>
      <c r="Z18" s="183">
        <f t="shared" si="3" ref="Z18:AD18">10000*4</f>
        <v>40000.0</v>
      </c>
      <c r="AA18" s="183">
        <f t="shared" si="3"/>
        <v>40000.0</v>
      </c>
      <c r="AB18" s="183">
        <f t="shared" si="3"/>
        <v>40000.0</v>
      </c>
      <c r="AC18" s="183">
        <f t="shared" si="3"/>
        <v>40000.0</v>
      </c>
      <c r="AD18" s="183">
        <f t="shared" si="3"/>
        <v>40000.0</v>
      </c>
      <c r="AE18" s="183"/>
      <c r="AF18" s="183">
        <f t="shared" si="4" ref="AF18:AJ18">10000*4</f>
        <v>40000.0</v>
      </c>
      <c r="AG18" s="183">
        <f t="shared" si="4"/>
        <v>40000.0</v>
      </c>
      <c r="AH18" s="183">
        <f t="shared" si="4"/>
        <v>40000.0</v>
      </c>
      <c r="AI18" s="183">
        <f t="shared" si="4"/>
        <v>40000.0</v>
      </c>
      <c r="AJ18" s="183">
        <f t="shared" si="4"/>
        <v>40000.0</v>
      </c>
      <c r="AK18" s="183"/>
      <c r="AL18" s="183"/>
      <c r="AM18" s="183"/>
      <c r="AN18" s="183"/>
      <c r="AO18" s="183"/>
      <c r="AP18" s="297"/>
      <c r="AQ18" s="297"/>
      <c r="AR18" s="297"/>
      <c r="AS18" s="212">
        <f>SUM(N18:AR18)</f>
        <v>534103.0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3">
        <f>N18-N20-N21</f>
        <v>0.0</v>
      </c>
      <c r="O19" s="183">
        <f t="shared" si="5" ref="N19:AR19">O18-O20-O21</f>
        <v>-720.0</v>
      </c>
      <c r="P19" s="183">
        <f t="shared" si="5"/>
        <v>3641.0</v>
      </c>
      <c r="Q19" s="220">
        <f t="shared" si="5"/>
        <v>1701.0</v>
      </c>
      <c r="R19" s="220">
        <f t="shared" si="5"/>
        <v>-548.0</v>
      </c>
      <c r="S19" s="220">
        <f t="shared" si="5"/>
        <v>3502.0</v>
      </c>
      <c r="T19" s="220">
        <f t="shared" si="5"/>
        <v>0.0</v>
      </c>
      <c r="U19" s="220">
        <f t="shared" si="5"/>
        <v>0.0</v>
      </c>
      <c r="V19" s="220">
        <f t="shared" si="5"/>
        <v>0.0</v>
      </c>
      <c r="W19" s="220">
        <f t="shared" si="5"/>
        <v>-357.0</v>
      </c>
      <c r="X19" s="220">
        <f t="shared" si="5"/>
        <v>0.0</v>
      </c>
      <c r="Y19" s="220">
        <f t="shared" si="5"/>
        <v>840.0</v>
      </c>
      <c r="Z19" s="220">
        <f t="shared" si="5"/>
        <v>3924.0</v>
      </c>
      <c r="AA19" s="220">
        <f t="shared" si="5"/>
        <v>5237.0</v>
      </c>
      <c r="AB19" s="220">
        <f t="shared" si="5"/>
        <v>6907.0</v>
      </c>
      <c r="AC19" s="220">
        <f t="shared" si="5"/>
        <v>14690.0</v>
      </c>
      <c r="AD19" s="220">
        <f t="shared" si="5"/>
        <v>6228.0</v>
      </c>
      <c r="AE19" s="220">
        <f t="shared" si="5"/>
        <v>0.0</v>
      </c>
      <c r="AF19" s="220">
        <f t="shared" si="5"/>
        <v>3876.0</v>
      </c>
      <c r="AG19" s="220">
        <f t="shared" si="5"/>
        <v>2693.0</v>
      </c>
      <c r="AH19" s="220">
        <f t="shared" si="5"/>
        <v>1989.0</v>
      </c>
      <c r="AI19" s="220">
        <f t="shared" si="5"/>
        <v>3116.0</v>
      </c>
      <c r="AJ19" s="220">
        <f t="shared" si="5"/>
        <v>9642.0</v>
      </c>
      <c r="AK19" s="220">
        <f t="shared" si="5"/>
        <v>0.0</v>
      </c>
      <c r="AL19" s="220">
        <f t="shared" si="5"/>
        <v>0.0</v>
      </c>
      <c r="AM19" s="220">
        <f t="shared" si="5"/>
        <v>0.0</v>
      </c>
      <c r="AN19" s="220">
        <f t="shared" si="5"/>
        <v>0.0</v>
      </c>
      <c r="AO19" s="220">
        <f t="shared" si="5"/>
        <v>0.0</v>
      </c>
      <c r="AP19" s="300">
        <f t="shared" si="5"/>
        <v>0.0</v>
      </c>
      <c r="AQ19" s="300">
        <f t="shared" si="5"/>
        <v>0.0</v>
      </c>
      <c r="AR19" s="300">
        <f t="shared" si="5"/>
        <v>0.0</v>
      </c>
      <c r="AS19" s="214">
        <f>SUM(N19:AR19)</f>
        <v>66361.0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220">
        <f>21357-3254</f>
        <v>18103.0</v>
      </c>
      <c r="O20" s="220">
        <f>8525+8194</f>
        <v>16719.0</v>
      </c>
      <c r="P20" s="220">
        <f>7718+8639</f>
        <v>16357.0</v>
      </c>
      <c r="Q20" s="313">
        <f>8938+9355</f>
        <v>18293.0</v>
      </c>
      <c r="R20" s="220">
        <f>10515+10032</f>
        <v>20547.0</v>
      </c>
      <c r="S20" s="220">
        <v>6497.0</v>
      </c>
      <c r="T20" s="220"/>
      <c r="U20" s="220"/>
      <c r="V20" s="220"/>
      <c r="W20" s="220">
        <v>10356.0</v>
      </c>
      <c r="X20" s="220"/>
      <c r="Y20" s="220">
        <f>9552+9604</f>
        <v>19156.0</v>
      </c>
      <c r="Z20" s="220">
        <f>9459+9264+8328+9017</f>
        <v>36068.0</v>
      </c>
      <c r="AA20" s="220">
        <f>8429+8575+8598+9159</f>
        <v>34761.0</v>
      </c>
      <c r="AB20" s="220">
        <f>8362+8347+8380+8002</f>
        <v>33091.0</v>
      </c>
      <c r="AC20" s="220">
        <f>6501+6367+6085+6353</f>
        <v>25306.0</v>
      </c>
      <c r="AD20" s="220">
        <f>8432+8619+8270+8450</f>
        <v>33771.0</v>
      </c>
      <c r="AE20" s="220"/>
      <c r="AF20" s="220">
        <f>8726+8821+9406+9171</f>
        <v>36124.0</v>
      </c>
      <c r="AG20" s="220">
        <f>9753+9677+9075+8797</f>
        <v>37302.0</v>
      </c>
      <c r="AH20" s="220">
        <f>9443+9423+10136+9005</f>
        <v>38007.0</v>
      </c>
      <c r="AI20" s="220">
        <f>9900+8773+8916+9290</f>
        <v>36879.0</v>
      </c>
      <c r="AJ20" s="220">
        <f>8890+7920+6809+6734</f>
        <v>30353.0</v>
      </c>
      <c r="AK20" s="220"/>
      <c r="AL20" s="220"/>
      <c r="AM20" s="220"/>
      <c r="AN20" s="220"/>
      <c r="AO20" s="220"/>
      <c r="AP20" s="300"/>
      <c r="AQ20" s="300"/>
      <c r="AR20" s="300"/>
      <c r="AS20" s="184">
        <f>SUM(N20:AR20)</f>
        <v>467690.0</v>
      </c>
      <c r="AT20" s="190">
        <f>(AS20/(AS18-AS19))*100%</f>
        <v>0.9998888276015411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303"/>
      <c r="O21" s="303">
        <v>1.0</v>
      </c>
      <c r="P21" s="303">
        <v>2.0</v>
      </c>
      <c r="Q21" s="314">
        <f>3+3</f>
        <v>6.0</v>
      </c>
      <c r="R21" s="303">
        <v>1.0</v>
      </c>
      <c r="S21" s="303">
        <v>1.0</v>
      </c>
      <c r="T21" s="303"/>
      <c r="U21" s="303"/>
      <c r="V21" s="303"/>
      <c r="W21" s="303">
        <v>1.0</v>
      </c>
      <c r="X21" s="303"/>
      <c r="Y21" s="303">
        <f>1+3</f>
        <v>4.0</v>
      </c>
      <c r="Z21" s="303">
        <f>8</f>
        <v>8.0</v>
      </c>
      <c r="AA21" s="303">
        <v>2.0</v>
      </c>
      <c r="AB21" s="303">
        <f>2</f>
        <v>2.0</v>
      </c>
      <c r="AC21" s="303">
        <f>1+3</f>
        <v>4.0</v>
      </c>
      <c r="AD21" s="303">
        <f>1</f>
        <v>1.0</v>
      </c>
      <c r="AE21" s="303"/>
      <c r="AF21" s="303"/>
      <c r="AG21" s="303">
        <f>5</f>
        <v>5.0</v>
      </c>
      <c r="AH21" s="303">
        <f>4</f>
        <v>4.0</v>
      </c>
      <c r="AI21" s="303">
        <v>5.0</v>
      </c>
      <c r="AJ21" s="303">
        <f>3+2</f>
        <v>5.0</v>
      </c>
      <c r="AK21" s="303"/>
      <c r="AL21" s="303"/>
      <c r="AM21" s="303"/>
      <c r="AN21" s="303"/>
      <c r="AO21" s="303"/>
      <c r="AP21" s="302"/>
      <c r="AQ21" s="302"/>
      <c r="AR21" s="302"/>
      <c r="AS21" s="215">
        <f>SUM(N21:AR21)</f>
        <v>52.0</v>
      </c>
      <c r="AT21" s="193">
        <f>(AS21/(AS18-AS19))*100%</f>
        <v>1.1117239845897953E-4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54"/>
      <c r="O22" s="282"/>
      <c r="P22" s="282"/>
      <c r="Q22" s="315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363"/>
      <c r="AQ22" s="363"/>
      <c r="AR22" s="364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114300.0</v>
      </c>
      <c r="E23" s="155"/>
      <c r="F23" s="156">
        <v>32342.0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282"/>
      <c r="O23" s="164" t="s">
        <v>148</v>
      </c>
      <c r="P23" s="164" t="s">
        <v>149</v>
      </c>
      <c r="Q23" s="365" t="s">
        <v>150</v>
      </c>
      <c r="R23" s="164"/>
      <c r="S23" s="164" t="s">
        <v>200</v>
      </c>
      <c r="T23" s="164"/>
      <c r="U23" s="164" t="s">
        <v>153</v>
      </c>
      <c r="V23" s="164"/>
      <c r="W23" s="164"/>
      <c r="X23" s="164"/>
      <c r="Y23" s="164"/>
      <c r="Z23" s="164" t="s">
        <v>257</v>
      </c>
      <c r="AA23" s="164"/>
      <c r="AB23" s="164" t="s">
        <v>203</v>
      </c>
      <c r="AC23" s="164"/>
      <c r="AD23" s="164" t="s">
        <v>300</v>
      </c>
      <c r="AE23" s="164"/>
      <c r="AF23" s="164" t="s">
        <v>301</v>
      </c>
      <c r="AG23" s="164" t="s">
        <v>207</v>
      </c>
      <c r="AH23" s="164" t="s">
        <v>208</v>
      </c>
      <c r="AI23" s="164" t="s">
        <v>167</v>
      </c>
      <c r="AJ23" s="164" t="s">
        <v>209</v>
      </c>
      <c r="AK23" s="164"/>
      <c r="AL23" s="164"/>
      <c r="AM23" s="164"/>
      <c r="AN23" s="164"/>
      <c r="AO23" s="164"/>
      <c r="AP23" s="296"/>
      <c r="AQ23" s="296"/>
      <c r="AR23" s="361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220">
        <f>-21357+36393-40</f>
        <v>14996.0</v>
      </c>
      <c r="O24" s="183">
        <v>50000.0</v>
      </c>
      <c r="P24" s="183">
        <v>50000.0</v>
      </c>
      <c r="Q24" s="312">
        <v>50000.0</v>
      </c>
      <c r="R24" s="183">
        <v>50000.0</v>
      </c>
      <c r="S24" s="183">
        <v>50000.0</v>
      </c>
      <c r="T24" s="183"/>
      <c r="U24" s="183">
        <v>6279.0</v>
      </c>
      <c r="V24" s="183"/>
      <c r="W24" s="183"/>
      <c r="X24" s="183"/>
      <c r="Y24" s="183"/>
      <c r="Z24" s="183">
        <f>28571</f>
        <v>28571.0</v>
      </c>
      <c r="AA24" s="183">
        <v>35744.0</v>
      </c>
      <c r="AB24" s="183">
        <v>34826.0</v>
      </c>
      <c r="AC24" s="183"/>
      <c r="AD24" s="183">
        <v>40629.0</v>
      </c>
      <c r="AE24" s="183"/>
      <c r="AF24" s="183">
        <v>52070.0</v>
      </c>
      <c r="AG24" s="164">
        <v>34748.0</v>
      </c>
      <c r="AH24" s="183">
        <v>39730.0</v>
      </c>
      <c r="AI24" s="183">
        <f>37849</f>
        <v>37849.0</v>
      </c>
      <c r="AJ24" s="183">
        <v>36970.0</v>
      </c>
      <c r="AK24" s="183"/>
      <c r="AL24" s="183"/>
      <c r="AM24" s="183"/>
      <c r="AN24" s="183"/>
      <c r="AO24" s="183"/>
      <c r="AP24" s="297"/>
      <c r="AQ24" s="297"/>
      <c r="AR24" s="297"/>
      <c r="AS24" s="212">
        <f>SUM(N24:AR24)</f>
        <v>612412.0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183">
        <f>N24-N26-N27</f>
        <v>0.0</v>
      </c>
      <c r="O25" s="183">
        <f t="shared" si="6" ref="N25:AR25">O24-O26-O27</f>
        <v>28677.0</v>
      </c>
      <c r="P25" s="183">
        <f t="shared" si="6"/>
        <v>21307.0</v>
      </c>
      <c r="Q25" s="220">
        <f t="shared" si="6"/>
        <v>27081.0</v>
      </c>
      <c r="R25" s="220">
        <f t="shared" si="6"/>
        <v>23635.0</v>
      </c>
      <c r="S25" s="220">
        <f t="shared" si="6"/>
        <v>37047.0</v>
      </c>
      <c r="T25" s="220">
        <f t="shared" si="6"/>
        <v>0.0</v>
      </c>
      <c r="U25" s="220">
        <f t="shared" si="6"/>
        <v>-7.0</v>
      </c>
      <c r="V25" s="220">
        <f t="shared" si="6"/>
        <v>0.0</v>
      </c>
      <c r="W25" s="220">
        <f t="shared" si="6"/>
        <v>0.0</v>
      </c>
      <c r="X25" s="220">
        <f t="shared" si="6"/>
        <v>0.0</v>
      </c>
      <c r="Y25" s="220">
        <f t="shared" si="6"/>
        <v>0.0</v>
      </c>
      <c r="Z25" s="220">
        <f t="shared" si="6"/>
        <v>-209.0</v>
      </c>
      <c r="AA25" s="220">
        <f t="shared" si="6"/>
        <v>-41.0</v>
      </c>
      <c r="AB25" s="220">
        <f t="shared" si="6"/>
        <v>-23.0</v>
      </c>
      <c r="AC25" s="220">
        <f t="shared" si="6"/>
        <v>0.0</v>
      </c>
      <c r="AD25" s="220">
        <f t="shared" si="6"/>
        <v>-30.0</v>
      </c>
      <c r="AE25" s="220">
        <f t="shared" si="6"/>
        <v>0.0</v>
      </c>
      <c r="AF25" s="220">
        <f t="shared" si="6"/>
        <v>-50.0</v>
      </c>
      <c r="AG25" s="220">
        <f t="shared" si="6"/>
        <v>-67.0</v>
      </c>
      <c r="AH25" s="220">
        <f t="shared" si="6"/>
        <v>-223.0</v>
      </c>
      <c r="AI25" s="220">
        <f t="shared" si="6"/>
        <v>0.0</v>
      </c>
      <c r="AJ25" s="220">
        <f t="shared" si="6"/>
        <v>-37.0</v>
      </c>
      <c r="AK25" s="220">
        <f t="shared" si="6"/>
        <v>0.0</v>
      </c>
      <c r="AL25" s="220">
        <f t="shared" si="6"/>
        <v>0.0</v>
      </c>
      <c r="AM25" s="220">
        <f t="shared" si="6"/>
        <v>0.0</v>
      </c>
      <c r="AN25" s="220">
        <f t="shared" si="6"/>
        <v>0.0</v>
      </c>
      <c r="AO25" s="220">
        <f t="shared" si="6"/>
        <v>0.0</v>
      </c>
      <c r="AP25" s="300">
        <f t="shared" si="6"/>
        <v>0.0</v>
      </c>
      <c r="AQ25" s="300">
        <f t="shared" si="6"/>
        <v>0.0</v>
      </c>
      <c r="AR25" s="300">
        <f t="shared" si="6"/>
        <v>0.0</v>
      </c>
      <c r="AS25" s="214">
        <f>SUM(N25:AR25)</f>
        <v>137060.0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220">
        <f>-21357+36393-40</f>
        <v>14996.0</v>
      </c>
      <c r="O26" s="220">
        <v>21323.0</v>
      </c>
      <c r="P26" s="220">
        <v>28636.0</v>
      </c>
      <c r="Q26" s="313">
        <v>22739.0</v>
      </c>
      <c r="R26" s="220">
        <v>26328.0</v>
      </c>
      <c r="S26" s="220">
        <f>12948</f>
        <v>12948.0</v>
      </c>
      <c r="T26" s="220"/>
      <c r="U26" s="220">
        <v>6279.0</v>
      </c>
      <c r="V26" s="220"/>
      <c r="W26" s="220"/>
      <c r="X26" s="220"/>
      <c r="Y26" s="220"/>
      <c r="Z26" s="183">
        <f>28571</f>
        <v>28571.0</v>
      </c>
      <c r="AA26" s="220">
        <v>35744.0</v>
      </c>
      <c r="AB26" s="220">
        <v>34826.0</v>
      </c>
      <c r="AC26" s="220"/>
      <c r="AD26" s="220">
        <v>40629.0</v>
      </c>
      <c r="AE26" s="220"/>
      <c r="AF26" s="220">
        <v>52070.0</v>
      </c>
      <c r="AG26" s="164">
        <v>34748.0</v>
      </c>
      <c r="AH26" s="220">
        <v>39730.0</v>
      </c>
      <c r="AI26" s="183">
        <f>37849</f>
        <v>37849.0</v>
      </c>
      <c r="AJ26" s="220">
        <v>36970.0</v>
      </c>
      <c r="AK26" s="220"/>
      <c r="AL26" s="220"/>
      <c r="AM26" s="220"/>
      <c r="AN26" s="220"/>
      <c r="AO26" s="220"/>
      <c r="AP26" s="300"/>
      <c r="AQ26" s="300"/>
      <c r="AR26" s="300"/>
      <c r="AS26" s="184">
        <f>SUM(N26:AR26)</f>
        <v>474386.0</v>
      </c>
      <c r="AT26" s="190">
        <f>(AS26/(AS24-AS25))*100%</f>
        <v>0.9979678217405207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303"/>
      <c r="O27" s="303">
        <v>0.0</v>
      </c>
      <c r="P27" s="303">
        <v>57.0</v>
      </c>
      <c r="Q27" s="314">
        <v>180.0</v>
      </c>
      <c r="R27" s="303">
        <v>37.0</v>
      </c>
      <c r="S27" s="303">
        <v>5.0</v>
      </c>
      <c r="T27" s="303"/>
      <c r="U27" s="303">
        <v>7.0</v>
      </c>
      <c r="V27" s="303"/>
      <c r="W27" s="303"/>
      <c r="X27" s="303"/>
      <c r="Y27" s="303"/>
      <c r="Z27" s="303">
        <v>209.0</v>
      </c>
      <c r="AA27" s="303">
        <v>41.0</v>
      </c>
      <c r="AB27" s="303">
        <v>23.0</v>
      </c>
      <c r="AC27" s="303"/>
      <c r="AD27" s="303">
        <v>30.0</v>
      </c>
      <c r="AE27" s="303"/>
      <c r="AF27" s="303">
        <v>50.0</v>
      </c>
      <c r="AG27" s="303">
        <v>67.0</v>
      </c>
      <c r="AH27" s="303">
        <v>223.0</v>
      </c>
      <c r="AI27" s="303"/>
      <c r="AJ27" s="303">
        <v>37.0</v>
      </c>
      <c r="AK27" s="303"/>
      <c r="AL27" s="303"/>
      <c r="AM27" s="303"/>
      <c r="AN27" s="303"/>
      <c r="AO27" s="303"/>
      <c r="AP27" s="302"/>
      <c r="AQ27" s="302"/>
      <c r="AR27" s="302"/>
      <c r="AS27" s="215">
        <f>SUM(N27:AR27)</f>
        <v>966.0</v>
      </c>
      <c r="AT27" s="193">
        <f>(AS27/(AS24-AS25))*100%</f>
        <v>0.0020321782594792913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354"/>
      <c r="O28" s="282"/>
      <c r="P28" s="282"/>
      <c r="Q28" s="315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363"/>
      <c r="AQ28" s="363"/>
      <c r="AR28" s="364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218"/>
      <c r="H29" s="158"/>
      <c r="I29" s="159"/>
      <c r="J29" s="160"/>
      <c r="K29" s="161"/>
      <c r="L29" s="162"/>
      <c r="M29" s="163" t="s">
        <v>130</v>
      </c>
      <c r="N29" s="282"/>
      <c r="O29" s="282" t="s">
        <v>302</v>
      </c>
      <c r="P29" s="282" t="s">
        <v>303</v>
      </c>
      <c r="Q29" s="282" t="s">
        <v>304</v>
      </c>
      <c r="R29" s="282"/>
      <c r="S29" s="282" t="s">
        <v>305</v>
      </c>
      <c r="T29" s="282"/>
      <c r="U29" s="282"/>
      <c r="V29" s="282"/>
      <c r="W29" s="282"/>
      <c r="X29" s="282"/>
      <c r="Y29" s="282"/>
      <c r="Z29" s="282" t="s">
        <v>217</v>
      </c>
      <c r="AA29" s="282"/>
      <c r="AB29" s="165" t="s">
        <v>218</v>
      </c>
      <c r="AC29" s="165" t="s">
        <v>219</v>
      </c>
      <c r="AD29" s="165" t="s">
        <v>220</v>
      </c>
      <c r="AE29" s="165"/>
      <c r="AF29" s="165" t="s">
        <v>221</v>
      </c>
      <c r="AG29" s="165" t="s">
        <v>222</v>
      </c>
      <c r="AH29" s="165" t="s">
        <v>223</v>
      </c>
      <c r="AI29" s="165" t="s">
        <v>224</v>
      </c>
      <c r="AJ29" s="165" t="s">
        <v>225</v>
      </c>
      <c r="AK29" s="165"/>
      <c r="AL29" s="165"/>
      <c r="AM29" s="165"/>
      <c r="AN29" s="165"/>
      <c r="AO29" s="165"/>
      <c r="AP29" s="165"/>
      <c r="AQ29" s="295"/>
      <c r="AR29" s="29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220">
        <v>-528.0</v>
      </c>
      <c r="O30" s="183">
        <f>8000*4</f>
        <v>32000.0</v>
      </c>
      <c r="P30" s="183">
        <f>8000*4</f>
        <v>32000.0</v>
      </c>
      <c r="Q30" s="183">
        <f>10000*4</f>
        <v>40000.0</v>
      </c>
      <c r="R30" s="183">
        <f>10000*4</f>
        <v>40000.0</v>
      </c>
      <c r="S30" s="183">
        <v>8000.0</v>
      </c>
      <c r="T30" s="183"/>
      <c r="U30" s="183"/>
      <c r="V30" s="183"/>
      <c r="W30" s="183"/>
      <c r="X30" s="183"/>
      <c r="Y30" s="183"/>
      <c r="Z30" s="183">
        <f t="shared" si="7" ref="Z30:AD30">8000*4</f>
        <v>32000.0</v>
      </c>
      <c r="AA30" s="183">
        <f t="shared" si="7"/>
        <v>32000.0</v>
      </c>
      <c r="AB30" s="183">
        <f t="shared" si="7"/>
        <v>32000.0</v>
      </c>
      <c r="AC30" s="183">
        <f t="shared" si="7"/>
        <v>32000.0</v>
      </c>
      <c r="AD30" s="183">
        <f t="shared" si="7"/>
        <v>32000.0</v>
      </c>
      <c r="AE30" s="183"/>
      <c r="AF30" s="183">
        <f t="shared" si="8" ref="AF30:AJ30">8000*4</f>
        <v>32000.0</v>
      </c>
      <c r="AG30" s="183">
        <f t="shared" si="8"/>
        <v>32000.0</v>
      </c>
      <c r="AH30" s="183">
        <f t="shared" si="8"/>
        <v>32000.0</v>
      </c>
      <c r="AI30" s="183">
        <f t="shared" si="8"/>
        <v>32000.0</v>
      </c>
      <c r="AJ30" s="183">
        <f t="shared" si="8"/>
        <v>32000.0</v>
      </c>
      <c r="AK30" s="183"/>
      <c r="AL30" s="183"/>
      <c r="AM30" s="183"/>
      <c r="AN30" s="183"/>
      <c r="AO30" s="183"/>
      <c r="AP30" s="297"/>
      <c r="AQ30" s="297"/>
      <c r="AR30" s="297"/>
      <c r="AS30" s="212">
        <f>SUM(N30:AR30)</f>
        <v>471472.0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183">
        <f>N30-N32-N33</f>
        <v>0.0</v>
      </c>
      <c r="O31" s="183">
        <f t="shared" si="9" ref="N31:AR31">O30-O32-O33</f>
        <v>571.0</v>
      </c>
      <c r="P31" s="183">
        <f t="shared" si="9"/>
        <v>1260.0</v>
      </c>
      <c r="Q31" s="220">
        <f t="shared" si="9"/>
        <v>4509.0</v>
      </c>
      <c r="R31" s="220">
        <f t="shared" si="9"/>
        <v>14897.0</v>
      </c>
      <c r="S31" s="220">
        <f t="shared" si="9"/>
        <v>5586.0</v>
      </c>
      <c r="T31" s="220">
        <f t="shared" si="9"/>
        <v>0.0</v>
      </c>
      <c r="U31" s="220">
        <f t="shared" si="9"/>
        <v>0.0</v>
      </c>
      <c r="V31" s="220">
        <f t="shared" si="9"/>
        <v>0.0</v>
      </c>
      <c r="W31" s="220">
        <f t="shared" si="9"/>
        <v>0.0</v>
      </c>
      <c r="X31" s="220">
        <f t="shared" si="9"/>
        <v>0.0</v>
      </c>
      <c r="Y31" s="220">
        <f t="shared" si="9"/>
        <v>0.0</v>
      </c>
      <c r="Z31" s="220">
        <f t="shared" si="9"/>
        <v>-415.0</v>
      </c>
      <c r="AA31" s="220">
        <f t="shared" si="9"/>
        <v>8503.0</v>
      </c>
      <c r="AB31" s="220">
        <f t="shared" si="9"/>
        <v>10738.0</v>
      </c>
      <c r="AC31" s="220">
        <f t="shared" si="9"/>
        <v>12613.0</v>
      </c>
      <c r="AD31" s="220">
        <f t="shared" si="9"/>
        <v>1428.0</v>
      </c>
      <c r="AE31" s="220">
        <f t="shared" si="9"/>
        <v>0.0</v>
      </c>
      <c r="AF31" s="220">
        <f t="shared" si="9"/>
        <v>-108.0</v>
      </c>
      <c r="AG31" s="220">
        <f t="shared" si="9"/>
        <v>2768.0</v>
      </c>
      <c r="AH31" s="220">
        <f t="shared" si="9"/>
        <v>1165.0</v>
      </c>
      <c r="AI31" s="220">
        <f t="shared" si="9"/>
        <v>3886.0</v>
      </c>
      <c r="AJ31" s="220">
        <f t="shared" si="9"/>
        <v>11643.0</v>
      </c>
      <c r="AK31" s="220">
        <f t="shared" si="9"/>
        <v>0.0</v>
      </c>
      <c r="AL31" s="220">
        <f t="shared" si="9"/>
        <v>0.0</v>
      </c>
      <c r="AM31" s="220">
        <f t="shared" si="9"/>
        <v>0.0</v>
      </c>
      <c r="AN31" s="220">
        <f t="shared" si="9"/>
        <v>0.0</v>
      </c>
      <c r="AO31" s="220">
        <f t="shared" si="9"/>
        <v>0.0</v>
      </c>
      <c r="AP31" s="300">
        <f t="shared" si="9"/>
        <v>0.0</v>
      </c>
      <c r="AQ31" s="300">
        <f t="shared" si="9"/>
        <v>0.0</v>
      </c>
      <c r="AR31" s="300">
        <f t="shared" si="9"/>
        <v>0.0</v>
      </c>
      <c r="AS31" s="214">
        <f>SUM(N31:AR31)</f>
        <v>79044.0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220">
        <v>-528.0</v>
      </c>
      <c r="O32" s="220">
        <f>7933+5761+8798+8937</f>
        <v>31429.0</v>
      </c>
      <c r="P32" s="220">
        <f>7170+6063+8832+8675</f>
        <v>30740.0</v>
      </c>
      <c r="Q32" s="220">
        <f>8817+8769+9000+8905</f>
        <v>35491.0</v>
      </c>
      <c r="R32" s="220">
        <f>9769+6072+9251</f>
        <v>25092.0</v>
      </c>
      <c r="S32" s="220">
        <v>2414.0</v>
      </c>
      <c r="T32" s="220"/>
      <c r="U32" s="220"/>
      <c r="V32" s="220"/>
      <c r="W32" s="220"/>
      <c r="X32" s="220"/>
      <c r="Y32" s="220"/>
      <c r="Z32" s="220">
        <f>7708+7210+9563+7925</f>
        <v>32406.0</v>
      </c>
      <c r="AA32" s="220">
        <f>6423+6712+4893+5460</f>
        <v>23488.0</v>
      </c>
      <c r="AB32" s="220">
        <f>3300+5895+5105+6919</f>
        <v>21219.0</v>
      </c>
      <c r="AC32" s="220">
        <f>4847+4810+4878+4835</f>
        <v>19370.0</v>
      </c>
      <c r="AD32" s="220">
        <f>7135+7130+7663+8634</f>
        <v>30562.0</v>
      </c>
      <c r="AE32" s="220"/>
      <c r="AF32" s="220">
        <f>7740+8617+7560+8180</f>
        <v>32097.0</v>
      </c>
      <c r="AG32" s="220">
        <f>7584+8620+6423+6600</f>
        <v>29227.0</v>
      </c>
      <c r="AH32" s="183">
        <f>7036+7839+7942+8006</f>
        <v>30823.0</v>
      </c>
      <c r="AI32" s="220">
        <f>7876+7612+6513+6097</f>
        <v>28098.0</v>
      </c>
      <c r="AJ32" s="220">
        <f>6315+6957+2224+4850</f>
        <v>20346.0</v>
      </c>
      <c r="AK32" s="220"/>
      <c r="AL32" s="220"/>
      <c r="AM32" s="220"/>
      <c r="AN32" s="220"/>
      <c r="AO32" s="220"/>
      <c r="AP32" s="300"/>
      <c r="AQ32" s="300"/>
      <c r="AR32" s="300"/>
      <c r="AS32" s="184">
        <f>SUM(N32:AR32)</f>
        <v>392274.0</v>
      </c>
      <c r="AT32" s="190">
        <f>(AS32/(AS30-AS31))*100%</f>
        <v>0.9996075713251857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303"/>
      <c r="O33" s="303">
        <v>0.0</v>
      </c>
      <c r="P33" s="303">
        <v>0.0</v>
      </c>
      <c r="Q33" s="303">
        <v>0.0</v>
      </c>
      <c r="R33" s="303">
        <v>11.0</v>
      </c>
      <c r="S33" s="303">
        <v>0.0</v>
      </c>
      <c r="T33" s="303"/>
      <c r="U33" s="303"/>
      <c r="V33" s="303"/>
      <c r="W33" s="303"/>
      <c r="X33" s="303"/>
      <c r="Y33" s="303"/>
      <c r="Z33" s="303">
        <f>2+1+3+3</f>
        <v>9.0</v>
      </c>
      <c r="AA33" s="303">
        <f>5+2+2</f>
        <v>9.0</v>
      </c>
      <c r="AB33" s="303">
        <f>3+35+3+2</f>
        <v>43.0</v>
      </c>
      <c r="AC33" s="303">
        <f>9+4+4</f>
        <v>17.0</v>
      </c>
      <c r="AD33" s="303">
        <f>10</f>
        <v>10.0</v>
      </c>
      <c r="AE33" s="303"/>
      <c r="AF33" s="303">
        <f>4+7</f>
        <v>11.0</v>
      </c>
      <c r="AG33" s="303">
        <f>5</f>
        <v>5.0</v>
      </c>
      <c r="AH33" s="303">
        <f>4+8</f>
        <v>12.0</v>
      </c>
      <c r="AI33" s="303">
        <f>7+5+4</f>
        <v>16.0</v>
      </c>
      <c r="AJ33" s="303">
        <f>5+6</f>
        <v>11.0</v>
      </c>
      <c r="AK33" s="303"/>
      <c r="AL33" s="303"/>
      <c r="AM33" s="303"/>
      <c r="AN33" s="303"/>
      <c r="AO33" s="303"/>
      <c r="AP33" s="302"/>
      <c r="AQ33" s="302"/>
      <c r="AR33" s="302"/>
      <c r="AS33" s="215">
        <f>SUM(N33:AR33)</f>
        <v>154.0</v>
      </c>
      <c r="AT33" s="193">
        <f>(AS33/(AS30-AS31))*100%</f>
        <v>3.924286748142334E-4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354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2"/>
      <c r="AH34" s="282"/>
      <c r="AI34" s="282"/>
      <c r="AJ34" s="282"/>
      <c r="AK34" s="282"/>
      <c r="AL34" s="282"/>
      <c r="AM34" s="282"/>
      <c r="AN34" s="282"/>
      <c r="AO34" s="282"/>
      <c r="AP34" s="363"/>
      <c r="AQ34" s="363"/>
      <c r="AR34" s="364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154">
        <f>F35+AS38-AS42+AS43</f>
        <v>0.0</v>
      </c>
      <c r="E35" s="155"/>
      <c r="F35" s="156">
        <v>20804.0</v>
      </c>
      <c r="G35" s="218">
        <v>44197.0</v>
      </c>
      <c r="H35" s="158"/>
      <c r="I35" s="159"/>
      <c r="J35" s="160"/>
      <c r="K35" s="161"/>
      <c r="L35" s="162"/>
      <c r="M35" s="163" t="s">
        <v>130</v>
      </c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296"/>
      <c r="AQ35" s="296"/>
      <c r="AR35" s="361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220">
        <f>258-10</f>
        <v>248.0</v>
      </c>
      <c r="O36" s="220">
        <f>13693+17735</f>
        <v>31428.0</v>
      </c>
      <c r="P36" s="220">
        <v>30740.0</v>
      </c>
      <c r="Q36" s="183">
        <v>35491.0</v>
      </c>
      <c r="R36" s="183">
        <v>25092.0</v>
      </c>
      <c r="S36" s="220">
        <v>2414.0</v>
      </c>
      <c r="T36" s="220"/>
      <c r="U36" s="183"/>
      <c r="V36" s="183"/>
      <c r="W36" s="183"/>
      <c r="X36" s="183"/>
      <c r="Y36" s="183"/>
      <c r="Z36" s="183">
        <v>32406.0</v>
      </c>
      <c r="AA36" s="183">
        <v>23520.0</v>
      </c>
      <c r="AB36" s="183">
        <v>21124.0</v>
      </c>
      <c r="AC36" s="183">
        <v>19045.0</v>
      </c>
      <c r="AD36" s="183">
        <v>30366.0</v>
      </c>
      <c r="AE36" s="183"/>
      <c r="AF36" s="183">
        <v>32035.0</v>
      </c>
      <c r="AG36" s="183">
        <v>29072.0</v>
      </c>
      <c r="AH36" s="183">
        <v>30753.0</v>
      </c>
      <c r="AI36" s="183">
        <f>15488+12610</f>
        <v>28098.0</v>
      </c>
      <c r="AJ36" s="183">
        <f>13272+7074</f>
        <v>20346.0</v>
      </c>
      <c r="AK36" s="183"/>
      <c r="AL36" s="183"/>
      <c r="AM36" s="183"/>
      <c r="AN36" s="183"/>
      <c r="AO36" s="183"/>
      <c r="AP36" s="297"/>
      <c r="AQ36" s="297"/>
      <c r="AR36" s="297"/>
      <c r="AS36" s="212">
        <f>SUM(N36:AR36)</f>
        <v>392178.0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220">
        <f t="shared" si="10" ref="N37:AR37">N36-N38-N39</f>
        <v>0.0</v>
      </c>
      <c r="O37" s="183">
        <f t="shared" si="10"/>
        <v>-1.0</v>
      </c>
      <c r="P37" s="183">
        <f t="shared" si="10"/>
        <v>0.0</v>
      </c>
      <c r="Q37" s="220">
        <f t="shared" si="10"/>
        <v>0.0</v>
      </c>
      <c r="R37" s="220">
        <f t="shared" si="10"/>
        <v>0.0</v>
      </c>
      <c r="S37" s="220">
        <f t="shared" si="10"/>
        <v>0.0</v>
      </c>
      <c r="T37" s="220">
        <f t="shared" si="10"/>
        <v>0.0</v>
      </c>
      <c r="U37" s="220">
        <f t="shared" si="10"/>
        <v>0.0</v>
      </c>
      <c r="V37" s="220">
        <f t="shared" si="10"/>
        <v>0.0</v>
      </c>
      <c r="W37" s="220">
        <f t="shared" si="10"/>
        <v>0.0</v>
      </c>
      <c r="X37" s="220">
        <f t="shared" si="10"/>
        <v>0.0</v>
      </c>
      <c r="Y37" s="220">
        <f t="shared" si="10"/>
        <v>0.0</v>
      </c>
      <c r="Z37" s="220">
        <f t="shared" si="10"/>
        <v>0.0</v>
      </c>
      <c r="AA37" s="220">
        <f t="shared" si="10"/>
        <v>0.0</v>
      </c>
      <c r="AB37" s="220">
        <f t="shared" si="10"/>
        <v>-95.0</v>
      </c>
      <c r="AC37" s="220">
        <f t="shared" si="10"/>
        <v>0.0</v>
      </c>
      <c r="AD37" s="220">
        <f t="shared" si="10"/>
        <v>0.0</v>
      </c>
      <c r="AE37" s="220">
        <f t="shared" si="10"/>
        <v>0.0</v>
      </c>
      <c r="AF37" s="220">
        <f t="shared" si="10"/>
        <v>0.0</v>
      </c>
      <c r="AG37" s="220">
        <f t="shared" si="10"/>
        <v>0.0</v>
      </c>
      <c r="AH37" s="220">
        <f t="shared" si="10"/>
        <v>0.0</v>
      </c>
      <c r="AI37" s="220">
        <f t="shared" si="10"/>
        <v>0.0</v>
      </c>
      <c r="AJ37" s="220">
        <f t="shared" si="10"/>
        <v>0.0</v>
      </c>
      <c r="AK37" s="220">
        <f t="shared" si="10"/>
        <v>0.0</v>
      </c>
      <c r="AL37" s="220"/>
      <c r="AM37" s="220">
        <f t="shared" si="10"/>
        <v>0.0</v>
      </c>
      <c r="AN37" s="220">
        <f t="shared" si="10"/>
        <v>0.0</v>
      </c>
      <c r="AO37" s="220">
        <f t="shared" si="10"/>
        <v>0.0</v>
      </c>
      <c r="AP37" s="300">
        <f t="shared" si="10"/>
        <v>0.0</v>
      </c>
      <c r="AQ37" s="300">
        <f t="shared" si="10"/>
        <v>0.0</v>
      </c>
      <c r="AR37" s="300">
        <f t="shared" si="10"/>
        <v>0.0</v>
      </c>
      <c r="AS37" s="214">
        <f>SUM(N37:AR37)</f>
        <v>-96.0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20">
        <f>258-10</f>
        <v>248.0</v>
      </c>
      <c r="O38" s="220">
        <f>13675+17727</f>
        <v>31402.0</v>
      </c>
      <c r="P38" s="220">
        <v>30740.0</v>
      </c>
      <c r="Q38" s="220">
        <v>35491.0</v>
      </c>
      <c r="R38" s="220">
        <v>25009.0</v>
      </c>
      <c r="S38" s="220">
        <v>2350.0</v>
      </c>
      <c r="T38" s="220"/>
      <c r="U38" s="220"/>
      <c r="V38" s="220"/>
      <c r="W38" s="220"/>
      <c r="X38" s="220"/>
      <c r="Y38" s="220"/>
      <c r="Z38" s="220">
        <v>31955.0</v>
      </c>
      <c r="AA38" s="220">
        <v>23520.0</v>
      </c>
      <c r="AB38" s="183">
        <v>21124.0</v>
      </c>
      <c r="AC38" s="220">
        <v>19045.0</v>
      </c>
      <c r="AD38" s="220">
        <v>30366.0</v>
      </c>
      <c r="AE38" s="183"/>
      <c r="AF38" s="183">
        <v>32035.0</v>
      </c>
      <c r="AG38" s="183">
        <v>29072.0</v>
      </c>
      <c r="AH38" s="183">
        <v>30753.0</v>
      </c>
      <c r="AI38" s="183">
        <v>27908.0</v>
      </c>
      <c r="AJ38" s="183">
        <v>20081.0</v>
      </c>
      <c r="AK38" s="220"/>
      <c r="AL38" s="220"/>
      <c r="AM38" s="220"/>
      <c r="AN38" s="220"/>
      <c r="AO38" s="220"/>
      <c r="AP38" s="300"/>
      <c r="AQ38" s="300"/>
      <c r="AR38" s="300"/>
      <c r="AS38" s="184">
        <f>SUM(N38:AR38)</f>
        <v>391099.0</v>
      </c>
      <c r="AT38" s="190">
        <f>(AS38/(AS36-AS37))*100%</f>
        <v>0.9970046447126243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303"/>
      <c r="O39" s="303">
        <v>27.0</v>
      </c>
      <c r="P39" s="303">
        <v>0.0</v>
      </c>
      <c r="Q39" s="303">
        <v>0.0</v>
      </c>
      <c r="R39" s="303">
        <v>83.0</v>
      </c>
      <c r="S39" s="303">
        <v>64.0</v>
      </c>
      <c r="T39" s="303"/>
      <c r="U39" s="303"/>
      <c r="V39" s="303"/>
      <c r="W39" s="303"/>
      <c r="X39" s="303"/>
      <c r="Y39" s="303"/>
      <c r="Z39" s="303">
        <v>451.0</v>
      </c>
      <c r="AA39" s="303"/>
      <c r="AB39" s="303">
        <v>95.0</v>
      </c>
      <c r="AC39" s="303"/>
      <c r="AD39" s="303"/>
      <c r="AE39" s="303"/>
      <c r="AF39" s="303"/>
      <c r="AG39" s="303"/>
      <c r="AH39" s="303"/>
      <c r="AI39" s="303">
        <v>190.0</v>
      </c>
      <c r="AJ39" s="303">
        <v>265.0</v>
      </c>
      <c r="AK39" s="303"/>
      <c r="AL39" s="303"/>
      <c r="AM39" s="303"/>
      <c r="AN39" s="303"/>
      <c r="AO39" s="303"/>
      <c r="AP39" s="302"/>
      <c r="AQ39" s="302"/>
      <c r="AR39" s="302"/>
      <c r="AS39" s="215">
        <f>SUM(N39:AR39)</f>
        <v>1175.0</v>
      </c>
      <c r="AT39" s="193">
        <f>(AS39/(AS36-AS37))*100%</f>
        <v>0.002995355287375661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54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  <c r="AP40" s="363"/>
      <c r="AQ40" s="363"/>
      <c r="AR40" s="364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154">
        <f>F41+AS44-AS48+AS49</f>
        <v>265849.0</v>
      </c>
      <c r="E41" s="155"/>
      <c r="F41" s="156">
        <v>100236.0</v>
      </c>
      <c r="G41" s="218">
        <v>44197.0</v>
      </c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5"/>
      <c r="AL41" s="164"/>
      <c r="AM41" s="164"/>
      <c r="AN41" s="164"/>
      <c r="AO41" s="164"/>
      <c r="AP41" s="296"/>
      <c r="AQ41" s="296"/>
      <c r="AR41" s="361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/>
      <c r="O42" s="183"/>
      <c r="P42" s="183">
        <v>82946.0</v>
      </c>
      <c r="Q42" s="183"/>
      <c r="R42" s="183"/>
      <c r="S42" s="183"/>
      <c r="T42" s="183">
        <v>63108.0</v>
      </c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217860.0</v>
      </c>
      <c r="AK42" s="183"/>
      <c r="AL42" s="183">
        <v>47989.0</v>
      </c>
      <c r="AM42" s="183"/>
      <c r="AN42" s="183"/>
      <c r="AO42" s="183"/>
      <c r="AP42" s="297"/>
      <c r="AQ42" s="297"/>
      <c r="AR42" s="297"/>
      <c r="AS42" s="212">
        <f>SUM(N42:AR42)</f>
        <v>411903.0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20">
        <f t="shared" si="11" ref="N43:AR43">N42-N44-N45</f>
        <v>0.0</v>
      </c>
      <c r="O43" s="183">
        <f t="shared" si="11"/>
        <v>0.0</v>
      </c>
      <c r="P43" s="183">
        <f t="shared" si="11"/>
        <v>0.0</v>
      </c>
      <c r="Q43" s="220">
        <f t="shared" si="11"/>
        <v>0.0</v>
      </c>
      <c r="R43" s="220">
        <f t="shared" si="11"/>
        <v>0.0</v>
      </c>
      <c r="S43" s="220">
        <f t="shared" si="11"/>
        <v>0.0</v>
      </c>
      <c r="T43" s="220">
        <f t="shared" si="11"/>
        <v>0.0</v>
      </c>
      <c r="U43" s="220">
        <f t="shared" si="11"/>
        <v>0.0</v>
      </c>
      <c r="V43" s="220">
        <f t="shared" si="11"/>
        <v>0.0</v>
      </c>
      <c r="W43" s="220">
        <f t="shared" si="11"/>
        <v>0.0</v>
      </c>
      <c r="X43" s="220">
        <f t="shared" si="11"/>
        <v>0.0</v>
      </c>
      <c r="Y43" s="220">
        <f t="shared" si="11"/>
        <v>0.0</v>
      </c>
      <c r="Z43" s="220">
        <f t="shared" si="11"/>
        <v>0.0</v>
      </c>
      <c r="AA43" s="220">
        <f t="shared" si="11"/>
        <v>0.0</v>
      </c>
      <c r="AB43" s="220">
        <f t="shared" si="11"/>
        <v>0.0</v>
      </c>
      <c r="AC43" s="220">
        <f t="shared" si="11"/>
        <v>0.0</v>
      </c>
      <c r="AD43" s="220">
        <f t="shared" si="11"/>
        <v>0.0</v>
      </c>
      <c r="AE43" s="220">
        <f t="shared" si="11"/>
        <v>0.0</v>
      </c>
      <c r="AF43" s="220">
        <f t="shared" si="11"/>
        <v>0.0</v>
      </c>
      <c r="AG43" s="220">
        <f t="shared" si="11"/>
        <v>0.0</v>
      </c>
      <c r="AH43" s="220">
        <f t="shared" si="11"/>
        <v>0.0</v>
      </c>
      <c r="AI43" s="220">
        <f t="shared" si="11"/>
        <v>0.0</v>
      </c>
      <c r="AJ43" s="220">
        <f t="shared" si="11"/>
        <v>0.0</v>
      </c>
      <c r="AK43" s="220">
        <f t="shared" si="11"/>
        <v>0.0</v>
      </c>
      <c r="AL43" s="220">
        <f t="shared" si="11"/>
        <v>0.0</v>
      </c>
      <c r="AM43" s="220">
        <f t="shared" si="11"/>
        <v>0.0</v>
      </c>
      <c r="AN43" s="220">
        <f t="shared" si="11"/>
        <v>0.0</v>
      </c>
      <c r="AO43" s="220">
        <f t="shared" si="11"/>
        <v>0.0</v>
      </c>
      <c r="AP43" s="300">
        <f t="shared" si="11"/>
        <v>0.0</v>
      </c>
      <c r="AQ43" s="300">
        <f t="shared" si="11"/>
        <v>0.0</v>
      </c>
      <c r="AR43" s="300">
        <f t="shared" si="11"/>
        <v>0.0</v>
      </c>
      <c r="AS43" s="214">
        <f>SUM(N43:AR43)</f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220"/>
      <c r="O44" s="220"/>
      <c r="P44" s="220">
        <v>82946.0</v>
      </c>
      <c r="Q44" s="220"/>
      <c r="R44" s="220"/>
      <c r="S44" s="220"/>
      <c r="T44" s="220">
        <v>63108.0</v>
      </c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>
        <v>217860.0</v>
      </c>
      <c r="AK44" s="220"/>
      <c r="AL44" s="220">
        <v>47989.0</v>
      </c>
      <c r="AM44" s="220"/>
      <c r="AN44" s="220"/>
      <c r="AO44" s="220"/>
      <c r="AP44" s="300"/>
      <c r="AQ44" s="300"/>
      <c r="AR44" s="300"/>
      <c r="AS44" s="184">
        <f>SUM(N44:AR44)</f>
        <v>411903.0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303"/>
      <c r="O45" s="303"/>
      <c r="P45" s="303"/>
      <c r="Q45" s="303"/>
      <c r="R45" s="303"/>
      <c r="S45" s="303"/>
      <c r="T45" s="303"/>
      <c r="U45" s="303"/>
      <c r="V45" s="303"/>
      <c r="W45" s="303"/>
      <c r="X45" s="303"/>
      <c r="Y45" s="303"/>
      <c r="Z45" s="303"/>
      <c r="AA45" s="303"/>
      <c r="AB45" s="303"/>
      <c r="AC45" s="303"/>
      <c r="AD45" s="303"/>
      <c r="AE45" s="303"/>
      <c r="AF45" s="303"/>
      <c r="AG45" s="303"/>
      <c r="AH45" s="303"/>
      <c r="AI45" s="303"/>
      <c r="AJ45" s="303"/>
      <c r="AK45" s="303"/>
      <c r="AL45" s="303"/>
      <c r="AM45" s="303"/>
      <c r="AN45" s="303"/>
      <c r="AO45" s="303"/>
      <c r="AP45" s="302"/>
      <c r="AQ45" s="302"/>
      <c r="AR45" s="302"/>
      <c r="AS45" s="215">
        <f>SUM(N45:AR45)</f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54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282"/>
      <c r="AG46" s="282"/>
      <c r="AH46" s="282"/>
      <c r="AI46" s="282"/>
      <c r="AJ46" s="282"/>
      <c r="AK46" s="282"/>
      <c r="AL46" s="282"/>
      <c r="AM46" s="282"/>
      <c r="AN46" s="282"/>
      <c r="AO46" s="282"/>
      <c r="AP46" s="363"/>
      <c r="AQ46" s="363"/>
      <c r="AR46" s="364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  <c r="AH47" s="296"/>
      <c r="AI47" s="296"/>
      <c r="AJ47" s="296"/>
      <c r="AK47" s="296"/>
      <c r="AL47" s="296"/>
      <c r="AM47" s="296"/>
      <c r="AN47" s="296"/>
      <c r="AO47" s="296"/>
      <c r="AP47" s="296"/>
      <c r="AQ47" s="296"/>
      <c r="AR47" s="361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297">
        <v>100236.0</v>
      </c>
      <c r="O48" s="297"/>
      <c r="P48" s="297"/>
      <c r="Q48" s="297"/>
      <c r="R48" s="297">
        <v>82946.0</v>
      </c>
      <c r="S48" s="297"/>
      <c r="T48" s="297"/>
      <c r="U48" s="297"/>
      <c r="V48" s="297"/>
      <c r="W48" s="297"/>
      <c r="X48" s="297"/>
      <c r="Y48" s="297"/>
      <c r="Z48" s="297">
        <v>63108.0</v>
      </c>
      <c r="AA48" s="297"/>
      <c r="AB48" s="297"/>
      <c r="AC48" s="297"/>
      <c r="AD48" s="297"/>
      <c r="AE48" s="297"/>
      <c r="AF48" s="297"/>
      <c r="AG48" s="297"/>
      <c r="AH48" s="297"/>
      <c r="AI48" s="297"/>
      <c r="AJ48" s="297"/>
      <c r="AK48" s="297"/>
      <c r="AL48" s="297"/>
      <c r="AM48" s="297"/>
      <c r="AN48" s="297"/>
      <c r="AO48" s="297"/>
      <c r="AP48" s="297"/>
      <c r="AQ48" s="297"/>
      <c r="AR48" s="297"/>
      <c r="AS48" s="212">
        <f>SUM(N48:AR48)</f>
        <v>246290.0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300">
        <f t="shared" si="12" ref="N49:AR49">N48-N50-N51</f>
        <v>0.0</v>
      </c>
      <c r="O49" s="297">
        <f t="shared" si="12"/>
        <v>0.0</v>
      </c>
      <c r="P49" s="297">
        <f t="shared" si="12"/>
        <v>0.0</v>
      </c>
      <c r="Q49" s="300">
        <f t="shared" si="12"/>
        <v>0.0</v>
      </c>
      <c r="R49" s="300">
        <f t="shared" si="12"/>
        <v>0.0</v>
      </c>
      <c r="S49" s="300">
        <f t="shared" si="12"/>
        <v>0.0</v>
      </c>
      <c r="T49" s="300">
        <f t="shared" si="12"/>
        <v>0.0</v>
      </c>
      <c r="U49" s="300">
        <f t="shared" si="12"/>
        <v>0.0</v>
      </c>
      <c r="V49" s="300">
        <f t="shared" si="12"/>
        <v>0.0</v>
      </c>
      <c r="W49" s="300">
        <f t="shared" si="12"/>
        <v>0.0</v>
      </c>
      <c r="X49" s="300">
        <f t="shared" si="12"/>
        <v>0.0</v>
      </c>
      <c r="Y49" s="300">
        <f t="shared" si="12"/>
        <v>0.0</v>
      </c>
      <c r="Z49" s="300">
        <f t="shared" si="12"/>
        <v>0.0</v>
      </c>
      <c r="AA49" s="300">
        <f t="shared" si="12"/>
        <v>0.0</v>
      </c>
      <c r="AB49" s="300">
        <f t="shared" si="12"/>
        <v>0.0</v>
      </c>
      <c r="AC49" s="300">
        <f t="shared" si="12"/>
        <v>0.0</v>
      </c>
      <c r="AD49" s="300">
        <f t="shared" si="12"/>
        <v>0.0</v>
      </c>
      <c r="AE49" s="300">
        <f t="shared" si="12"/>
        <v>0.0</v>
      </c>
      <c r="AF49" s="300">
        <f t="shared" si="12"/>
        <v>0.0</v>
      </c>
      <c r="AG49" s="300">
        <f t="shared" si="12"/>
        <v>0.0</v>
      </c>
      <c r="AH49" s="300">
        <f t="shared" si="12"/>
        <v>0.0</v>
      </c>
      <c r="AI49" s="300">
        <f t="shared" si="12"/>
        <v>0.0</v>
      </c>
      <c r="AJ49" s="300">
        <f t="shared" si="12"/>
        <v>0.0</v>
      </c>
      <c r="AK49" s="300">
        <f t="shared" si="12"/>
        <v>0.0</v>
      </c>
      <c r="AL49" s="300">
        <f t="shared" si="12"/>
        <v>0.0</v>
      </c>
      <c r="AM49" s="300">
        <f t="shared" si="12"/>
        <v>0.0</v>
      </c>
      <c r="AN49" s="300">
        <f t="shared" si="12"/>
        <v>0.0</v>
      </c>
      <c r="AO49" s="300">
        <f t="shared" si="12"/>
        <v>0.0</v>
      </c>
      <c r="AP49" s="300">
        <f t="shared" si="12"/>
        <v>0.0</v>
      </c>
      <c r="AQ49" s="300">
        <f t="shared" si="12"/>
        <v>0.0</v>
      </c>
      <c r="AR49" s="300">
        <f t="shared" si="12"/>
        <v>0.0</v>
      </c>
      <c r="AS49" s="214">
        <f>SUM(N49:AR49)</f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300">
        <v>100236.0</v>
      </c>
      <c r="O50" s="300"/>
      <c r="P50" s="300"/>
      <c r="Q50" s="300"/>
      <c r="R50" s="300">
        <v>82946.0</v>
      </c>
      <c r="S50" s="300"/>
      <c r="T50" s="300"/>
      <c r="U50" s="300"/>
      <c r="V50" s="300"/>
      <c r="W50" s="300"/>
      <c r="X50" s="300"/>
      <c r="Y50" s="300"/>
      <c r="Z50" s="300">
        <v>63108.0</v>
      </c>
      <c r="AA50" s="300"/>
      <c r="AB50" s="300"/>
      <c r="AC50" s="300"/>
      <c r="AD50" s="300"/>
      <c r="AE50" s="300"/>
      <c r="AF50" s="300"/>
      <c r="AG50" s="300"/>
      <c r="AH50" s="300"/>
      <c r="AI50" s="300"/>
      <c r="AJ50" s="300"/>
      <c r="AK50" s="300"/>
      <c r="AL50" s="300"/>
      <c r="AM50" s="300"/>
      <c r="AN50" s="300"/>
      <c r="AO50" s="300"/>
      <c r="AP50" s="300"/>
      <c r="AQ50" s="300"/>
      <c r="AR50" s="300"/>
      <c r="AS50" s="184">
        <f>SUM(N50:AR50)</f>
        <v>246290.0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302">
        <v>0.0</v>
      </c>
      <c r="O51" s="302"/>
      <c r="P51" s="302"/>
      <c r="Q51" s="302"/>
      <c r="R51" s="302">
        <v>0.0</v>
      </c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215">
        <f>SUM(N51:AR51)</f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62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63"/>
      <c r="AB52" s="363"/>
      <c r="AC52" s="363"/>
      <c r="AD52" s="363"/>
      <c r="AE52" s="363"/>
      <c r="AF52" s="363"/>
      <c r="AG52" s="363"/>
      <c r="AH52" s="363"/>
      <c r="AI52" s="363"/>
      <c r="AJ52" s="363"/>
      <c r="AK52" s="363"/>
      <c r="AL52" s="363"/>
      <c r="AM52" s="363"/>
      <c r="AN52" s="363"/>
      <c r="AO52" s="363"/>
      <c r="AP52" s="363"/>
      <c r="AQ52" s="363"/>
      <c r="AR52" s="364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 t="s">
        <v>254</v>
      </c>
      <c r="H53" s="233"/>
      <c r="I53" s="234"/>
      <c r="J53" s="234"/>
      <c r="K53" s="160"/>
      <c r="L53" s="162"/>
      <c r="M53" s="163" t="s">
        <v>130</v>
      </c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  <c r="AH53" s="296"/>
      <c r="AI53" s="296"/>
      <c r="AJ53" s="296"/>
      <c r="AK53" s="296"/>
      <c r="AL53" s="296"/>
      <c r="AM53" s="296"/>
      <c r="AN53" s="296"/>
      <c r="AO53" s="296"/>
      <c r="AP53" s="296"/>
      <c r="AQ53" s="296"/>
      <c r="AR53" s="361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297"/>
      <c r="O54" s="297"/>
      <c r="P54" s="297"/>
      <c r="Q54" s="297"/>
      <c r="R54" s="297"/>
      <c r="S54" s="297"/>
      <c r="T54" s="297">
        <v>49000.0</v>
      </c>
      <c r="U54" s="297">
        <v>115468.0</v>
      </c>
      <c r="V54" s="297">
        <v>18410.0</v>
      </c>
      <c r="W54" s="297"/>
      <c r="X54" s="297"/>
      <c r="Y54" s="297"/>
      <c r="Z54" s="297"/>
      <c r="AA54" s="297">
        <v>63035.0</v>
      </c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7"/>
      <c r="AO54" s="297"/>
      <c r="AP54" s="297"/>
      <c r="AQ54" s="297"/>
      <c r="AR54" s="297"/>
      <c r="AS54" s="212">
        <f>SUM(N54:AR54)</f>
        <v>245913.0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300">
        <f t="shared" si="13" ref="N55:AR55">N54-N56-N57</f>
        <v>0.0</v>
      </c>
      <c r="O55" s="297">
        <f t="shared" si="13"/>
        <v>0.0</v>
      </c>
      <c r="P55" s="297">
        <f t="shared" si="13"/>
        <v>0.0</v>
      </c>
      <c r="Q55" s="300">
        <f t="shared" si="13"/>
        <v>0.0</v>
      </c>
      <c r="R55" s="300">
        <f t="shared" si="13"/>
        <v>0.0</v>
      </c>
      <c r="S55" s="300">
        <f t="shared" si="13"/>
        <v>0.0</v>
      </c>
      <c r="T55" s="300">
        <f t="shared" si="13"/>
        <v>0.0</v>
      </c>
      <c r="U55" s="300">
        <f t="shared" si="13"/>
        <v>0.0</v>
      </c>
      <c r="V55" s="300">
        <f t="shared" si="13"/>
        <v>-304.0</v>
      </c>
      <c r="W55" s="300">
        <f t="shared" si="13"/>
        <v>0.0</v>
      </c>
      <c r="X55" s="300">
        <f t="shared" si="13"/>
        <v>0.0</v>
      </c>
      <c r="Y55" s="300">
        <f t="shared" si="13"/>
        <v>0.0</v>
      </c>
      <c r="Z55" s="300">
        <f t="shared" si="13"/>
        <v>0.0</v>
      </c>
      <c r="AA55" s="300">
        <f t="shared" si="13"/>
        <v>-73.0</v>
      </c>
      <c r="AB55" s="300">
        <f t="shared" si="13"/>
        <v>0.0</v>
      </c>
      <c r="AC55" s="300">
        <f t="shared" si="13"/>
        <v>0.0</v>
      </c>
      <c r="AD55" s="300">
        <f t="shared" si="13"/>
        <v>0.0</v>
      </c>
      <c r="AE55" s="300">
        <f t="shared" si="13"/>
        <v>0.0</v>
      </c>
      <c r="AF55" s="300">
        <f t="shared" si="13"/>
        <v>0.0</v>
      </c>
      <c r="AG55" s="300">
        <f t="shared" si="13"/>
        <v>0.0</v>
      </c>
      <c r="AH55" s="300">
        <f t="shared" si="13"/>
        <v>0.0</v>
      </c>
      <c r="AI55" s="300">
        <f t="shared" si="13"/>
        <v>0.0</v>
      </c>
      <c r="AJ55" s="300">
        <f t="shared" si="13"/>
        <v>0.0</v>
      </c>
      <c r="AK55" s="300">
        <f t="shared" si="13"/>
        <v>0.0</v>
      </c>
      <c r="AL55" s="300">
        <f t="shared" si="13"/>
        <v>0.0</v>
      </c>
      <c r="AM55" s="300">
        <f t="shared" si="13"/>
        <v>0.0</v>
      </c>
      <c r="AN55" s="300">
        <f t="shared" si="13"/>
        <v>0.0</v>
      </c>
      <c r="AO55" s="300">
        <f t="shared" si="13"/>
        <v>0.0</v>
      </c>
      <c r="AP55" s="300">
        <f t="shared" si="13"/>
        <v>0.0</v>
      </c>
      <c r="AQ55" s="300">
        <f t="shared" si="13"/>
        <v>0.0</v>
      </c>
      <c r="AR55" s="300">
        <f t="shared" si="13"/>
        <v>0.0</v>
      </c>
      <c r="AS55" s="214">
        <f>SUM(N55:AR55)</f>
        <v>-377.0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300"/>
      <c r="O56" s="300"/>
      <c r="P56" s="300"/>
      <c r="Q56" s="300"/>
      <c r="R56" s="300"/>
      <c r="S56" s="300"/>
      <c r="T56" s="300">
        <v>49000.0</v>
      </c>
      <c r="U56" s="300">
        <v>115468.0</v>
      </c>
      <c r="V56" s="300">
        <v>18410.0</v>
      </c>
      <c r="W56" s="300"/>
      <c r="X56" s="300"/>
      <c r="Y56" s="300"/>
      <c r="Z56" s="300"/>
      <c r="AA56" s="300">
        <v>63035.0</v>
      </c>
      <c r="AB56" s="300"/>
      <c r="AC56" s="300"/>
      <c r="AD56" s="300"/>
      <c r="AE56" s="300"/>
      <c r="AF56" s="300"/>
      <c r="AG56" s="300"/>
      <c r="AH56" s="300"/>
      <c r="AI56" s="300"/>
      <c r="AJ56" s="300"/>
      <c r="AK56" s="300"/>
      <c r="AL56" s="300"/>
      <c r="AM56" s="300"/>
      <c r="AN56" s="300"/>
      <c r="AO56" s="300"/>
      <c r="AP56" s="300"/>
      <c r="AQ56" s="300"/>
      <c r="AR56" s="300"/>
      <c r="AS56" s="184">
        <f>SUM(N56:AR56)</f>
        <v>245913.0</v>
      </c>
      <c r="AT56" s="190">
        <f>(AS56/(AS54-AS55))*100%</f>
        <v>0.9984692841771895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302"/>
      <c r="O57" s="302"/>
      <c r="P57" s="302"/>
      <c r="Q57" s="302"/>
      <c r="R57" s="302"/>
      <c r="S57" s="302"/>
      <c r="T57" s="302">
        <v>0.0</v>
      </c>
      <c r="U57" s="302">
        <v>0.0</v>
      </c>
      <c r="V57" s="302">
        <v>304.0</v>
      </c>
      <c r="W57" s="302"/>
      <c r="X57" s="302"/>
      <c r="Y57" s="302"/>
      <c r="Z57" s="302"/>
      <c r="AA57" s="302">
        <v>73.0</v>
      </c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215">
        <f>SUM(N57:AR57)</f>
        <v>377.0</v>
      </c>
      <c r="AT57" s="193">
        <f>(AS57/(AS54-AS55))*100%</f>
        <v>0.0015307158228105079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-57210.0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309"/>
      <c r="O58" s="309"/>
      <c r="P58" s="309"/>
      <c r="Q58" s="309"/>
      <c r="R58" s="309"/>
      <c r="S58" s="309"/>
      <c r="T58" s="309"/>
      <c r="U58" s="309"/>
      <c r="V58" s="309" t="s">
        <v>229</v>
      </c>
      <c r="W58" s="309"/>
      <c r="X58" s="309"/>
      <c r="Y58" s="309"/>
      <c r="Z58" s="309"/>
      <c r="AA58" s="309"/>
      <c r="AB58" s="309" t="s">
        <v>177</v>
      </c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  <c r="AN58" s="309"/>
      <c r="AO58" s="309"/>
      <c r="AP58" s="309"/>
      <c r="AQ58" s="309"/>
      <c r="AR58" s="366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367"/>
      <c r="O59" s="367"/>
      <c r="P59" s="367"/>
      <c r="Q59" s="367"/>
      <c r="R59" s="367"/>
      <c r="S59" s="367"/>
      <c r="T59" s="367"/>
      <c r="U59" s="367"/>
      <c r="V59" s="367">
        <v>182878.0</v>
      </c>
      <c r="W59" s="367"/>
      <c r="X59" s="367"/>
      <c r="Y59" s="367"/>
      <c r="Z59" s="367"/>
      <c r="AA59" s="367"/>
      <c r="AB59" s="367">
        <v>63035.0</v>
      </c>
      <c r="AC59" s="367"/>
      <c r="AD59" s="367"/>
      <c r="AE59" s="367"/>
      <c r="AF59" s="367"/>
      <c r="AG59" s="367"/>
      <c r="AH59" s="367"/>
      <c r="AI59" s="367"/>
      <c r="AJ59" s="367"/>
      <c r="AK59" s="367"/>
      <c r="AL59" s="367"/>
      <c r="AM59" s="367"/>
      <c r="AN59" s="367"/>
      <c r="AO59" s="367"/>
      <c r="AP59" s="367"/>
      <c r="AQ59" s="367"/>
      <c r="AR59" s="368"/>
      <c r="AS59" s="263">
        <f>SUM(N59:AR59)</f>
        <v>245913.0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9" state="frozen" activePane="bottomRight"/>
      <selection pane="bottomRight" activeCell="N24" sqref="N24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5703125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515656-07-12 
SUP11C, SQ3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306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218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220">
        <f t="shared" si="0" ref="N7:AR7">N6-N8-N9</f>
        <v>0.0</v>
      </c>
      <c r="O7" s="183">
        <f t="shared" si="0"/>
        <v>0.0</v>
      </c>
      <c r="P7" s="183">
        <f t="shared" si="0"/>
        <v>0.0</v>
      </c>
      <c r="Q7" s="220">
        <f t="shared" si="0"/>
        <v>0.0</v>
      </c>
      <c r="R7" s="220">
        <f t="shared" si="0"/>
        <v>0.0</v>
      </c>
      <c r="S7" s="220">
        <f t="shared" si="0"/>
        <v>0.0</v>
      </c>
      <c r="T7" s="220">
        <f t="shared" si="0"/>
        <v>0.0</v>
      </c>
      <c r="U7" s="220">
        <f t="shared" si="0"/>
        <v>0.0</v>
      </c>
      <c r="V7" s="220">
        <f t="shared" si="0"/>
        <v>0.0</v>
      </c>
      <c r="W7" s="220">
        <f t="shared" si="0"/>
        <v>0.0</v>
      </c>
      <c r="X7" s="220">
        <f t="shared" si="0"/>
        <v>0.0</v>
      </c>
      <c r="Y7" s="220">
        <f t="shared" si="0"/>
        <v>0.0</v>
      </c>
      <c r="Z7" s="220">
        <f t="shared" si="0"/>
        <v>0.0</v>
      </c>
      <c r="AA7" s="220">
        <f t="shared" si="0"/>
        <v>0.0</v>
      </c>
      <c r="AB7" s="220">
        <f t="shared" si="0"/>
        <v>0.0</v>
      </c>
      <c r="AC7" s="220">
        <f t="shared" si="0"/>
        <v>0.0</v>
      </c>
      <c r="AD7" s="220">
        <f t="shared" si="0"/>
        <v>0.0</v>
      </c>
      <c r="AE7" s="220">
        <f t="shared" si="0"/>
        <v>0.0</v>
      </c>
      <c r="AF7" s="220">
        <f t="shared" si="0"/>
        <v>0.0</v>
      </c>
      <c r="AG7" s="220">
        <f t="shared" si="0"/>
        <v>0.0</v>
      </c>
      <c r="AH7" s="220">
        <f t="shared" si="0"/>
        <v>0.0</v>
      </c>
      <c r="AI7" s="220">
        <f t="shared" si="0"/>
        <v>0.0</v>
      </c>
      <c r="AJ7" s="220">
        <f t="shared" si="0"/>
        <v>0.0</v>
      </c>
      <c r="AK7" s="220">
        <f t="shared" si="0"/>
        <v>0.0</v>
      </c>
      <c r="AL7" s="220">
        <f t="shared" si="0"/>
        <v>0.0</v>
      </c>
      <c r="AM7" s="220">
        <f t="shared" si="0"/>
        <v>0.0</v>
      </c>
      <c r="AN7" s="220">
        <f t="shared" si="0"/>
        <v>0.0</v>
      </c>
      <c r="AO7" s="220">
        <f t="shared" si="0"/>
        <v>0.0</v>
      </c>
      <c r="AP7" s="220">
        <f t="shared" si="0"/>
        <v>0.0</v>
      </c>
      <c r="AQ7" s="220">
        <f t="shared" si="0"/>
        <v>0.0</v>
      </c>
      <c r="AR7" s="220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189">
        <f t="shared" si="1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3"/>
      <c r="AR9" s="303"/>
      <c r="AS9" s="184">
        <f t="shared" si="1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54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2"/>
      <c r="AR10" s="355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-131545.0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6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212">
        <f t="shared" si="1"/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220">
        <f t="shared" si="2" ref="N13:AR13">N12-N14-N15</f>
        <v>0.0</v>
      </c>
      <c r="O13" s="183">
        <f t="shared" si="2"/>
        <v>0.0</v>
      </c>
      <c r="P13" s="183">
        <f t="shared" si="2"/>
        <v>0.0</v>
      </c>
      <c r="Q13" s="183">
        <f t="shared" si="2"/>
        <v>0.0</v>
      </c>
      <c r="R13" s="220">
        <f t="shared" si="2"/>
        <v>0.0</v>
      </c>
      <c r="S13" s="220">
        <f t="shared" si="2"/>
        <v>0.0</v>
      </c>
      <c r="T13" s="220">
        <f t="shared" si="2"/>
        <v>0.0</v>
      </c>
      <c r="U13" s="220">
        <f t="shared" si="2"/>
        <v>0.0</v>
      </c>
      <c r="V13" s="220">
        <f t="shared" si="2"/>
        <v>0.0</v>
      </c>
      <c r="W13" s="220">
        <f t="shared" si="2"/>
        <v>0.0</v>
      </c>
      <c r="X13" s="220">
        <f t="shared" si="2"/>
        <v>0.0</v>
      </c>
      <c r="Y13" s="220">
        <f t="shared" si="2"/>
        <v>0.0</v>
      </c>
      <c r="Z13" s="220">
        <f t="shared" si="2"/>
        <v>0.0</v>
      </c>
      <c r="AA13" s="220">
        <f t="shared" si="2"/>
        <v>0.0</v>
      </c>
      <c r="AB13" s="220">
        <f t="shared" si="2"/>
        <v>0.0</v>
      </c>
      <c r="AC13" s="220">
        <f t="shared" si="2"/>
        <v>0.0</v>
      </c>
      <c r="AD13" s="220">
        <f t="shared" si="2"/>
        <v>0.0</v>
      </c>
      <c r="AE13" s="220">
        <f t="shared" si="2"/>
        <v>0.0</v>
      </c>
      <c r="AF13" s="220">
        <f t="shared" si="2"/>
        <v>0.0</v>
      </c>
      <c r="AG13" s="220">
        <f t="shared" si="2"/>
        <v>0.0</v>
      </c>
      <c r="AH13" s="220">
        <f t="shared" si="2"/>
        <v>0.0</v>
      </c>
      <c r="AI13" s="220">
        <f t="shared" si="2"/>
        <v>0.0</v>
      </c>
      <c r="AJ13" s="220">
        <f t="shared" si="2"/>
        <v>0.0</v>
      </c>
      <c r="AK13" s="220">
        <f t="shared" si="2"/>
        <v>0.0</v>
      </c>
      <c r="AL13" s="220">
        <f t="shared" si="2"/>
        <v>0.0</v>
      </c>
      <c r="AM13" s="220">
        <f t="shared" si="2"/>
        <v>0.0</v>
      </c>
      <c r="AN13" s="220">
        <f t="shared" si="2"/>
        <v>0.0</v>
      </c>
      <c r="AO13" s="220">
        <f t="shared" si="2"/>
        <v>0.0</v>
      </c>
      <c r="AP13" s="220">
        <f t="shared" si="2"/>
        <v>0.0</v>
      </c>
      <c r="AQ13" s="220">
        <f t="shared" si="2"/>
        <v>0.0</v>
      </c>
      <c r="AR13" s="220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220"/>
      <c r="O14" s="220"/>
      <c r="P14" s="220"/>
      <c r="Q14" s="183"/>
      <c r="R14" s="222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184">
        <f t="shared" si="1"/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/>
      <c r="AH15" s="303"/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215">
        <f t="shared" si="1"/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54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  <c r="AQ16" s="282"/>
      <c r="AR16" s="355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28773.0</v>
      </c>
      <c r="E17" s="155"/>
      <c r="F17" s="156">
        <v>40894.0</v>
      </c>
      <c r="G17" s="157">
        <v>44197.0</v>
      </c>
      <c r="H17" s="158"/>
      <c r="I17" s="159"/>
      <c r="J17" s="160"/>
      <c r="K17" s="161"/>
      <c r="L17" s="162"/>
      <c r="M17" s="163" t="s">
        <v>130</v>
      </c>
      <c r="N17" s="165"/>
      <c r="O17" s="165"/>
      <c r="P17" s="165"/>
      <c r="Q17" s="164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311" t="s">
        <v>307</v>
      </c>
      <c r="AC17" s="164" t="s">
        <v>308</v>
      </c>
      <c r="AD17" s="311"/>
      <c r="AE17" s="164" t="s">
        <v>309</v>
      </c>
      <c r="AF17" s="164" t="s">
        <v>301</v>
      </c>
      <c r="AG17" s="165" t="s">
        <v>310</v>
      </c>
      <c r="AH17" s="165" t="s">
        <v>311</v>
      </c>
      <c r="AI17" s="165" t="s">
        <v>215</v>
      </c>
      <c r="AJ17" s="165" t="s">
        <v>237</v>
      </c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>
        <f>8000*2</f>
        <v>16000.0</v>
      </c>
      <c r="AC18" s="183">
        <f>8000*2</f>
        <v>16000.0</v>
      </c>
      <c r="AD18" s="183"/>
      <c r="AE18" s="183">
        <f t="shared" si="3" ref="AE18:AJ18">8500*2</f>
        <v>17000.0</v>
      </c>
      <c r="AF18" s="183">
        <f t="shared" si="3"/>
        <v>17000.0</v>
      </c>
      <c r="AG18" s="183">
        <f t="shared" si="3"/>
        <v>17000.0</v>
      </c>
      <c r="AH18" s="183">
        <f t="shared" si="3"/>
        <v>17000.0</v>
      </c>
      <c r="AI18" s="183">
        <f t="shared" si="3"/>
        <v>17000.0</v>
      </c>
      <c r="AJ18" s="183">
        <f t="shared" si="3"/>
        <v>17000.0</v>
      </c>
      <c r="AK18" s="183"/>
      <c r="AL18" s="183"/>
      <c r="AM18" s="183"/>
      <c r="AN18" s="183"/>
      <c r="AO18" s="183"/>
      <c r="AP18" s="183"/>
      <c r="AQ18" s="183"/>
      <c r="AR18" s="183"/>
      <c r="AS18" s="212">
        <f t="shared" si="4" ref="AS18:AS21">SUM(N18:AR18)</f>
        <v>134000.0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3"/>
      <c r="O19" s="183">
        <f t="shared" si="5" ref="N19:AR19">O18-O20-O21</f>
        <v>0.0</v>
      </c>
      <c r="P19" s="183">
        <f t="shared" si="5"/>
        <v>0.0</v>
      </c>
      <c r="Q19" s="220"/>
      <c r="R19" s="220">
        <f t="shared" si="5"/>
        <v>0.0</v>
      </c>
      <c r="S19" s="220">
        <f t="shared" si="5"/>
        <v>0.0</v>
      </c>
      <c r="T19" s="220">
        <f t="shared" si="5"/>
        <v>0.0</v>
      </c>
      <c r="U19" s="220">
        <f t="shared" si="5"/>
        <v>0.0</v>
      </c>
      <c r="V19" s="220">
        <f t="shared" si="5"/>
        <v>0.0</v>
      </c>
      <c r="W19" s="220">
        <f t="shared" si="5"/>
        <v>0.0</v>
      </c>
      <c r="X19" s="220">
        <f t="shared" si="5"/>
        <v>0.0</v>
      </c>
      <c r="Y19" s="220">
        <f t="shared" si="5"/>
        <v>0.0</v>
      </c>
      <c r="Z19" s="220">
        <f t="shared" si="5"/>
        <v>0.0</v>
      </c>
      <c r="AA19" s="220">
        <f t="shared" si="5"/>
        <v>0.0</v>
      </c>
      <c r="AB19" s="220">
        <f t="shared" si="5"/>
        <v>385.0</v>
      </c>
      <c r="AC19" s="220">
        <f t="shared" si="5"/>
        <v>3979.0</v>
      </c>
      <c r="AD19" s="220">
        <f t="shared" si="5"/>
        <v>0.0</v>
      </c>
      <c r="AE19" s="220">
        <f t="shared" si="5"/>
        <v>2110.0</v>
      </c>
      <c r="AF19" s="220">
        <f t="shared" si="5"/>
        <v>-197.0</v>
      </c>
      <c r="AG19" s="220">
        <f t="shared" si="5"/>
        <v>-1870.0</v>
      </c>
      <c r="AH19" s="220">
        <f t="shared" si="5"/>
        <v>-2389.0</v>
      </c>
      <c r="AI19" s="220">
        <f t="shared" si="5"/>
        <v>-1444.0</v>
      </c>
      <c r="AJ19" s="220">
        <f t="shared" si="5"/>
        <v>1881.0</v>
      </c>
      <c r="AK19" s="220">
        <f t="shared" si="5"/>
        <v>0.0</v>
      </c>
      <c r="AL19" s="220">
        <f t="shared" si="5"/>
        <v>0.0</v>
      </c>
      <c r="AM19" s="220">
        <f t="shared" si="5"/>
        <v>0.0</v>
      </c>
      <c r="AN19" s="220">
        <f t="shared" si="5"/>
        <v>0.0</v>
      </c>
      <c r="AO19" s="220">
        <f t="shared" si="5"/>
        <v>0.0</v>
      </c>
      <c r="AP19" s="220">
        <f t="shared" si="5"/>
        <v>0.0</v>
      </c>
      <c r="AQ19" s="220">
        <f t="shared" si="5"/>
        <v>0.0</v>
      </c>
      <c r="AR19" s="220">
        <f t="shared" si="5"/>
        <v>0.0</v>
      </c>
      <c r="AS19" s="214">
        <f t="shared" si="4"/>
        <v>2455.0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3"/>
      <c r="O20" s="220"/>
      <c r="P20" s="220"/>
      <c r="Q20" s="183"/>
      <c r="R20" s="222"/>
      <c r="S20" s="220"/>
      <c r="T20" s="220"/>
      <c r="U20" s="220"/>
      <c r="V20" s="220"/>
      <c r="W20" s="220"/>
      <c r="X20" s="220"/>
      <c r="Y20" s="220"/>
      <c r="Z20" s="220"/>
      <c r="AA20" s="220"/>
      <c r="AB20" s="220">
        <f>7538+8077</f>
        <v>15615.0</v>
      </c>
      <c r="AC20" s="220">
        <f>6262+5756</f>
        <v>12018.0</v>
      </c>
      <c r="AD20" s="220"/>
      <c r="AE20" s="220">
        <f>6946+7940</f>
        <v>14886.0</v>
      </c>
      <c r="AF20" s="220">
        <f>7874+9321</f>
        <v>17195.0</v>
      </c>
      <c r="AG20" s="220">
        <f>10123+8740</f>
        <v>18863.0</v>
      </c>
      <c r="AH20" s="220">
        <f>9271+10116</f>
        <v>19387.0</v>
      </c>
      <c r="AI20" s="220">
        <f>9262+9179</f>
        <v>18441.0</v>
      </c>
      <c r="AJ20" s="220">
        <f>8311+6806</f>
        <v>15117.0</v>
      </c>
      <c r="AK20" s="220"/>
      <c r="AL20" s="220"/>
      <c r="AM20" s="220"/>
      <c r="AN20" s="220"/>
      <c r="AO20" s="220"/>
      <c r="AP20" s="220"/>
      <c r="AQ20" s="220"/>
      <c r="AR20" s="220"/>
      <c r="AS20" s="184">
        <f t="shared" si="4"/>
        <v>131522.0</v>
      </c>
      <c r="AT20" s="190">
        <f>(AS20/(AS18-AS19))*100%</f>
        <v>0.9998251548899616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>
        <f>1+2</f>
        <v>3.0</v>
      </c>
      <c r="AD21" s="303"/>
      <c r="AE21" s="303">
        <v>4.0</v>
      </c>
      <c r="AF21" s="303">
        <v>2.0</v>
      </c>
      <c r="AG21" s="303">
        <f>7</f>
        <v>7.0</v>
      </c>
      <c r="AH21" s="303">
        <f>2</f>
        <v>2.0</v>
      </c>
      <c r="AI21" s="303">
        <f>3</f>
        <v>3.0</v>
      </c>
      <c r="AJ21" s="303">
        <f>1+1</f>
        <v>2.0</v>
      </c>
      <c r="AK21" s="303"/>
      <c r="AL21" s="303"/>
      <c r="AM21" s="303"/>
      <c r="AN21" s="303"/>
      <c r="AO21" s="303"/>
      <c r="AP21" s="303"/>
      <c r="AQ21" s="303"/>
      <c r="AR21" s="303"/>
      <c r="AS21" s="215">
        <f t="shared" si="4"/>
        <v>23.0</v>
      </c>
      <c r="AT21" s="193">
        <f>(AS21/(AS18-AS19))*100%</f>
        <v>1.748451100383899E-4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54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355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75867.0</v>
      </c>
      <c r="E23" s="155"/>
      <c r="F23" s="156">
        <v>39908.0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165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 t="s">
        <v>204</v>
      </c>
      <c r="AD23" s="164"/>
      <c r="AE23" s="164" t="s">
        <v>205</v>
      </c>
      <c r="AF23" s="165" t="s">
        <v>206</v>
      </c>
      <c r="AG23" s="164" t="s">
        <v>207</v>
      </c>
      <c r="AH23" s="164" t="s">
        <v>208</v>
      </c>
      <c r="AI23" s="164" t="s">
        <v>167</v>
      </c>
      <c r="AJ23" s="164"/>
      <c r="AK23" s="164"/>
      <c r="AL23" s="164"/>
      <c r="AM23" s="164"/>
      <c r="AN23" s="164"/>
      <c r="AO23" s="164"/>
      <c r="AP23" s="164"/>
      <c r="AQ23" s="164"/>
      <c r="AR23" s="166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183">
        <f>44783+127</f>
        <v>44910.0</v>
      </c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>
        <v>7682.0</v>
      </c>
      <c r="AD24" s="183"/>
      <c r="AE24" s="183">
        <v>19912.0</v>
      </c>
      <c r="AF24" s="183">
        <v>14522.0</v>
      </c>
      <c r="AG24" s="183">
        <v>17277.0</v>
      </c>
      <c r="AH24" s="183">
        <v>19629.0</v>
      </c>
      <c r="AI24" s="183">
        <v>19440.0</v>
      </c>
      <c r="AJ24" s="183"/>
      <c r="AK24" s="183"/>
      <c r="AL24" s="183"/>
      <c r="AM24" s="183"/>
      <c r="AN24" s="183"/>
      <c r="AO24" s="183"/>
      <c r="AP24" s="183"/>
      <c r="AQ24" s="183"/>
      <c r="AR24" s="183"/>
      <c r="AS24" s="212">
        <f t="shared" si="6" ref="AS24:AS27">SUM(N24:AR24)</f>
        <v>143372.0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183">
        <f>N24-N26-N27</f>
        <v>0.0</v>
      </c>
      <c r="O25" s="183">
        <f t="shared" si="7" ref="N25:AR25">O24-O26-O27</f>
        <v>0.0</v>
      </c>
      <c r="P25" s="183">
        <f t="shared" si="7"/>
        <v>0.0</v>
      </c>
      <c r="Q25" s="220"/>
      <c r="R25" s="220"/>
      <c r="S25" s="220">
        <f t="shared" si="7"/>
        <v>0.0</v>
      </c>
      <c r="T25" s="220">
        <f t="shared" si="7"/>
        <v>0.0</v>
      </c>
      <c r="U25" s="220">
        <f t="shared" si="7"/>
        <v>0.0</v>
      </c>
      <c r="V25" s="220">
        <f t="shared" si="7"/>
        <v>0.0</v>
      </c>
      <c r="W25" s="220">
        <f t="shared" si="7"/>
        <v>0.0</v>
      </c>
      <c r="X25" s="220">
        <f t="shared" si="7"/>
        <v>0.0</v>
      </c>
      <c r="Y25" s="220">
        <f t="shared" si="7"/>
        <v>0.0</v>
      </c>
      <c r="Z25" s="220">
        <f t="shared" si="7"/>
        <v>0.0</v>
      </c>
      <c r="AA25" s="220">
        <f t="shared" si="7"/>
        <v>0.0</v>
      </c>
      <c r="AB25" s="220">
        <f t="shared" si="7"/>
        <v>0.0</v>
      </c>
      <c r="AC25" s="220">
        <f t="shared" si="7"/>
        <v>-10.0</v>
      </c>
      <c r="AD25" s="220">
        <f t="shared" si="7"/>
        <v>0.0</v>
      </c>
      <c r="AE25" s="220">
        <f t="shared" si="7"/>
        <v>-77.0</v>
      </c>
      <c r="AF25" s="220">
        <f t="shared" si="7"/>
        <v>-32.0</v>
      </c>
      <c r="AG25" s="220">
        <f t="shared" si="7"/>
        <v>-76.0</v>
      </c>
      <c r="AH25" s="220">
        <f t="shared" si="7"/>
        <v>-26.0</v>
      </c>
      <c r="AI25" s="220">
        <f t="shared" si="7"/>
        <v>-50.0</v>
      </c>
      <c r="AJ25" s="220">
        <f t="shared" si="7"/>
        <v>0.0</v>
      </c>
      <c r="AK25" s="220">
        <f t="shared" si="7"/>
        <v>0.0</v>
      </c>
      <c r="AL25" s="220">
        <f t="shared" si="7"/>
        <v>0.0</v>
      </c>
      <c r="AM25" s="220">
        <f t="shared" si="7"/>
        <v>0.0</v>
      </c>
      <c r="AN25" s="220">
        <f t="shared" si="7"/>
        <v>0.0</v>
      </c>
      <c r="AO25" s="220">
        <f t="shared" si="7"/>
        <v>0.0</v>
      </c>
      <c r="AP25" s="220">
        <f t="shared" si="7"/>
        <v>0.0</v>
      </c>
      <c r="AQ25" s="220">
        <f t="shared" si="7"/>
        <v>0.0</v>
      </c>
      <c r="AR25" s="220">
        <f t="shared" si="7"/>
        <v>0.0</v>
      </c>
      <c r="AS25" s="214">
        <f t="shared" si="6"/>
        <v>-271.0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183">
        <f>44783+127</f>
        <v>44910.0</v>
      </c>
      <c r="O26" s="220"/>
      <c r="P26" s="220"/>
      <c r="Q26" s="220"/>
      <c r="R26" s="222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>
        <v>7682.0</v>
      </c>
      <c r="AD26" s="220"/>
      <c r="AE26" s="220">
        <v>19912.0</v>
      </c>
      <c r="AF26" s="220">
        <v>14522.0</v>
      </c>
      <c r="AG26" s="220">
        <v>17277.0</v>
      </c>
      <c r="AH26" s="220">
        <v>19629.0</v>
      </c>
      <c r="AI26" s="220">
        <v>19440.0</v>
      </c>
      <c r="AJ26" s="220"/>
      <c r="AK26" s="220"/>
      <c r="AL26" s="220"/>
      <c r="AM26" s="220"/>
      <c r="AN26" s="220"/>
      <c r="AO26" s="220"/>
      <c r="AP26" s="220"/>
      <c r="AQ26" s="220"/>
      <c r="AR26" s="220"/>
      <c r="AS26" s="184">
        <f t="shared" si="6"/>
        <v>143372.0</v>
      </c>
      <c r="AT26" s="190">
        <f>(AS26/(AS24-AS25))*100%</f>
        <v>0.998113378305939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>
        <v>10.0</v>
      </c>
      <c r="AD27" s="303"/>
      <c r="AE27" s="303">
        <v>77.0</v>
      </c>
      <c r="AF27" s="303">
        <v>32.0</v>
      </c>
      <c r="AG27" s="303">
        <v>76.0</v>
      </c>
      <c r="AH27" s="303">
        <v>26.0</v>
      </c>
      <c r="AI27" s="303">
        <v>50.0</v>
      </c>
      <c r="AJ27" s="303"/>
      <c r="AK27" s="303"/>
      <c r="AL27" s="303"/>
      <c r="AM27" s="303"/>
      <c r="AN27" s="303"/>
      <c r="AO27" s="303"/>
      <c r="AP27" s="303"/>
      <c r="AQ27" s="303"/>
      <c r="AR27" s="303"/>
      <c r="AS27" s="215">
        <f t="shared" si="6"/>
        <v>271.0</v>
      </c>
      <c r="AT27" s="193">
        <f>(AS27/(AS24-AS25))*100%</f>
        <v>0.0018866216940609706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165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282"/>
      <c r="AQ28" s="282"/>
      <c r="AR28" s="355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157"/>
      <c r="H29" s="158"/>
      <c r="I29" s="159"/>
      <c r="J29" s="160"/>
      <c r="K29" s="161"/>
      <c r="L29" s="162"/>
      <c r="M29" s="163" t="s">
        <v>130</v>
      </c>
      <c r="N29" s="165"/>
      <c r="O29" s="165" t="s">
        <v>269</v>
      </c>
      <c r="P29" s="165" t="s">
        <v>270</v>
      </c>
      <c r="Q29" s="165" t="s">
        <v>271</v>
      </c>
      <c r="R29" s="165"/>
      <c r="S29" s="165" t="s">
        <v>312</v>
      </c>
      <c r="T29" s="165"/>
      <c r="U29" s="165"/>
      <c r="V29" s="165"/>
      <c r="W29" s="165"/>
      <c r="X29" s="165"/>
      <c r="Y29" s="165"/>
      <c r="Z29" s="165"/>
      <c r="AA29" s="165"/>
      <c r="AB29" s="165"/>
      <c r="AC29" s="311"/>
      <c r="AD29" s="311"/>
      <c r="AE29" s="165"/>
      <c r="AF29" s="165"/>
      <c r="AG29" s="165"/>
      <c r="AH29" s="183" t="s">
        <v>253</v>
      </c>
      <c r="AI29" s="165" t="s">
        <v>189</v>
      </c>
      <c r="AJ29" s="165" t="s">
        <v>257</v>
      </c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183">
        <f>1622+70+127</f>
        <v>1819.0</v>
      </c>
      <c r="O30" s="183">
        <f>6000*2</f>
        <v>12000.0</v>
      </c>
      <c r="P30" s="183">
        <f>8000*2</f>
        <v>16000.0</v>
      </c>
      <c r="Q30" s="183">
        <f>10000*2</f>
        <v>20000.0</v>
      </c>
      <c r="R30" s="183">
        <f>10000*2</f>
        <v>20000.0</v>
      </c>
      <c r="S30" s="183">
        <v>10000.0</v>
      </c>
      <c r="T30" s="183"/>
      <c r="U30" s="183"/>
      <c r="V30" s="183"/>
      <c r="W30" s="183"/>
      <c r="X30" s="183"/>
      <c r="Y30" s="164"/>
      <c r="Z30" s="164"/>
      <c r="AA30" s="183"/>
      <c r="AB30" s="183"/>
      <c r="AC30" s="183"/>
      <c r="AD30" s="183"/>
      <c r="AE30" s="183"/>
      <c r="AF30" s="183"/>
      <c r="AG30" s="183"/>
      <c r="AH30" s="183">
        <f t="shared" si="8" ref="AH30:AJ30">8000*2</f>
        <v>16000.0</v>
      </c>
      <c r="AI30" s="183">
        <f t="shared" si="8"/>
        <v>16000.0</v>
      </c>
      <c r="AJ30" s="183">
        <f t="shared" si="8"/>
        <v>16000.0</v>
      </c>
      <c r="AK30" s="183"/>
      <c r="AL30" s="183"/>
      <c r="AM30" s="183"/>
      <c r="AN30" s="183"/>
      <c r="AO30" s="183"/>
      <c r="AP30" s="183"/>
      <c r="AQ30" s="183"/>
      <c r="AR30" s="183"/>
      <c r="AS30" s="212">
        <f>SUM(N30:AR30)</f>
        <v>127819.0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220">
        <f t="shared" si="9" ref="N31:AR31">N30-N32-N33</f>
        <v>0.0</v>
      </c>
      <c r="O31" s="183">
        <f t="shared" si="9"/>
        <v>-815.0</v>
      </c>
      <c r="P31" s="183">
        <f t="shared" si="9"/>
        <v>848.0</v>
      </c>
      <c r="Q31" s="220">
        <f t="shared" si="9"/>
        <v>1438.0</v>
      </c>
      <c r="R31" s="220">
        <f t="shared" si="9"/>
        <v>1785.0</v>
      </c>
      <c r="S31" s="220">
        <f t="shared" si="9"/>
        <v>4935.0</v>
      </c>
      <c r="T31" s="220">
        <f t="shared" si="9"/>
        <v>0.0</v>
      </c>
      <c r="U31" s="220">
        <f t="shared" si="9"/>
        <v>0.0</v>
      </c>
      <c r="V31" s="220">
        <f t="shared" si="9"/>
        <v>0.0</v>
      </c>
      <c r="W31" s="220">
        <f t="shared" si="9"/>
        <v>0.0</v>
      </c>
      <c r="X31" s="220">
        <f t="shared" si="9"/>
        <v>0.0</v>
      </c>
      <c r="Y31" s="220">
        <f t="shared" si="9"/>
        <v>0.0</v>
      </c>
      <c r="Z31" s="220">
        <f t="shared" si="9"/>
        <v>0.0</v>
      </c>
      <c r="AA31" s="220">
        <f t="shared" si="9"/>
        <v>0.0</v>
      </c>
      <c r="AB31" s="220">
        <f t="shared" si="9"/>
        <v>0.0</v>
      </c>
      <c r="AC31" s="220">
        <f t="shared" si="9"/>
        <v>0.0</v>
      </c>
      <c r="AD31" s="220">
        <f t="shared" si="9"/>
        <v>0.0</v>
      </c>
      <c r="AE31" s="220">
        <f t="shared" si="9"/>
        <v>0.0</v>
      </c>
      <c r="AF31" s="220">
        <f t="shared" si="9"/>
        <v>0.0</v>
      </c>
      <c r="AG31" s="220">
        <f t="shared" si="9"/>
        <v>0.0</v>
      </c>
      <c r="AH31" s="220">
        <f t="shared" si="9"/>
        <v>6546.0</v>
      </c>
      <c r="AI31" s="220">
        <f t="shared" si="9"/>
        <v>1746.0</v>
      </c>
      <c r="AJ31" s="220">
        <f t="shared" si="9"/>
        <v>3923.0</v>
      </c>
      <c r="AK31" s="220">
        <f t="shared" si="9"/>
        <v>0.0</v>
      </c>
      <c r="AL31" s="220">
        <f t="shared" si="9"/>
        <v>0.0</v>
      </c>
      <c r="AM31" s="220">
        <f t="shared" si="9"/>
        <v>0.0</v>
      </c>
      <c r="AN31" s="220">
        <f t="shared" si="9"/>
        <v>0.0</v>
      </c>
      <c r="AO31" s="220">
        <f t="shared" si="9"/>
        <v>0.0</v>
      </c>
      <c r="AP31" s="220">
        <f t="shared" si="9"/>
        <v>0.0</v>
      </c>
      <c r="AQ31" s="220">
        <f t="shared" si="9"/>
        <v>0.0</v>
      </c>
      <c r="AR31" s="220">
        <f t="shared" si="9"/>
        <v>0.0</v>
      </c>
      <c r="AS31" s="214">
        <f>SUM(N31:AR31)</f>
        <v>20406.0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183">
        <f>1622+70+127</f>
        <v>1819.0</v>
      </c>
      <c r="O32" s="220">
        <f>5433+7382</f>
        <v>12815.0</v>
      </c>
      <c r="P32" s="220">
        <f>6037+9115</f>
        <v>15152.0</v>
      </c>
      <c r="Q32" s="220">
        <f>9431+9131</f>
        <v>18562.0</v>
      </c>
      <c r="R32" s="222">
        <f>8900+9308</f>
        <v>18208.0</v>
      </c>
      <c r="S32" s="220">
        <v>5063.0</v>
      </c>
      <c r="T32" s="220"/>
      <c r="U32" s="220"/>
      <c r="V32" s="220"/>
      <c r="W32" s="220"/>
      <c r="X32" s="220"/>
      <c r="Y32" s="164"/>
      <c r="Z32" s="164"/>
      <c r="AA32" s="220"/>
      <c r="AB32" s="220"/>
      <c r="AC32" s="220"/>
      <c r="AD32" s="220"/>
      <c r="AE32" s="220"/>
      <c r="AF32" s="220"/>
      <c r="AG32" s="220"/>
      <c r="AH32" s="220">
        <f>5544+3901</f>
        <v>9445.0</v>
      </c>
      <c r="AI32" s="220">
        <f>7211+7032</f>
        <v>14243.0</v>
      </c>
      <c r="AJ32" s="220"/>
      <c r="AK32" s="220"/>
      <c r="AL32" s="220"/>
      <c r="AM32" s="220"/>
      <c r="AN32" s="220"/>
      <c r="AO32" s="220"/>
      <c r="AP32" s="220"/>
      <c r="AQ32" s="220"/>
      <c r="AR32" s="220"/>
      <c r="AS32" s="184">
        <f>SUM(N32:AR32)</f>
        <v>95307.0</v>
      </c>
      <c r="AT32" s="190">
        <f>(AS32/(AS30-AS31))*100%</f>
        <v>0.8872948339586456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303"/>
      <c r="O33" s="303">
        <v>0.0</v>
      </c>
      <c r="P33" s="303">
        <v>0.0</v>
      </c>
      <c r="Q33" s="303">
        <v>0.0</v>
      </c>
      <c r="R33" s="303">
        <f>3+4</f>
        <v>7.0</v>
      </c>
      <c r="S33" s="303">
        <v>2.0</v>
      </c>
      <c r="T33" s="303"/>
      <c r="U33" s="303"/>
      <c r="V33" s="303"/>
      <c r="W33" s="303"/>
      <c r="X33" s="303"/>
      <c r="Y33" s="164"/>
      <c r="Z33" s="164"/>
      <c r="AA33" s="303"/>
      <c r="AB33" s="303"/>
      <c r="AC33" s="303"/>
      <c r="AD33" s="303"/>
      <c r="AE33" s="303"/>
      <c r="AF33" s="303"/>
      <c r="AG33" s="303"/>
      <c r="AH33" s="303">
        <v>9.0</v>
      </c>
      <c r="AI33" s="303">
        <v>11.0</v>
      </c>
      <c r="AJ33" s="303">
        <f>5901+6176</f>
        <v>12077.0</v>
      </c>
      <c r="AK33" s="303"/>
      <c r="AL33" s="303"/>
      <c r="AM33" s="303"/>
      <c r="AN33" s="303"/>
      <c r="AO33" s="303"/>
      <c r="AP33" s="303"/>
      <c r="AQ33" s="303"/>
      <c r="AR33" s="303"/>
      <c r="AS33" s="215">
        <f>SUM(N33:AR33)</f>
        <v>12106.0</v>
      </c>
      <c r="AT33" s="193">
        <f>(AS33/(AS30-AS31))*100%</f>
        <v>0.1127051660413544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282"/>
      <c r="O34" s="282"/>
      <c r="P34" s="282"/>
      <c r="Q34" s="282"/>
      <c r="R34" s="282"/>
      <c r="S34" s="282"/>
      <c r="T34" s="282"/>
      <c r="U34" s="282"/>
      <c r="V34" s="282"/>
      <c r="W34" s="282"/>
      <c r="X34" s="164"/>
      <c r="Y34" s="164"/>
      <c r="Z34" s="164"/>
      <c r="AA34" s="164"/>
      <c r="AB34" s="282"/>
      <c r="AC34" s="282"/>
      <c r="AD34" s="282"/>
      <c r="AE34" s="282"/>
      <c r="AF34" s="282"/>
      <c r="AG34" s="282"/>
      <c r="AH34" s="282"/>
      <c r="AI34" s="282"/>
      <c r="AJ34" s="282"/>
      <c r="AK34" s="282"/>
      <c r="AL34" s="282"/>
      <c r="AM34" s="282"/>
      <c r="AN34" s="282"/>
      <c r="AO34" s="282"/>
      <c r="AP34" s="282"/>
      <c r="AQ34" s="282"/>
      <c r="AR34" s="355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154">
        <f>F35+AS38-AS42+AS43</f>
        <v>0.0</v>
      </c>
      <c r="E35" s="155"/>
      <c r="F35" s="156">
        <v>9062.0</v>
      </c>
      <c r="G35" s="218">
        <v>44197.0</v>
      </c>
      <c r="H35" s="158"/>
      <c r="I35" s="159"/>
      <c r="J35" s="160"/>
      <c r="K35" s="161"/>
      <c r="L35" s="162"/>
      <c r="M35" s="163" t="s">
        <v>130</v>
      </c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183">
        <v>1622.0</v>
      </c>
      <c r="O36" s="183">
        <f>5433+7382</f>
        <v>12815.0</v>
      </c>
      <c r="P36" s="183">
        <v>15152.0</v>
      </c>
      <c r="Q36" s="183">
        <v>18562.0</v>
      </c>
      <c r="R36" s="183">
        <v>18208.0</v>
      </c>
      <c r="S36" s="220">
        <v>5063.0</v>
      </c>
      <c r="T36" s="183"/>
      <c r="U36" s="183"/>
      <c r="V36" s="183"/>
      <c r="W36" s="183"/>
      <c r="X36" s="164"/>
      <c r="Y36" s="164"/>
      <c r="Z36" s="164"/>
      <c r="AA36" s="164"/>
      <c r="AB36" s="306"/>
      <c r="AC36" s="306"/>
      <c r="AD36" s="306"/>
      <c r="AE36" s="306"/>
      <c r="AF36" s="306"/>
      <c r="AG36" s="183"/>
      <c r="AH36" s="183">
        <v>9515.0</v>
      </c>
      <c r="AI36" s="222">
        <v>14370.0</v>
      </c>
      <c r="AJ36" s="306"/>
      <c r="AK36" s="306"/>
      <c r="AL36" s="220"/>
      <c r="AM36" s="220"/>
      <c r="AN36" s="183"/>
      <c r="AO36" s="183"/>
      <c r="AP36" s="183"/>
      <c r="AQ36" s="183"/>
      <c r="AR36" s="183"/>
      <c r="AS36" s="212">
        <f>SUM(N36:AR36)</f>
        <v>95307.0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220">
        <f t="shared" si="10" ref="N37:AR37">N36-N38-N39</f>
        <v>0.0</v>
      </c>
      <c r="O37" s="183">
        <f t="shared" si="10"/>
        <v>0.0</v>
      </c>
      <c r="P37" s="183">
        <f t="shared" si="10"/>
        <v>0.0</v>
      </c>
      <c r="Q37" s="220">
        <f t="shared" si="10"/>
        <v>0.0</v>
      </c>
      <c r="R37" s="220">
        <f t="shared" si="10"/>
        <v>0.0</v>
      </c>
      <c r="S37" s="220">
        <f t="shared" si="10"/>
        <v>0.0</v>
      </c>
      <c r="T37" s="220">
        <f t="shared" si="10"/>
        <v>0.0</v>
      </c>
      <c r="U37" s="220">
        <f t="shared" si="10"/>
        <v>0.0</v>
      </c>
      <c r="V37" s="220">
        <f t="shared" si="10"/>
        <v>0.0</v>
      </c>
      <c r="W37" s="220">
        <f t="shared" si="10"/>
        <v>0.0</v>
      </c>
      <c r="X37" s="220">
        <f t="shared" si="10"/>
        <v>0.0</v>
      </c>
      <c r="Y37" s="220">
        <f t="shared" si="10"/>
        <v>0.0</v>
      </c>
      <c r="Z37" s="220">
        <f t="shared" si="10"/>
        <v>0.0</v>
      </c>
      <c r="AA37" s="220">
        <f t="shared" si="10"/>
        <v>0.0</v>
      </c>
      <c r="AB37" s="220">
        <f t="shared" si="10"/>
        <v>0.0</v>
      </c>
      <c r="AC37" s="220">
        <f t="shared" si="10"/>
        <v>0.0</v>
      </c>
      <c r="AD37" s="220">
        <f t="shared" si="10"/>
        <v>0.0</v>
      </c>
      <c r="AE37" s="220">
        <f t="shared" si="10"/>
        <v>0.0</v>
      </c>
      <c r="AF37" s="220">
        <f t="shared" si="10"/>
        <v>0.0</v>
      </c>
      <c r="AG37" s="220">
        <f t="shared" si="10"/>
        <v>0.0</v>
      </c>
      <c r="AH37" s="220">
        <f t="shared" si="10"/>
        <v>0.0</v>
      </c>
      <c r="AI37" s="220">
        <f t="shared" si="10"/>
        <v>0.0</v>
      </c>
      <c r="AJ37" s="220">
        <f t="shared" si="10"/>
        <v>0.0</v>
      </c>
      <c r="AK37" s="220">
        <f t="shared" si="10"/>
        <v>0.0</v>
      </c>
      <c r="AL37" s="220">
        <f t="shared" si="10"/>
        <v>0.0</v>
      </c>
      <c r="AM37" s="220">
        <f t="shared" si="10"/>
        <v>0.0</v>
      </c>
      <c r="AN37" s="220">
        <f t="shared" si="10"/>
        <v>0.0</v>
      </c>
      <c r="AO37" s="220">
        <f t="shared" si="10"/>
        <v>0.0</v>
      </c>
      <c r="AP37" s="220">
        <f t="shared" si="10"/>
        <v>0.0</v>
      </c>
      <c r="AQ37" s="220">
        <f t="shared" si="10"/>
        <v>0.0</v>
      </c>
      <c r="AR37" s="220">
        <f t="shared" si="10"/>
        <v>0.0</v>
      </c>
      <c r="AS37" s="214">
        <f>SUM(N37:AR37)</f>
        <v>0.0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20">
        <v>1622.0</v>
      </c>
      <c r="O38" s="183">
        <f>5433+7382</f>
        <v>12815.0</v>
      </c>
      <c r="P38" s="220">
        <v>15152.0</v>
      </c>
      <c r="Q38" s="220">
        <v>18532.0</v>
      </c>
      <c r="R38" s="220">
        <v>18208.0</v>
      </c>
      <c r="S38" s="220">
        <v>5063.0</v>
      </c>
      <c r="T38" s="220"/>
      <c r="U38" s="220"/>
      <c r="V38" s="220"/>
      <c r="W38" s="220"/>
      <c r="X38" s="164"/>
      <c r="Y38" s="164"/>
      <c r="Z38" s="164"/>
      <c r="AA38" s="164"/>
      <c r="AB38" s="306"/>
      <c r="AC38" s="306"/>
      <c r="AD38" s="306"/>
      <c r="AE38" s="306"/>
      <c r="AF38" s="306"/>
      <c r="AG38" s="220"/>
      <c r="AH38" s="183">
        <v>9515.0</v>
      </c>
      <c r="AI38" s="222">
        <v>14370.0</v>
      </c>
      <c r="AJ38" s="306"/>
      <c r="AK38" s="306"/>
      <c r="AL38" s="220"/>
      <c r="AM38" s="220"/>
      <c r="AN38" s="220"/>
      <c r="AO38" s="220"/>
      <c r="AP38" s="220"/>
      <c r="AQ38" s="220"/>
      <c r="AR38" s="220"/>
      <c r="AS38" s="184">
        <f>SUM(N38:AR38)</f>
        <v>95277.0</v>
      </c>
      <c r="AT38" s="190">
        <f>(AS38/(AS36-AS37))*100%</f>
        <v>0.9996852277377317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303"/>
      <c r="O39" s="303">
        <v>0.0</v>
      </c>
      <c r="P39" s="303">
        <v>0.0</v>
      </c>
      <c r="Q39" s="303">
        <v>30.0</v>
      </c>
      <c r="R39" s="303">
        <v>0.0</v>
      </c>
      <c r="S39" s="303"/>
      <c r="T39" s="303"/>
      <c r="U39" s="303"/>
      <c r="V39" s="303"/>
      <c r="W39" s="303"/>
      <c r="X39" s="164"/>
      <c r="Y39" s="164"/>
      <c r="Z39" s="164"/>
      <c r="AA39" s="164"/>
      <c r="AB39" s="303"/>
      <c r="AC39" s="303"/>
      <c r="AD39" s="303"/>
      <c r="AE39" s="303"/>
      <c r="AF39" s="303"/>
      <c r="AG39" s="303"/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215">
        <f>SUM(N39:AR39)</f>
        <v>30.0</v>
      </c>
      <c r="AT39" s="193">
        <f>(AS39/(AS36-AS37))*100%</f>
        <v>3.1477226226824895E-4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54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82"/>
      <c r="AO40" s="282"/>
      <c r="AP40" s="282"/>
      <c r="AQ40" s="282"/>
      <c r="AR40" s="355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154">
        <f>F41+AS44-AS48+AS49</f>
        <v>23885.0</v>
      </c>
      <c r="E41" s="155"/>
      <c r="F41" s="156">
        <v>54787.0</v>
      </c>
      <c r="G41" s="218">
        <v>44197.0</v>
      </c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5"/>
      <c r="AL41" s="164"/>
      <c r="AM41" s="164"/>
      <c r="AN41" s="164"/>
      <c r="AO41" s="164"/>
      <c r="AP41" s="164"/>
      <c r="AQ41" s="164"/>
      <c r="AR41" s="166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/>
      <c r="O42" s="183"/>
      <c r="P42" s="183">
        <v>37029.0</v>
      </c>
      <c r="Q42" s="183"/>
      <c r="R42" s="183"/>
      <c r="S42" s="183"/>
      <c r="T42" s="183"/>
      <c r="U42" s="183"/>
      <c r="V42" s="183">
        <v>43425.0</v>
      </c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9515.0</v>
      </c>
      <c r="AK42" s="183"/>
      <c r="AL42" s="183">
        <v>14370.0</v>
      </c>
      <c r="AM42" s="183"/>
      <c r="AN42" s="183"/>
      <c r="AO42" s="183"/>
      <c r="AP42" s="183"/>
      <c r="AQ42" s="183"/>
      <c r="AR42" s="183"/>
      <c r="AS42" s="212">
        <f t="shared" si="11" ref="AS42:AS45">SUM(N42:AR42)</f>
        <v>104339.0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20">
        <f t="shared" si="12" ref="N43:AR43">N42-N44-N45</f>
        <v>0.0</v>
      </c>
      <c r="O43" s="183">
        <f t="shared" si="12"/>
        <v>0.0</v>
      </c>
      <c r="P43" s="183">
        <f t="shared" si="12"/>
        <v>0.0</v>
      </c>
      <c r="Q43" s="220">
        <f t="shared" si="12"/>
        <v>0.0</v>
      </c>
      <c r="R43" s="220">
        <f t="shared" si="12"/>
        <v>0.0</v>
      </c>
      <c r="S43" s="220">
        <f t="shared" si="12"/>
        <v>0.0</v>
      </c>
      <c r="T43" s="220">
        <f t="shared" si="12"/>
        <v>0.0</v>
      </c>
      <c r="U43" s="220">
        <f t="shared" si="12"/>
        <v>0.0</v>
      </c>
      <c r="V43" s="220">
        <f t="shared" si="12"/>
        <v>0.0</v>
      </c>
      <c r="W43" s="220">
        <f t="shared" si="12"/>
        <v>0.0</v>
      </c>
      <c r="X43" s="220">
        <f t="shared" si="12"/>
        <v>0.0</v>
      </c>
      <c r="Y43" s="220">
        <f t="shared" si="12"/>
        <v>0.0</v>
      </c>
      <c r="Z43" s="220">
        <f t="shared" si="12"/>
        <v>0.0</v>
      </c>
      <c r="AA43" s="220">
        <f t="shared" si="12"/>
        <v>0.0</v>
      </c>
      <c r="AB43" s="220">
        <f t="shared" si="12"/>
        <v>0.0</v>
      </c>
      <c r="AC43" s="220">
        <f t="shared" si="12"/>
        <v>0.0</v>
      </c>
      <c r="AD43" s="220">
        <f t="shared" si="12"/>
        <v>0.0</v>
      </c>
      <c r="AE43" s="220">
        <f t="shared" si="12"/>
        <v>0.0</v>
      </c>
      <c r="AF43" s="220">
        <f t="shared" si="12"/>
        <v>0.0</v>
      </c>
      <c r="AG43" s="220">
        <f t="shared" si="12"/>
        <v>0.0</v>
      </c>
      <c r="AH43" s="220">
        <f t="shared" si="12"/>
        <v>0.0</v>
      </c>
      <c r="AI43" s="220">
        <f t="shared" si="12"/>
        <v>0.0</v>
      </c>
      <c r="AJ43" s="220">
        <f t="shared" si="12"/>
        <v>0.0</v>
      </c>
      <c r="AK43" s="220">
        <f t="shared" si="12"/>
        <v>0.0</v>
      </c>
      <c r="AL43" s="220">
        <f t="shared" si="12"/>
        <v>0.0</v>
      </c>
      <c r="AM43" s="220">
        <f t="shared" si="12"/>
        <v>0.0</v>
      </c>
      <c r="AN43" s="220">
        <f t="shared" si="12"/>
        <v>0.0</v>
      </c>
      <c r="AO43" s="220">
        <f t="shared" si="12"/>
        <v>0.0</v>
      </c>
      <c r="AP43" s="220">
        <f t="shared" si="12"/>
        <v>0.0</v>
      </c>
      <c r="AQ43" s="220">
        <f t="shared" si="12"/>
        <v>0.0</v>
      </c>
      <c r="AR43" s="220">
        <f t="shared" si="12"/>
        <v>0.0</v>
      </c>
      <c r="AS43" s="214">
        <f t="shared" si="11"/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220"/>
      <c r="O44" s="220"/>
      <c r="P44" s="220">
        <v>37029.0</v>
      </c>
      <c r="Q44" s="220"/>
      <c r="R44" s="220"/>
      <c r="S44" s="220"/>
      <c r="T44" s="220"/>
      <c r="U44" s="220"/>
      <c r="V44" s="220">
        <v>43425.0</v>
      </c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>
        <v>9515.0</v>
      </c>
      <c r="AK44" s="220"/>
      <c r="AL44" s="220">
        <v>14370.0</v>
      </c>
      <c r="AM44" s="220"/>
      <c r="AN44" s="220"/>
      <c r="AO44" s="220"/>
      <c r="AP44" s="220"/>
      <c r="AQ44" s="220"/>
      <c r="AR44" s="220"/>
      <c r="AS44" s="184">
        <f t="shared" si="11"/>
        <v>104339.0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303"/>
      <c r="O45" s="303"/>
      <c r="P45" s="303">
        <v>0.0</v>
      </c>
      <c r="Q45" s="303"/>
      <c r="R45" s="303"/>
      <c r="S45" s="303"/>
      <c r="T45" s="303"/>
      <c r="U45" s="303"/>
      <c r="V45" s="303"/>
      <c r="W45" s="303"/>
      <c r="X45" s="303"/>
      <c r="Y45" s="303"/>
      <c r="Z45" s="303"/>
      <c r="AA45" s="303"/>
      <c r="AB45" s="303"/>
      <c r="AC45" s="303"/>
      <c r="AD45" s="303"/>
      <c r="AE45" s="303"/>
      <c r="AF45" s="303"/>
      <c r="AG45" s="303"/>
      <c r="AH45" s="303"/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215">
        <f t="shared" si="11"/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54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282"/>
      <c r="AG46" s="282"/>
      <c r="AH46" s="282"/>
      <c r="AI46" s="282"/>
      <c r="AJ46" s="282"/>
      <c r="AK46" s="282"/>
      <c r="AL46" s="282"/>
      <c r="AM46" s="282"/>
      <c r="AN46" s="282"/>
      <c r="AO46" s="282"/>
      <c r="AP46" s="282"/>
      <c r="AQ46" s="282"/>
      <c r="AR46" s="355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6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183">
        <v>54787.0</v>
      </c>
      <c r="O48" s="183"/>
      <c r="P48" s="183"/>
      <c r="Q48" s="183"/>
      <c r="R48" s="183"/>
      <c r="S48" s="183">
        <v>37029.0</v>
      </c>
      <c r="T48" s="183"/>
      <c r="U48" s="183"/>
      <c r="V48" s="183"/>
      <c r="W48" s="183"/>
      <c r="X48" s="183"/>
      <c r="Y48" s="183"/>
      <c r="Z48" s="183">
        <v>43425.0</v>
      </c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 t="shared" si="13" ref="AS48:AS51">SUM(N48:AR48)</f>
        <v>135241.0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220">
        <f t="shared" si="14" ref="N49:AR49">N48-N50-N51</f>
        <v>0.0</v>
      </c>
      <c r="O49" s="183">
        <f t="shared" si="14"/>
        <v>0.0</v>
      </c>
      <c r="P49" s="183">
        <f t="shared" si="14"/>
        <v>0.0</v>
      </c>
      <c r="Q49" s="220">
        <f t="shared" si="14"/>
        <v>0.0</v>
      </c>
      <c r="R49" s="220">
        <f t="shared" si="14"/>
        <v>0.0</v>
      </c>
      <c r="S49" s="220">
        <f t="shared" si="14"/>
        <v>0.0</v>
      </c>
      <c r="T49" s="220">
        <f t="shared" si="14"/>
        <v>0.0</v>
      </c>
      <c r="U49" s="220">
        <f t="shared" si="14"/>
        <v>0.0</v>
      </c>
      <c r="V49" s="220">
        <f t="shared" si="14"/>
        <v>0.0</v>
      </c>
      <c r="W49" s="220">
        <f t="shared" si="14"/>
        <v>0.0</v>
      </c>
      <c r="X49" s="220">
        <f t="shared" si="14"/>
        <v>0.0</v>
      </c>
      <c r="Y49" s="220">
        <f t="shared" si="14"/>
        <v>0.0</v>
      </c>
      <c r="Z49" s="220">
        <f t="shared" si="14"/>
        <v>0.0</v>
      </c>
      <c r="AA49" s="220">
        <f t="shared" si="14"/>
        <v>0.0</v>
      </c>
      <c r="AB49" s="220">
        <f t="shared" si="14"/>
        <v>0.0</v>
      </c>
      <c r="AC49" s="220">
        <f t="shared" si="14"/>
        <v>0.0</v>
      </c>
      <c r="AD49" s="220">
        <f t="shared" si="14"/>
        <v>0.0</v>
      </c>
      <c r="AE49" s="220">
        <f t="shared" si="14"/>
        <v>0.0</v>
      </c>
      <c r="AF49" s="220">
        <f t="shared" si="14"/>
        <v>0.0</v>
      </c>
      <c r="AG49" s="220">
        <f t="shared" si="14"/>
        <v>0.0</v>
      </c>
      <c r="AH49" s="220">
        <f t="shared" si="14"/>
        <v>0.0</v>
      </c>
      <c r="AI49" s="220">
        <f t="shared" si="14"/>
        <v>0.0</v>
      </c>
      <c r="AJ49" s="220">
        <f t="shared" si="14"/>
        <v>0.0</v>
      </c>
      <c r="AK49" s="220">
        <f t="shared" si="14"/>
        <v>0.0</v>
      </c>
      <c r="AL49" s="220">
        <f t="shared" si="14"/>
        <v>0.0</v>
      </c>
      <c r="AM49" s="220">
        <f t="shared" si="14"/>
        <v>0.0</v>
      </c>
      <c r="AN49" s="220">
        <f t="shared" si="14"/>
        <v>0.0</v>
      </c>
      <c r="AO49" s="220">
        <f t="shared" si="14"/>
        <v>0.0</v>
      </c>
      <c r="AP49" s="220">
        <f t="shared" si="14"/>
        <v>0.0</v>
      </c>
      <c r="AQ49" s="220">
        <f t="shared" si="14"/>
        <v>0.0</v>
      </c>
      <c r="AR49" s="220">
        <f t="shared" si="14"/>
        <v>0.0</v>
      </c>
      <c r="AS49" s="214">
        <f t="shared" si="13"/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220">
        <v>54787.0</v>
      </c>
      <c r="O50" s="220"/>
      <c r="P50" s="220"/>
      <c r="Q50" s="220"/>
      <c r="R50" s="220"/>
      <c r="S50" s="220">
        <v>37029.0</v>
      </c>
      <c r="T50" s="220"/>
      <c r="U50" s="220"/>
      <c r="V50" s="220"/>
      <c r="W50" s="220"/>
      <c r="X50" s="220"/>
      <c r="Y50" s="220"/>
      <c r="Z50" s="220">
        <v>43425.0</v>
      </c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184">
        <f t="shared" si="13"/>
        <v>135241.0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303">
        <v>0.0</v>
      </c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303"/>
      <c r="AA51" s="303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215">
        <f t="shared" si="13"/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54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2"/>
      <c r="AR52" s="355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6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183"/>
      <c r="O54" s="183"/>
      <c r="P54" s="183"/>
      <c r="Q54" s="183"/>
      <c r="R54" s="183"/>
      <c r="S54" s="183">
        <v>90426.0</v>
      </c>
      <c r="T54" s="183"/>
      <c r="U54" s="183"/>
      <c r="V54" s="183"/>
      <c r="W54" s="183"/>
      <c r="X54" s="183"/>
      <c r="Y54" s="183"/>
      <c r="Z54" s="183"/>
      <c r="AA54" s="183"/>
      <c r="AB54" s="183">
        <v>42779.0</v>
      </c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 t="shared" si="15" ref="AS54:AS57">SUM(N54:AR54)</f>
        <v>133205.0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20">
        <f t="shared" si="16" ref="N55:AR55">N54-N56-N57</f>
        <v>0.0</v>
      </c>
      <c r="O55" s="183">
        <f t="shared" si="16"/>
        <v>0.0</v>
      </c>
      <c r="P55" s="183">
        <f t="shared" si="16"/>
        <v>0.0</v>
      </c>
      <c r="Q55" s="220">
        <f t="shared" si="16"/>
        <v>0.0</v>
      </c>
      <c r="R55" s="220">
        <f t="shared" si="16"/>
        <v>0.0</v>
      </c>
      <c r="S55" s="220">
        <f t="shared" si="16"/>
        <v>-1390.0</v>
      </c>
      <c r="T55" s="220">
        <f t="shared" si="16"/>
        <v>0.0</v>
      </c>
      <c r="U55" s="220">
        <f t="shared" si="16"/>
        <v>0.0</v>
      </c>
      <c r="V55" s="220">
        <f t="shared" si="16"/>
        <v>0.0</v>
      </c>
      <c r="W55" s="220">
        <f t="shared" si="16"/>
        <v>0.0</v>
      </c>
      <c r="X55" s="220">
        <f t="shared" si="16"/>
        <v>0.0</v>
      </c>
      <c r="Y55" s="220">
        <f t="shared" si="16"/>
        <v>0.0</v>
      </c>
      <c r="Z55" s="220">
        <f t="shared" si="16"/>
        <v>0.0</v>
      </c>
      <c r="AA55" s="220">
        <f t="shared" si="16"/>
        <v>0.0</v>
      </c>
      <c r="AB55" s="220">
        <f t="shared" si="16"/>
        <v>-646.0</v>
      </c>
      <c r="AC55" s="220">
        <f t="shared" si="16"/>
        <v>0.0</v>
      </c>
      <c r="AD55" s="220">
        <f t="shared" si="16"/>
        <v>0.0</v>
      </c>
      <c r="AE55" s="220">
        <f t="shared" si="16"/>
        <v>0.0</v>
      </c>
      <c r="AF55" s="220">
        <f t="shared" si="16"/>
        <v>0.0</v>
      </c>
      <c r="AG55" s="220">
        <f t="shared" si="16"/>
        <v>0.0</v>
      </c>
      <c r="AH55" s="220">
        <f t="shared" si="16"/>
        <v>0.0</v>
      </c>
      <c r="AI55" s="220">
        <f t="shared" si="16"/>
        <v>0.0</v>
      </c>
      <c r="AJ55" s="220">
        <f t="shared" si="16"/>
        <v>0.0</v>
      </c>
      <c r="AK55" s="220">
        <f t="shared" si="16"/>
        <v>0.0</v>
      </c>
      <c r="AL55" s="220">
        <f t="shared" si="16"/>
        <v>0.0</v>
      </c>
      <c r="AM55" s="220">
        <f t="shared" si="16"/>
        <v>0.0</v>
      </c>
      <c r="AN55" s="220">
        <f t="shared" si="16"/>
        <v>0.0</v>
      </c>
      <c r="AO55" s="220">
        <f t="shared" si="16"/>
        <v>0.0</v>
      </c>
      <c r="AP55" s="220">
        <f t="shared" si="16"/>
        <v>0.0</v>
      </c>
      <c r="AQ55" s="220">
        <f t="shared" si="16"/>
        <v>0.0</v>
      </c>
      <c r="AR55" s="220">
        <f t="shared" si="16"/>
        <v>0.0</v>
      </c>
      <c r="AS55" s="214">
        <f t="shared" si="15"/>
        <v>-2036.0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220"/>
      <c r="O56" s="220"/>
      <c r="P56" s="220"/>
      <c r="Q56" s="220"/>
      <c r="R56" s="220"/>
      <c r="S56" s="220">
        <v>90426.0</v>
      </c>
      <c r="T56" s="220"/>
      <c r="U56" s="220"/>
      <c r="V56" s="220"/>
      <c r="W56" s="220"/>
      <c r="X56" s="220"/>
      <c r="Y56" s="220"/>
      <c r="Z56" s="220"/>
      <c r="AA56" s="220"/>
      <c r="AB56" s="220">
        <v>42779.0</v>
      </c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184">
        <f t="shared" si="15"/>
        <v>133205.0</v>
      </c>
      <c r="AT56" s="190">
        <f>(AS56/(AS54-AS55))*100%</f>
        <v>0.9849453937785139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303"/>
      <c r="O57" s="303"/>
      <c r="P57" s="303"/>
      <c r="Q57" s="303"/>
      <c r="R57" s="303"/>
      <c r="S57" s="303">
        <v>1390.0</v>
      </c>
      <c r="T57" s="303"/>
      <c r="U57" s="303"/>
      <c r="V57" s="303"/>
      <c r="W57" s="303"/>
      <c r="X57" s="303"/>
      <c r="Y57" s="303"/>
      <c r="Z57" s="303"/>
      <c r="AA57" s="303"/>
      <c r="AB57" s="303">
        <v>646.0</v>
      </c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215">
        <f t="shared" si="15"/>
        <v>2036.0</v>
      </c>
      <c r="AT57" s="193">
        <f>(AS57/(AS54-AS55))*100%</f>
        <v>0.015054606221486088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-3020.0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51"/>
      <c r="O58" s="251"/>
      <c r="P58" s="251"/>
      <c r="Q58" s="251"/>
      <c r="R58" s="251"/>
      <c r="S58" s="251"/>
      <c r="T58" s="251"/>
      <c r="U58" s="251"/>
      <c r="V58" s="251" t="s">
        <v>238</v>
      </c>
      <c r="W58" s="251"/>
      <c r="X58" s="251"/>
      <c r="Y58" s="251"/>
      <c r="Z58" s="251"/>
      <c r="AA58" s="251"/>
      <c r="AB58" s="251"/>
      <c r="AC58" s="251"/>
      <c r="AD58" s="251"/>
      <c r="AE58" s="251"/>
      <c r="AF58" s="251" t="s">
        <v>239</v>
      </c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358"/>
      <c r="O59" s="358"/>
      <c r="P59" s="358"/>
      <c r="Q59" s="358"/>
      <c r="R59" s="358"/>
      <c r="S59" s="358"/>
      <c r="T59" s="358"/>
      <c r="U59" s="358"/>
      <c r="V59" s="358">
        <v>90426.0</v>
      </c>
      <c r="W59" s="358"/>
      <c r="X59" s="358"/>
      <c r="Y59" s="358"/>
      <c r="Z59" s="358"/>
      <c r="AA59" s="358"/>
      <c r="AB59" s="358"/>
      <c r="AC59" s="358"/>
      <c r="AD59" s="358"/>
      <c r="AE59" s="358"/>
      <c r="AF59" s="358">
        <v>42779.0</v>
      </c>
      <c r="AG59" s="358"/>
      <c r="AH59" s="358"/>
      <c r="AI59" s="358"/>
      <c r="AJ59" s="358"/>
      <c r="AK59" s="358"/>
      <c r="AL59" s="358"/>
      <c r="AM59" s="358"/>
      <c r="AN59" s="358"/>
      <c r="AO59" s="358"/>
      <c r="AP59" s="358"/>
      <c r="AQ59" s="358"/>
      <c r="AR59" s="359"/>
      <c r="AS59" s="263">
        <f>SUM(N59:AR59)</f>
        <v>133205.0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369"/>
      <c r="O60" s="370"/>
      <c r="P60" s="370"/>
      <c r="Q60" s="370"/>
      <c r="R60" s="370"/>
      <c r="S60" s="370"/>
      <c r="T60" s="370"/>
      <c r="U60" s="370"/>
      <c r="V60" s="370"/>
      <c r="W60" s="370"/>
      <c r="X60" s="370"/>
      <c r="Y60" s="370"/>
      <c r="Z60" s="370"/>
      <c r="AA60" s="370"/>
      <c r="AB60" s="370"/>
      <c r="AC60" s="370"/>
      <c r="AD60" s="370"/>
      <c r="AE60" s="370"/>
      <c r="AF60" s="370"/>
      <c r="AG60" s="370"/>
      <c r="AH60" s="370"/>
      <c r="AI60" s="370"/>
      <c r="AJ60" s="370"/>
      <c r="AK60" s="370"/>
      <c r="AL60" s="370"/>
      <c r="AM60" s="370"/>
      <c r="AN60" s="370"/>
      <c r="AO60" s="370"/>
      <c r="AP60" s="370"/>
      <c r="AQ60" s="370"/>
      <c r="AR60" s="371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Q5" state="frozen" activePane="bottomRight"/>
      <selection pane="bottomRight" activeCell="X21" sqref="X21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0.707031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549396-07-12 
8660, PH2
 2"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313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218"/>
      <c r="H5" s="158"/>
      <c r="I5" s="159"/>
      <c r="J5" s="160"/>
      <c r="K5" s="161"/>
      <c r="L5" s="162"/>
      <c r="M5" s="163" t="s">
        <v>130</v>
      </c>
      <c r="N5" s="372"/>
      <c r="O5" s="372"/>
      <c r="P5" s="372"/>
      <c r="Q5" s="372"/>
      <c r="R5" s="372"/>
      <c r="S5" s="372"/>
      <c r="T5" s="372"/>
      <c r="U5" s="373" t="s">
        <v>314</v>
      </c>
      <c r="V5" s="372"/>
      <c r="W5" s="372"/>
      <c r="X5" s="372"/>
      <c r="Y5" s="372"/>
      <c r="Z5" s="372"/>
      <c r="AA5" s="372"/>
      <c r="AB5" s="373"/>
      <c r="AC5" s="372"/>
      <c r="AD5" s="372"/>
      <c r="AE5" s="372"/>
      <c r="AF5" s="372"/>
      <c r="AG5" s="372"/>
      <c r="AH5" s="372"/>
      <c r="AI5" s="373"/>
      <c r="AJ5" s="372"/>
      <c r="AK5" s="372"/>
      <c r="AL5" s="372"/>
      <c r="AM5" s="372"/>
      <c r="AN5" s="372"/>
      <c r="AO5" s="372"/>
      <c r="AP5" s="373"/>
      <c r="AQ5" s="372"/>
      <c r="AR5" s="374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  <c r="AN6" s="283"/>
      <c r="AO6" s="283"/>
      <c r="AP6" s="283"/>
      <c r="AQ6" s="283"/>
      <c r="AR6" s="283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3"/>
      <c r="AE7" s="283"/>
      <c r="AF7" s="283"/>
      <c r="AG7" s="283"/>
      <c r="AH7" s="283"/>
      <c r="AI7" s="283"/>
      <c r="AJ7" s="283"/>
      <c r="AK7" s="283"/>
      <c r="AL7" s="283"/>
      <c r="AM7" s="283"/>
      <c r="AN7" s="283"/>
      <c r="AO7" s="283"/>
      <c r="AP7" s="283"/>
      <c r="AQ7" s="283"/>
      <c r="AR7" s="283"/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283"/>
      <c r="O8" s="283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5"/>
      <c r="AN8" s="375"/>
      <c r="AO8" s="375"/>
      <c r="AP8" s="375"/>
      <c r="AQ8" s="375"/>
      <c r="AR8" s="375"/>
      <c r="AS8" s="189">
        <f t="shared" si="0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76"/>
      <c r="O9" s="376"/>
      <c r="P9" s="377"/>
      <c r="Q9" s="377"/>
      <c r="R9" s="377"/>
      <c r="S9" s="377"/>
      <c r="T9" s="377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7"/>
      <c r="AM9" s="377"/>
      <c r="AN9" s="377"/>
      <c r="AO9" s="377"/>
      <c r="AP9" s="377"/>
      <c r="AQ9" s="377"/>
      <c r="AR9" s="377"/>
      <c r="AS9" s="184">
        <f t="shared" si="0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78"/>
      <c r="O10" s="379"/>
      <c r="P10" s="379"/>
      <c r="Q10" s="379"/>
      <c r="R10" s="379"/>
      <c r="S10" s="379"/>
      <c r="T10" s="379"/>
      <c r="U10" s="379"/>
      <c r="V10" s="379"/>
      <c r="W10" s="379"/>
      <c r="X10" s="379"/>
      <c r="Y10" s="379"/>
      <c r="Z10" s="379"/>
      <c r="AA10" s="379"/>
      <c r="AB10" s="379"/>
      <c r="AC10" s="379"/>
      <c r="AD10" s="379"/>
      <c r="AE10" s="379"/>
      <c r="AF10" s="379"/>
      <c r="AG10" s="379"/>
      <c r="AH10" s="379"/>
      <c r="AI10" s="379"/>
      <c r="AJ10" s="379"/>
      <c r="AK10" s="379"/>
      <c r="AL10" s="379"/>
      <c r="AM10" s="379"/>
      <c r="AN10" s="379"/>
      <c r="AO10" s="379"/>
      <c r="AP10" s="379"/>
      <c r="AQ10" s="379"/>
      <c r="AR10" s="380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0.0</v>
      </c>
      <c r="E11" s="155"/>
      <c r="F11" s="156">
        <v>0.0</v>
      </c>
      <c r="G11" s="218"/>
      <c r="H11" s="158"/>
      <c r="I11" s="159"/>
      <c r="J11" s="160"/>
      <c r="K11" s="161"/>
      <c r="L11" s="162"/>
      <c r="M11" s="163" t="s">
        <v>130</v>
      </c>
      <c r="N11" s="372"/>
      <c r="O11" s="372"/>
      <c r="P11" s="372"/>
      <c r="Q11" s="372"/>
      <c r="R11" s="372"/>
      <c r="S11" s="372"/>
      <c r="T11" s="372"/>
      <c r="U11" s="373"/>
      <c r="V11" s="372"/>
      <c r="W11" s="372"/>
      <c r="X11" s="372"/>
      <c r="Y11" s="372"/>
      <c r="Z11" s="372"/>
      <c r="AA11" s="372"/>
      <c r="AB11" s="373"/>
      <c r="AC11" s="372"/>
      <c r="AD11" s="372"/>
      <c r="AE11" s="372"/>
      <c r="AF11" s="372"/>
      <c r="AG11" s="372"/>
      <c r="AH11" s="372"/>
      <c r="AI11" s="373"/>
      <c r="AJ11" s="372"/>
      <c r="AK11" s="372"/>
      <c r="AL11" s="372"/>
      <c r="AM11" s="372"/>
      <c r="AN11" s="372"/>
      <c r="AO11" s="372"/>
      <c r="AP11" s="373"/>
      <c r="AQ11" s="372"/>
      <c r="AR11" s="374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381"/>
      <c r="O12" s="381"/>
      <c r="P12" s="381"/>
      <c r="Q12" s="381"/>
      <c r="R12" s="381"/>
      <c r="S12" s="381"/>
      <c r="T12" s="381"/>
      <c r="U12" s="381"/>
      <c r="V12" s="381"/>
      <c r="W12" s="381"/>
      <c r="X12" s="381"/>
      <c r="Y12" s="381"/>
      <c r="Z12" s="381"/>
      <c r="AA12" s="381"/>
      <c r="AB12" s="381"/>
      <c r="AC12" s="381"/>
      <c r="AD12" s="381"/>
      <c r="AE12" s="381"/>
      <c r="AF12" s="381"/>
      <c r="AG12" s="381"/>
      <c r="AH12" s="381"/>
      <c r="AI12" s="381"/>
      <c r="AJ12" s="381"/>
      <c r="AK12" s="381"/>
      <c r="AL12" s="381"/>
      <c r="AM12" s="381"/>
      <c r="AN12" s="381"/>
      <c r="AO12" s="381"/>
      <c r="AP12" s="381"/>
      <c r="AQ12" s="381"/>
      <c r="AR12" s="381"/>
      <c r="AS12" s="212">
        <f t="shared" si="0"/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/>
      <c r="AM13" s="375"/>
      <c r="AN13" s="375"/>
      <c r="AO13" s="375"/>
      <c r="AP13" s="375"/>
      <c r="AQ13" s="375"/>
      <c r="AR13" s="375"/>
      <c r="AS13" s="214">
        <f t="shared" si="0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/>
      <c r="AJ14" s="283"/>
      <c r="AK14" s="283"/>
      <c r="AL14" s="283"/>
      <c r="AM14" s="283"/>
      <c r="AN14" s="283"/>
      <c r="AO14" s="283"/>
      <c r="AP14" s="283"/>
      <c r="AQ14" s="283"/>
      <c r="AR14" s="283"/>
      <c r="AS14" s="184">
        <f t="shared" si="0"/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376"/>
      <c r="O15" s="376"/>
      <c r="P15" s="376"/>
      <c r="Q15" s="376"/>
      <c r="R15" s="376"/>
      <c r="S15" s="376"/>
      <c r="T15" s="376"/>
      <c r="U15" s="376"/>
      <c r="V15" s="376"/>
      <c r="W15" s="376"/>
      <c r="X15" s="376"/>
      <c r="Y15" s="376"/>
      <c r="Z15" s="376"/>
      <c r="AA15" s="376"/>
      <c r="AB15" s="376"/>
      <c r="AC15" s="376"/>
      <c r="AD15" s="376"/>
      <c r="AE15" s="376"/>
      <c r="AF15" s="376"/>
      <c r="AG15" s="376"/>
      <c r="AH15" s="376"/>
      <c r="AI15" s="376"/>
      <c r="AJ15" s="376"/>
      <c r="AK15" s="376"/>
      <c r="AL15" s="376"/>
      <c r="AM15" s="376"/>
      <c r="AN15" s="376"/>
      <c r="AO15" s="376"/>
      <c r="AP15" s="376"/>
      <c r="AQ15" s="376"/>
      <c r="AR15" s="376"/>
      <c r="AS15" s="215">
        <f t="shared" si="0"/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78"/>
      <c r="O16" s="379"/>
      <c r="P16" s="379"/>
      <c r="Q16" s="379"/>
      <c r="R16" s="379"/>
      <c r="S16" s="379"/>
      <c r="T16" s="379"/>
      <c r="U16" s="379"/>
      <c r="V16" s="379"/>
      <c r="W16" s="379"/>
      <c r="X16" s="379"/>
      <c r="Y16" s="379"/>
      <c r="Z16" s="379"/>
      <c r="AA16" s="379"/>
      <c r="AB16" s="379"/>
      <c r="AC16" s="379"/>
      <c r="AD16" s="379"/>
      <c r="AE16" s="379"/>
      <c r="AF16" s="379"/>
      <c r="AG16" s="379"/>
      <c r="AH16" s="379"/>
      <c r="AI16" s="379"/>
      <c r="AJ16" s="379"/>
      <c r="AK16" s="379"/>
      <c r="AL16" s="379"/>
      <c r="AM16" s="379"/>
      <c r="AN16" s="379"/>
      <c r="AO16" s="379"/>
      <c r="AP16" s="379"/>
      <c r="AQ16" s="379"/>
      <c r="AR16" s="380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0.0</v>
      </c>
      <c r="G17" s="218"/>
      <c r="H17" s="158"/>
      <c r="I17" s="159"/>
      <c r="J17" s="160"/>
      <c r="K17" s="161"/>
      <c r="L17" s="162"/>
      <c r="M17" s="163" t="s">
        <v>130</v>
      </c>
      <c r="N17" s="372"/>
      <c r="O17" s="372"/>
      <c r="P17" s="372"/>
      <c r="Q17" s="372"/>
      <c r="R17" s="372"/>
      <c r="S17" s="372"/>
      <c r="T17" s="372"/>
      <c r="U17" s="373"/>
      <c r="V17" s="372"/>
      <c r="W17" s="372"/>
      <c r="X17" s="372"/>
      <c r="Y17" s="372"/>
      <c r="Z17" s="372"/>
      <c r="AA17" s="372"/>
      <c r="AB17" s="373"/>
      <c r="AC17" s="372"/>
      <c r="AD17" s="372"/>
      <c r="AE17" s="372"/>
      <c r="AF17" s="372"/>
      <c r="AG17" s="372"/>
      <c r="AH17" s="372"/>
      <c r="AI17" s="373"/>
      <c r="AJ17" s="372"/>
      <c r="AK17" s="372"/>
      <c r="AL17" s="372"/>
      <c r="AM17" s="372"/>
      <c r="AN17" s="372"/>
      <c r="AO17" s="372"/>
      <c r="AP17" s="373"/>
      <c r="AQ17" s="372"/>
      <c r="AR17" s="374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381"/>
      <c r="AN18" s="381"/>
      <c r="AO18" s="381"/>
      <c r="AP18" s="381"/>
      <c r="AQ18" s="381"/>
      <c r="AR18" s="381"/>
      <c r="AS18" s="212">
        <f t="shared" si="1" ref="AS18:AS21">SUM(N18:AR18)</f>
        <v>0.0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75"/>
      <c r="AN19" s="375"/>
      <c r="AO19" s="375"/>
      <c r="AP19" s="375"/>
      <c r="AQ19" s="375"/>
      <c r="AR19" s="375"/>
      <c r="AS19" s="214">
        <f t="shared" si="1"/>
        <v>0.0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184">
        <f t="shared" si="1"/>
        <v>0.0</v>
      </c>
      <c r="AT20" s="190" t="e">
        <f>(AS20/(AS18-AS19))*100%</f>
        <v>#DIV/0!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76"/>
      <c r="AA21" s="376"/>
      <c r="AB21" s="376"/>
      <c r="AC21" s="376"/>
      <c r="AD21" s="376"/>
      <c r="AE21" s="376"/>
      <c r="AF21" s="376"/>
      <c r="AG21" s="376"/>
      <c r="AH21" s="376"/>
      <c r="AI21" s="376"/>
      <c r="AJ21" s="376"/>
      <c r="AK21" s="376"/>
      <c r="AL21" s="376"/>
      <c r="AM21" s="376"/>
      <c r="AN21" s="376"/>
      <c r="AO21" s="376"/>
      <c r="AP21" s="376"/>
      <c r="AQ21" s="376"/>
      <c r="AR21" s="376"/>
      <c r="AS21" s="215">
        <f t="shared" si="1"/>
        <v>0.0</v>
      </c>
      <c r="AT21" s="193" t="e">
        <f>(AS21/(AS18-AS19))*100%</f>
        <v>#DIV/0!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78"/>
      <c r="O22" s="379"/>
      <c r="P22" s="379"/>
      <c r="Q22" s="379"/>
      <c r="R22" s="379"/>
      <c r="S22" s="379"/>
      <c r="T22" s="379"/>
      <c r="U22" s="379"/>
      <c r="V22" s="379"/>
      <c r="W22" s="379"/>
      <c r="X22" s="379"/>
      <c r="Y22" s="379"/>
      <c r="Z22" s="379"/>
      <c r="AA22" s="379"/>
      <c r="AB22" s="379"/>
      <c r="AC22" s="379"/>
      <c r="AD22" s="379"/>
      <c r="AE22" s="379"/>
      <c r="AF22" s="379"/>
      <c r="AG22" s="379"/>
      <c r="AH22" s="379"/>
      <c r="AI22" s="379"/>
      <c r="AJ22" s="379"/>
      <c r="AK22" s="379"/>
      <c r="AL22" s="379"/>
      <c r="AM22" s="379"/>
      <c r="AN22" s="379"/>
      <c r="AO22" s="379"/>
      <c r="AP22" s="379"/>
      <c r="AQ22" s="379"/>
      <c r="AR22" s="380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0.0</v>
      </c>
      <c r="E23" s="155"/>
      <c r="F23" s="156">
        <v>0.0</v>
      </c>
      <c r="G23" s="218"/>
      <c r="H23" s="158"/>
      <c r="I23" s="159"/>
      <c r="J23" s="160"/>
      <c r="K23" s="161"/>
      <c r="L23" s="162"/>
      <c r="M23" s="163" t="s">
        <v>130</v>
      </c>
      <c r="N23" s="372"/>
      <c r="O23" s="372"/>
      <c r="P23" s="372"/>
      <c r="Q23" s="372"/>
      <c r="R23" s="372"/>
      <c r="S23" s="372"/>
      <c r="T23" s="372"/>
      <c r="U23" s="373"/>
      <c r="V23" s="372"/>
      <c r="W23" s="372"/>
      <c r="X23" s="372"/>
      <c r="Y23" s="372"/>
      <c r="Z23" s="372"/>
      <c r="AA23" s="372"/>
      <c r="AB23" s="373"/>
      <c r="AC23" s="372"/>
      <c r="AD23" s="372"/>
      <c r="AE23" s="372"/>
      <c r="AF23" s="372"/>
      <c r="AG23" s="372"/>
      <c r="AH23" s="372"/>
      <c r="AI23" s="373"/>
      <c r="AJ23" s="372"/>
      <c r="AK23" s="372"/>
      <c r="AL23" s="372"/>
      <c r="AM23" s="372"/>
      <c r="AN23" s="372"/>
      <c r="AO23" s="372"/>
      <c r="AP23" s="373"/>
      <c r="AQ23" s="372"/>
      <c r="AR23" s="374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1"/>
      <c r="AA24" s="381"/>
      <c r="AB24" s="381"/>
      <c r="AC24" s="381"/>
      <c r="AD24" s="381"/>
      <c r="AE24" s="381"/>
      <c r="AF24" s="381"/>
      <c r="AG24" s="381"/>
      <c r="AH24" s="381"/>
      <c r="AI24" s="381"/>
      <c r="AJ24" s="381"/>
      <c r="AK24" s="381"/>
      <c r="AL24" s="381"/>
      <c r="AM24" s="381"/>
      <c r="AN24" s="381"/>
      <c r="AO24" s="381"/>
      <c r="AP24" s="381"/>
      <c r="AQ24" s="381"/>
      <c r="AR24" s="381"/>
      <c r="AS24" s="212">
        <f t="shared" si="2" ref="AS24:AS27">SUM(N24:AR24)</f>
        <v>0.0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75"/>
      <c r="AN25" s="375"/>
      <c r="AO25" s="375"/>
      <c r="AP25" s="375"/>
      <c r="AQ25" s="375"/>
      <c r="AR25" s="375"/>
      <c r="AS25" s="214">
        <f t="shared" si="2"/>
        <v>0.0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283"/>
      <c r="AQ26" s="283"/>
      <c r="AR26" s="283"/>
      <c r="AS26" s="184">
        <f t="shared" si="2"/>
        <v>0.0</v>
      </c>
      <c r="AT26" s="190" t="e">
        <f>(AS26/(AS24-AS25))*100%</f>
        <v>#DIV/0!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376"/>
      <c r="O27" s="376"/>
      <c r="P27" s="376"/>
      <c r="Q27" s="376"/>
      <c r="R27" s="376"/>
      <c r="S27" s="376"/>
      <c r="T27" s="376"/>
      <c r="U27" s="376"/>
      <c r="V27" s="376"/>
      <c r="W27" s="376"/>
      <c r="X27" s="376"/>
      <c r="Y27" s="376"/>
      <c r="Z27" s="376"/>
      <c r="AA27" s="376"/>
      <c r="AB27" s="376"/>
      <c r="AC27" s="376"/>
      <c r="AD27" s="376"/>
      <c r="AE27" s="376"/>
      <c r="AF27" s="376"/>
      <c r="AG27" s="376"/>
      <c r="AH27" s="376"/>
      <c r="AI27" s="376"/>
      <c r="AJ27" s="376"/>
      <c r="AK27" s="376"/>
      <c r="AL27" s="376"/>
      <c r="AM27" s="376"/>
      <c r="AN27" s="376"/>
      <c r="AO27" s="376"/>
      <c r="AP27" s="376"/>
      <c r="AQ27" s="376"/>
      <c r="AR27" s="376"/>
      <c r="AS27" s="215">
        <f t="shared" si="2"/>
        <v>0.0</v>
      </c>
      <c r="AT27" s="193" t="e">
        <f>(AS27/(AS24-AS25))*100%</f>
        <v>#DIV/0!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378"/>
      <c r="O28" s="379"/>
      <c r="P28" s="379"/>
      <c r="Q28" s="379"/>
      <c r="R28" s="379"/>
      <c r="S28" s="379"/>
      <c r="T28" s="379"/>
      <c r="U28" s="379"/>
      <c r="V28" s="379"/>
      <c r="W28" s="379"/>
      <c r="X28" s="379"/>
      <c r="Y28" s="379"/>
      <c r="Z28" s="379"/>
      <c r="AA28" s="379"/>
      <c r="AB28" s="379"/>
      <c r="AC28" s="379"/>
      <c r="AD28" s="379"/>
      <c r="AE28" s="379"/>
      <c r="AF28" s="379"/>
      <c r="AG28" s="379"/>
      <c r="AH28" s="379"/>
      <c r="AI28" s="379"/>
      <c r="AJ28" s="379"/>
      <c r="AK28" s="379"/>
      <c r="AL28" s="379"/>
      <c r="AM28" s="379"/>
      <c r="AN28" s="379"/>
      <c r="AO28" s="379"/>
      <c r="AP28" s="379"/>
      <c r="AQ28" s="379"/>
      <c r="AR28" s="380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218"/>
      <c r="H29" s="158"/>
      <c r="I29" s="159"/>
      <c r="J29" s="160"/>
      <c r="K29" s="161"/>
      <c r="L29" s="162"/>
      <c r="M29" s="163" t="s">
        <v>130</v>
      </c>
      <c r="N29" s="372"/>
      <c r="O29" s="372"/>
      <c r="P29" s="372"/>
      <c r="Q29" s="372"/>
      <c r="R29" s="372"/>
      <c r="S29" s="372"/>
      <c r="T29" s="372"/>
      <c r="U29" s="373"/>
      <c r="V29" s="372"/>
      <c r="W29" s="372"/>
      <c r="X29" s="372"/>
      <c r="Y29" s="372"/>
      <c r="Z29" s="372"/>
      <c r="AA29" s="372"/>
      <c r="AB29" s="373"/>
      <c r="AC29" s="372"/>
      <c r="AD29" s="372"/>
      <c r="AE29" s="372"/>
      <c r="AF29" s="372"/>
      <c r="AG29" s="372"/>
      <c r="AH29" s="372"/>
      <c r="AI29" s="373"/>
      <c r="AJ29" s="372"/>
      <c r="AK29" s="372"/>
      <c r="AL29" s="372"/>
      <c r="AM29" s="372"/>
      <c r="AN29" s="372"/>
      <c r="AO29" s="372"/>
      <c r="AP29" s="373"/>
      <c r="AQ29" s="372"/>
      <c r="AR29" s="374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1"/>
      <c r="AA30" s="381"/>
      <c r="AB30" s="381"/>
      <c r="AC30" s="381"/>
      <c r="AD30" s="381"/>
      <c r="AE30" s="381"/>
      <c r="AF30" s="381"/>
      <c r="AG30" s="381"/>
      <c r="AH30" s="381"/>
      <c r="AI30" s="381"/>
      <c r="AJ30" s="381"/>
      <c r="AK30" s="381"/>
      <c r="AL30" s="381"/>
      <c r="AM30" s="381"/>
      <c r="AN30" s="381"/>
      <c r="AO30" s="381"/>
      <c r="AP30" s="381"/>
      <c r="AQ30" s="381"/>
      <c r="AR30" s="381"/>
      <c r="AS30" s="212">
        <f t="shared" si="3" ref="AS30:AS33">SUM(N30:AR30)</f>
        <v>0.0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  <c r="AD31" s="375"/>
      <c r="AE31" s="375"/>
      <c r="AF31" s="375"/>
      <c r="AG31" s="375"/>
      <c r="AH31" s="375"/>
      <c r="AI31" s="375"/>
      <c r="AJ31" s="375"/>
      <c r="AK31" s="375"/>
      <c r="AL31" s="375"/>
      <c r="AM31" s="375"/>
      <c r="AN31" s="375"/>
      <c r="AO31" s="375"/>
      <c r="AP31" s="375"/>
      <c r="AQ31" s="375"/>
      <c r="AR31" s="375"/>
      <c r="AS31" s="214">
        <f t="shared" si="3"/>
        <v>0.0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  <c r="AN32" s="283"/>
      <c r="AO32" s="283"/>
      <c r="AP32" s="283"/>
      <c r="AQ32" s="283"/>
      <c r="AR32" s="283"/>
      <c r="AS32" s="184">
        <f t="shared" si="3"/>
        <v>0.0</v>
      </c>
      <c r="AT32" s="190" t="e">
        <f>(AS32/(AS30-AS31))*100%</f>
        <v>#DIV/0!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376"/>
      <c r="O33" s="376"/>
      <c r="P33" s="376"/>
      <c r="Q33" s="376"/>
      <c r="R33" s="376"/>
      <c r="S33" s="376"/>
      <c r="T33" s="376"/>
      <c r="U33" s="376"/>
      <c r="V33" s="376"/>
      <c r="W33" s="376"/>
      <c r="X33" s="376"/>
      <c r="Y33" s="376"/>
      <c r="Z33" s="376"/>
      <c r="AA33" s="376"/>
      <c r="AB33" s="376"/>
      <c r="AC33" s="376"/>
      <c r="AD33" s="376"/>
      <c r="AE33" s="376"/>
      <c r="AF33" s="376"/>
      <c r="AG33" s="376"/>
      <c r="AH33" s="376"/>
      <c r="AI33" s="376"/>
      <c r="AJ33" s="376"/>
      <c r="AK33" s="376"/>
      <c r="AL33" s="376"/>
      <c r="AM33" s="376"/>
      <c r="AN33" s="376"/>
      <c r="AO33" s="376"/>
      <c r="AP33" s="376"/>
      <c r="AQ33" s="376"/>
      <c r="AR33" s="376"/>
      <c r="AS33" s="215">
        <f t="shared" si="3"/>
        <v>0.0</v>
      </c>
      <c r="AT33" s="193" t="e">
        <f>(AS33/(AS30-AS31))*100%</f>
        <v>#DIV/0!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378"/>
      <c r="O34" s="379"/>
      <c r="P34" s="379"/>
      <c r="Q34" s="379"/>
      <c r="R34" s="379"/>
      <c r="S34" s="379"/>
      <c r="T34" s="379"/>
      <c r="U34" s="379"/>
      <c r="V34" s="379"/>
      <c r="W34" s="379"/>
      <c r="X34" s="379"/>
      <c r="Y34" s="379"/>
      <c r="Z34" s="379"/>
      <c r="AA34" s="379"/>
      <c r="AB34" s="379"/>
      <c r="AC34" s="379"/>
      <c r="AD34" s="379"/>
      <c r="AE34" s="379"/>
      <c r="AF34" s="379"/>
      <c r="AG34" s="379"/>
      <c r="AH34" s="379"/>
      <c r="AI34" s="379"/>
      <c r="AJ34" s="379"/>
      <c r="AK34" s="379"/>
      <c r="AL34" s="379"/>
      <c r="AM34" s="379"/>
      <c r="AN34" s="379"/>
      <c r="AO34" s="379"/>
      <c r="AP34" s="379"/>
      <c r="AQ34" s="379"/>
      <c r="AR34" s="380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154">
        <f>F35+AS38-AS42+AS43</f>
        <v>0.0</v>
      </c>
      <c r="E35" s="155"/>
      <c r="F35" s="156">
        <v>0.0</v>
      </c>
      <c r="G35" s="218"/>
      <c r="H35" s="158"/>
      <c r="I35" s="159"/>
      <c r="J35" s="160"/>
      <c r="K35" s="161"/>
      <c r="L35" s="162"/>
      <c r="M35" s="163" t="s">
        <v>130</v>
      </c>
      <c r="N35" s="372"/>
      <c r="O35" s="372"/>
      <c r="P35" s="372"/>
      <c r="Q35" s="372"/>
      <c r="R35" s="372"/>
      <c r="S35" s="372"/>
      <c r="T35" s="372"/>
      <c r="U35" s="373"/>
      <c r="V35" s="372"/>
      <c r="W35" s="372"/>
      <c r="X35" s="372"/>
      <c r="Y35" s="372"/>
      <c r="Z35" s="372"/>
      <c r="AA35" s="372"/>
      <c r="AB35" s="373"/>
      <c r="AC35" s="372"/>
      <c r="AD35" s="372"/>
      <c r="AE35" s="372"/>
      <c r="AF35" s="372"/>
      <c r="AG35" s="372"/>
      <c r="AH35" s="372"/>
      <c r="AI35" s="373"/>
      <c r="AJ35" s="372"/>
      <c r="AK35" s="372"/>
      <c r="AL35" s="372"/>
      <c r="AM35" s="372"/>
      <c r="AN35" s="372"/>
      <c r="AO35" s="372"/>
      <c r="AP35" s="373"/>
      <c r="AQ35" s="372"/>
      <c r="AR35" s="374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1"/>
      <c r="AA36" s="381"/>
      <c r="AB36" s="381"/>
      <c r="AC36" s="381"/>
      <c r="AD36" s="381"/>
      <c r="AE36" s="381"/>
      <c r="AF36" s="381"/>
      <c r="AG36" s="381"/>
      <c r="AH36" s="381"/>
      <c r="AI36" s="381"/>
      <c r="AJ36" s="381"/>
      <c r="AK36" s="381"/>
      <c r="AL36" s="381"/>
      <c r="AM36" s="381"/>
      <c r="AN36" s="381"/>
      <c r="AO36" s="381"/>
      <c r="AP36" s="381"/>
      <c r="AQ36" s="381"/>
      <c r="AR36" s="381"/>
      <c r="AS36" s="212">
        <f t="shared" si="4" ref="AS36:AS39">SUM(N36:AR36)</f>
        <v>0.0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375"/>
      <c r="O37" s="375"/>
      <c r="P37" s="375"/>
      <c r="Q37" s="375"/>
      <c r="R37" s="375"/>
      <c r="S37" s="375"/>
      <c r="T37" s="375"/>
      <c r="U37" s="375"/>
      <c r="V37" s="375"/>
      <c r="W37" s="375"/>
      <c r="X37" s="375"/>
      <c r="Y37" s="375"/>
      <c r="Z37" s="375"/>
      <c r="AA37" s="375"/>
      <c r="AB37" s="375"/>
      <c r="AC37" s="375"/>
      <c r="AD37" s="375"/>
      <c r="AE37" s="375"/>
      <c r="AF37" s="375"/>
      <c r="AG37" s="375"/>
      <c r="AH37" s="375"/>
      <c r="AI37" s="375"/>
      <c r="AJ37" s="375"/>
      <c r="AK37" s="375"/>
      <c r="AL37" s="375"/>
      <c r="AM37" s="375"/>
      <c r="AN37" s="375"/>
      <c r="AO37" s="375"/>
      <c r="AP37" s="375"/>
      <c r="AQ37" s="375"/>
      <c r="AR37" s="375"/>
      <c r="AS37" s="214">
        <f t="shared" si="4"/>
        <v>0.0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184">
        <f t="shared" si="4"/>
        <v>0.0</v>
      </c>
      <c r="AT38" s="190" t="e">
        <f>(AS38/(AS36-AS37))*100%</f>
        <v>#DIV/0!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76"/>
      <c r="AA39" s="376"/>
      <c r="AB39" s="376"/>
      <c r="AC39" s="376"/>
      <c r="AD39" s="376"/>
      <c r="AE39" s="376"/>
      <c r="AF39" s="376"/>
      <c r="AG39" s="376"/>
      <c r="AH39" s="376"/>
      <c r="AI39" s="376"/>
      <c r="AJ39" s="376"/>
      <c r="AK39" s="376"/>
      <c r="AL39" s="376"/>
      <c r="AM39" s="376"/>
      <c r="AN39" s="376"/>
      <c r="AO39" s="376"/>
      <c r="AP39" s="376"/>
      <c r="AQ39" s="376"/>
      <c r="AR39" s="376"/>
      <c r="AS39" s="215">
        <f t="shared" si="4"/>
        <v>0.0</v>
      </c>
      <c r="AT39" s="193" t="e">
        <f>(AS39/(AS36-AS37))*100%</f>
        <v>#DIV/0!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78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79"/>
      <c r="AA40" s="379"/>
      <c r="AB40" s="379"/>
      <c r="AC40" s="379"/>
      <c r="AD40" s="379"/>
      <c r="AE40" s="379"/>
      <c r="AF40" s="379"/>
      <c r="AG40" s="379"/>
      <c r="AH40" s="379"/>
      <c r="AI40" s="379"/>
      <c r="AJ40" s="379"/>
      <c r="AK40" s="379"/>
      <c r="AL40" s="379"/>
      <c r="AM40" s="379"/>
      <c r="AN40" s="379"/>
      <c r="AO40" s="379"/>
      <c r="AP40" s="379"/>
      <c r="AQ40" s="379"/>
      <c r="AR40" s="380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154">
        <f>F41+AS44-AS48+AS49</f>
        <v>0.0</v>
      </c>
      <c r="E41" s="155"/>
      <c r="F41" s="156">
        <v>0.0</v>
      </c>
      <c r="G41" s="218"/>
      <c r="H41" s="158"/>
      <c r="I41" s="159"/>
      <c r="J41" s="160"/>
      <c r="K41" s="161"/>
      <c r="L41" s="162"/>
      <c r="M41" s="163" t="s">
        <v>130</v>
      </c>
      <c r="N41" s="372"/>
      <c r="O41" s="372"/>
      <c r="P41" s="372"/>
      <c r="Q41" s="372"/>
      <c r="R41" s="372"/>
      <c r="S41" s="372"/>
      <c r="T41" s="372"/>
      <c r="U41" s="373"/>
      <c r="V41" s="372"/>
      <c r="W41" s="372"/>
      <c r="X41" s="372"/>
      <c r="Y41" s="372"/>
      <c r="Z41" s="372"/>
      <c r="AA41" s="372"/>
      <c r="AB41" s="373"/>
      <c r="AC41" s="372"/>
      <c r="AD41" s="372"/>
      <c r="AE41" s="372"/>
      <c r="AF41" s="372"/>
      <c r="AG41" s="372"/>
      <c r="AH41" s="372"/>
      <c r="AI41" s="373"/>
      <c r="AJ41" s="372"/>
      <c r="AK41" s="372"/>
      <c r="AL41" s="372"/>
      <c r="AM41" s="372"/>
      <c r="AN41" s="372"/>
      <c r="AO41" s="372"/>
      <c r="AP41" s="373"/>
      <c r="AQ41" s="372"/>
      <c r="AR41" s="374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81"/>
      <c r="AB42" s="381"/>
      <c r="AC42" s="381"/>
      <c r="AD42" s="381"/>
      <c r="AE42" s="381"/>
      <c r="AF42" s="381"/>
      <c r="AG42" s="381"/>
      <c r="AH42" s="381"/>
      <c r="AI42" s="381"/>
      <c r="AJ42" s="381"/>
      <c r="AK42" s="381"/>
      <c r="AL42" s="381"/>
      <c r="AM42" s="381"/>
      <c r="AN42" s="381"/>
      <c r="AO42" s="381"/>
      <c r="AP42" s="381"/>
      <c r="AQ42" s="381"/>
      <c r="AR42" s="381"/>
      <c r="AS42" s="212">
        <f t="shared" si="5" ref="AS42:AS45">SUM(N42:AR42)</f>
        <v>0.0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375"/>
      <c r="Z43" s="375"/>
      <c r="AA43" s="375"/>
      <c r="AB43" s="375"/>
      <c r="AC43" s="375"/>
      <c r="AD43" s="375"/>
      <c r="AE43" s="375"/>
      <c r="AF43" s="375"/>
      <c r="AG43" s="375"/>
      <c r="AH43" s="375"/>
      <c r="AI43" s="375"/>
      <c r="AJ43" s="375"/>
      <c r="AK43" s="375"/>
      <c r="AL43" s="375"/>
      <c r="AM43" s="375"/>
      <c r="AN43" s="375"/>
      <c r="AO43" s="375"/>
      <c r="AP43" s="375"/>
      <c r="AQ43" s="375"/>
      <c r="AR43" s="375"/>
      <c r="AS43" s="214">
        <f t="shared" si="5"/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  <c r="AJ44" s="283"/>
      <c r="AK44" s="283"/>
      <c r="AL44" s="283"/>
      <c r="AM44" s="283"/>
      <c r="AN44" s="283"/>
      <c r="AO44" s="283"/>
      <c r="AP44" s="283"/>
      <c r="AQ44" s="283"/>
      <c r="AR44" s="283"/>
      <c r="AS44" s="184">
        <f t="shared" si="5"/>
        <v>0.0</v>
      </c>
      <c r="AT44" s="190" t="e">
        <f>(AS44/(AS42-AS43))*100%</f>
        <v>#DIV/0!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376"/>
      <c r="O45" s="376"/>
      <c r="P45" s="376"/>
      <c r="Q45" s="376"/>
      <c r="R45" s="376"/>
      <c r="S45" s="376"/>
      <c r="T45" s="376"/>
      <c r="U45" s="376"/>
      <c r="V45" s="376"/>
      <c r="W45" s="376"/>
      <c r="X45" s="376"/>
      <c r="Y45" s="376"/>
      <c r="Z45" s="376"/>
      <c r="AA45" s="376"/>
      <c r="AB45" s="376"/>
      <c r="AC45" s="376"/>
      <c r="AD45" s="376"/>
      <c r="AE45" s="376"/>
      <c r="AF45" s="376"/>
      <c r="AG45" s="376"/>
      <c r="AH45" s="376"/>
      <c r="AI45" s="376"/>
      <c r="AJ45" s="376"/>
      <c r="AK45" s="376"/>
      <c r="AL45" s="376"/>
      <c r="AM45" s="376"/>
      <c r="AN45" s="376"/>
      <c r="AO45" s="376"/>
      <c r="AP45" s="376"/>
      <c r="AQ45" s="376"/>
      <c r="AR45" s="376"/>
      <c r="AS45" s="215">
        <f t="shared" si="5"/>
        <v>0.0</v>
      </c>
      <c r="AT45" s="193" t="e">
        <f>(AS45/(AS42-AS43))*100%</f>
        <v>#DIV/0!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78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  <c r="AG46" s="379"/>
      <c r="AH46" s="379"/>
      <c r="AI46" s="379"/>
      <c r="AJ46" s="379"/>
      <c r="AK46" s="379"/>
      <c r="AL46" s="379"/>
      <c r="AM46" s="379"/>
      <c r="AN46" s="379"/>
      <c r="AO46" s="379"/>
      <c r="AP46" s="379"/>
      <c r="AQ46" s="379"/>
      <c r="AR46" s="380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372"/>
      <c r="O47" s="372"/>
      <c r="P47" s="372"/>
      <c r="Q47" s="372"/>
      <c r="R47" s="372"/>
      <c r="S47" s="372"/>
      <c r="T47" s="372"/>
      <c r="U47" s="373"/>
      <c r="V47" s="372"/>
      <c r="W47" s="372"/>
      <c r="X47" s="372"/>
      <c r="Y47" s="372"/>
      <c r="Z47" s="372"/>
      <c r="AA47" s="372"/>
      <c r="AB47" s="373"/>
      <c r="AC47" s="372"/>
      <c r="AD47" s="372"/>
      <c r="AE47" s="372"/>
      <c r="AF47" s="372"/>
      <c r="AG47" s="372"/>
      <c r="AH47" s="372"/>
      <c r="AI47" s="373"/>
      <c r="AJ47" s="372"/>
      <c r="AK47" s="372"/>
      <c r="AL47" s="372"/>
      <c r="AM47" s="372"/>
      <c r="AN47" s="372"/>
      <c r="AO47" s="372"/>
      <c r="AP47" s="373"/>
      <c r="AQ47" s="372"/>
      <c r="AR47" s="374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381"/>
      <c r="AB48" s="381"/>
      <c r="AC48" s="381"/>
      <c r="AD48" s="381"/>
      <c r="AE48" s="381"/>
      <c r="AF48" s="381"/>
      <c r="AG48" s="381"/>
      <c r="AH48" s="381"/>
      <c r="AI48" s="381"/>
      <c r="AJ48" s="381"/>
      <c r="AK48" s="381"/>
      <c r="AL48" s="381"/>
      <c r="AM48" s="381"/>
      <c r="AN48" s="381"/>
      <c r="AO48" s="381"/>
      <c r="AP48" s="381"/>
      <c r="AQ48" s="381"/>
      <c r="AR48" s="381"/>
      <c r="AS48" s="212">
        <f t="shared" si="6" ref="AS48:AS51">SUM(N48:AR48)</f>
        <v>0.0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75"/>
      <c r="AA49" s="375"/>
      <c r="AB49" s="375"/>
      <c r="AC49" s="375"/>
      <c r="AD49" s="375"/>
      <c r="AE49" s="375"/>
      <c r="AF49" s="375"/>
      <c r="AG49" s="375"/>
      <c r="AH49" s="375"/>
      <c r="AI49" s="375"/>
      <c r="AJ49" s="375"/>
      <c r="AK49" s="375"/>
      <c r="AL49" s="375"/>
      <c r="AM49" s="375"/>
      <c r="AN49" s="375"/>
      <c r="AO49" s="375"/>
      <c r="AP49" s="375"/>
      <c r="AQ49" s="375"/>
      <c r="AR49" s="375"/>
      <c r="AS49" s="214">
        <f t="shared" si="6"/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  <c r="AJ50" s="283"/>
      <c r="AK50" s="283"/>
      <c r="AL50" s="283"/>
      <c r="AM50" s="283"/>
      <c r="AN50" s="283"/>
      <c r="AO50" s="283"/>
      <c r="AP50" s="283"/>
      <c r="AQ50" s="283"/>
      <c r="AR50" s="283"/>
      <c r="AS50" s="184">
        <f t="shared" si="6"/>
        <v>0.0</v>
      </c>
      <c r="AT50" s="190" t="e">
        <f>(AS50/(AS48-AS49))*100%</f>
        <v>#DIV/0!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376"/>
      <c r="O51" s="376"/>
      <c r="P51" s="376"/>
      <c r="Q51" s="376"/>
      <c r="R51" s="376"/>
      <c r="S51" s="376"/>
      <c r="T51" s="376"/>
      <c r="U51" s="376"/>
      <c r="V51" s="376"/>
      <c r="W51" s="376"/>
      <c r="X51" s="376"/>
      <c r="Y51" s="376"/>
      <c r="Z51" s="376"/>
      <c r="AA51" s="376"/>
      <c r="AB51" s="376"/>
      <c r="AC51" s="376"/>
      <c r="AD51" s="376"/>
      <c r="AE51" s="376"/>
      <c r="AF51" s="376"/>
      <c r="AG51" s="376"/>
      <c r="AH51" s="376"/>
      <c r="AI51" s="376"/>
      <c r="AJ51" s="376"/>
      <c r="AK51" s="376"/>
      <c r="AL51" s="376"/>
      <c r="AM51" s="376"/>
      <c r="AN51" s="376"/>
      <c r="AO51" s="376"/>
      <c r="AP51" s="376"/>
      <c r="AQ51" s="376"/>
      <c r="AR51" s="376"/>
      <c r="AS51" s="215">
        <f t="shared" si="6"/>
        <v>0.0</v>
      </c>
      <c r="AT51" s="193" t="e">
        <f>(AS51/(AS48-AS49))*100%</f>
        <v>#DIV/0!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78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79"/>
      <c r="AB52" s="379"/>
      <c r="AC52" s="379"/>
      <c r="AD52" s="379"/>
      <c r="AE52" s="379"/>
      <c r="AF52" s="379"/>
      <c r="AG52" s="379"/>
      <c r="AH52" s="379"/>
      <c r="AI52" s="379"/>
      <c r="AJ52" s="379"/>
      <c r="AK52" s="379"/>
      <c r="AL52" s="379"/>
      <c r="AM52" s="379"/>
      <c r="AN52" s="379"/>
      <c r="AO52" s="379"/>
      <c r="AP52" s="379"/>
      <c r="AQ52" s="379"/>
      <c r="AR52" s="380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218"/>
      <c r="H53" s="233"/>
      <c r="I53" s="234"/>
      <c r="J53" s="234"/>
      <c r="K53" s="160"/>
      <c r="L53" s="162"/>
      <c r="M53" s="163" t="s">
        <v>130</v>
      </c>
      <c r="N53" s="372"/>
      <c r="O53" s="372"/>
      <c r="P53" s="372"/>
      <c r="Q53" s="372"/>
      <c r="R53" s="372"/>
      <c r="S53" s="372"/>
      <c r="T53" s="372"/>
      <c r="U53" s="373"/>
      <c r="V53" s="372"/>
      <c r="W53" s="372"/>
      <c r="X53" s="372"/>
      <c r="Y53" s="372"/>
      <c r="Z53" s="372"/>
      <c r="AA53" s="372"/>
      <c r="AB53" s="373"/>
      <c r="AC53" s="372"/>
      <c r="AD53" s="372"/>
      <c r="AE53" s="372"/>
      <c r="AF53" s="372"/>
      <c r="AG53" s="372"/>
      <c r="AH53" s="372"/>
      <c r="AI53" s="373"/>
      <c r="AJ53" s="372"/>
      <c r="AK53" s="372"/>
      <c r="AL53" s="372"/>
      <c r="AM53" s="372"/>
      <c r="AN53" s="372"/>
      <c r="AO53" s="372"/>
      <c r="AP53" s="373"/>
      <c r="AQ53" s="372"/>
      <c r="AR53" s="374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381"/>
      <c r="Z54" s="381"/>
      <c r="AA54" s="381"/>
      <c r="AB54" s="381"/>
      <c r="AC54" s="381"/>
      <c r="AD54" s="381"/>
      <c r="AE54" s="381"/>
      <c r="AF54" s="381"/>
      <c r="AG54" s="381"/>
      <c r="AH54" s="381"/>
      <c r="AI54" s="381"/>
      <c r="AJ54" s="381"/>
      <c r="AK54" s="381"/>
      <c r="AL54" s="381"/>
      <c r="AM54" s="381"/>
      <c r="AN54" s="381"/>
      <c r="AO54" s="381"/>
      <c r="AP54" s="381"/>
      <c r="AQ54" s="381"/>
      <c r="AR54" s="381"/>
      <c r="AS54" s="212">
        <f t="shared" si="7" ref="AS54:AS57">SUM(N54:AR54)</f>
        <v>0.0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375"/>
      <c r="AE55" s="375"/>
      <c r="AF55" s="375"/>
      <c r="AG55" s="375"/>
      <c r="AH55" s="375"/>
      <c r="AI55" s="375"/>
      <c r="AJ55" s="375"/>
      <c r="AK55" s="375"/>
      <c r="AL55" s="375"/>
      <c r="AM55" s="375"/>
      <c r="AN55" s="375"/>
      <c r="AO55" s="375"/>
      <c r="AP55" s="375"/>
      <c r="AQ55" s="375"/>
      <c r="AR55" s="375"/>
      <c r="AS55" s="214">
        <f t="shared" si="7"/>
        <v>0.0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3"/>
      <c r="AF56" s="283"/>
      <c r="AG56" s="283"/>
      <c r="AH56" s="283"/>
      <c r="AI56" s="283"/>
      <c r="AJ56" s="283"/>
      <c r="AK56" s="283"/>
      <c r="AL56" s="283"/>
      <c r="AM56" s="283"/>
      <c r="AN56" s="283"/>
      <c r="AO56" s="283"/>
      <c r="AP56" s="283"/>
      <c r="AQ56" s="283"/>
      <c r="AR56" s="283"/>
      <c r="AS56" s="184">
        <f t="shared" si="7"/>
        <v>0.0</v>
      </c>
      <c r="AT56" s="190" t="e">
        <f>(AS56/(AS54-AS55))*100%</f>
        <v>#DIV/0!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376"/>
      <c r="AB57" s="376"/>
      <c r="AC57" s="376"/>
      <c r="AD57" s="376"/>
      <c r="AE57" s="376"/>
      <c r="AF57" s="376"/>
      <c r="AG57" s="376"/>
      <c r="AH57" s="376"/>
      <c r="AI57" s="376"/>
      <c r="AJ57" s="376"/>
      <c r="AK57" s="376"/>
      <c r="AL57" s="376"/>
      <c r="AM57" s="376"/>
      <c r="AN57" s="376"/>
      <c r="AO57" s="376"/>
      <c r="AP57" s="376"/>
      <c r="AQ57" s="376"/>
      <c r="AR57" s="376"/>
      <c r="AS57" s="215">
        <f t="shared" si="7"/>
        <v>0.0</v>
      </c>
      <c r="AT57" s="193" t="e">
        <f>(AS57/(AS54-AS55))*100%</f>
        <v>#DIV/0!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0.0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  <c r="AH58" s="382"/>
      <c r="AI58" s="382"/>
      <c r="AJ58" s="382"/>
      <c r="AK58" s="382"/>
      <c r="AL58" s="382"/>
      <c r="AM58" s="382"/>
      <c r="AN58" s="382"/>
      <c r="AO58" s="382"/>
      <c r="AP58" s="382"/>
      <c r="AQ58" s="382"/>
      <c r="AR58" s="383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384"/>
      <c r="AS59" s="263">
        <f>SUM(N59:AR59)</f>
        <v>0.0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Q34"/>
  <sheetViews>
    <sheetView workbookViewId="0" topLeftCell="B1" zoomScale="30">
      <selection activeCell="L11" sqref="L11"/>
    </sheetView>
  </sheetViews>
  <sheetFormatPr defaultRowHeight="14.0" defaultColWidth="9"/>
  <cols>
    <col min="1" max="1" customWidth="1" width="6.8515625" style="59"/>
    <col min="2" max="2" customWidth="1" width="24.570312" style="59"/>
    <col min="3" max="3" customWidth="1" width="9.8515625" style="59"/>
    <col min="4" max="4" customWidth="1" width="28.132812" style="59"/>
    <col min="5" max="5" customWidth="1" width="15.5703125" style="59"/>
    <col min="6" max="8" customWidth="1" width="20.570312" style="59"/>
    <col min="9" max="9" customWidth="1" width="24.542969" style="59"/>
    <col min="10" max="11" customWidth="1" width="21.589844" style="59"/>
    <col min="12" max="12" customWidth="1" width="30.632812" style="59"/>
    <col min="13" max="13" customWidth="1" width="14.707031" style="60"/>
    <col min="14" max="14" customWidth="1" width="16.425781" style="60"/>
    <col min="15" max="15" customWidth="1" width="17.0" style="60"/>
    <col min="16" max="16" customWidth="1" width="9.1328125" style="61"/>
    <col min="17" max="17" customWidth="1" width="15.28125" style="59"/>
    <col min="18" max="18" customWidth="1" width="15.707031" style="59"/>
    <col min="19" max="19" customWidth="0" width="9.0" style="59"/>
    <col min="20" max="20" customWidth="1" width="18.707031" style="59"/>
    <col min="21" max="16384" customWidth="0" width="9.0" style="59"/>
  </cols>
  <sheetData>
    <row r="1" spans="8:8" s="62" ht="45.95" customFormat="1" customHeight="1">
      <c r="A1" s="63" t="s">
        <v>57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8:8" s="62" ht="28.0" customFormat="1">
      <c r="A2" s="64" t="s">
        <v>58</v>
      </c>
      <c r="B2" s="64"/>
      <c r="C2" s="64"/>
      <c r="D2" s="64"/>
      <c r="E2" s="65"/>
      <c r="F2" s="65"/>
      <c r="G2" s="65"/>
      <c r="H2" s="65"/>
      <c r="I2" s="65"/>
      <c r="J2" s="65"/>
      <c r="K2" s="65"/>
      <c r="L2" s="65"/>
      <c r="N2" s="66" t="s">
        <v>59</v>
      </c>
      <c r="O2" s="67">
        <v>44219.0</v>
      </c>
      <c r="P2" s="67"/>
    </row>
    <row r="3" spans="8:8" ht="9.95" customHeight="1">
      <c r="B3" s="68"/>
      <c r="C3" s="68"/>
      <c r="D3" s="68"/>
    </row>
    <row r="4" spans="8:8" ht="66.75" customHeight="1">
      <c r="A4" s="69"/>
      <c r="B4" s="70" t="s">
        <v>60</v>
      </c>
      <c r="C4" s="70" t="s">
        <v>61</v>
      </c>
      <c r="D4" s="70" t="s">
        <v>62</v>
      </c>
      <c r="E4" s="71" t="s">
        <v>63</v>
      </c>
      <c r="F4" s="71" t="s">
        <v>64</v>
      </c>
      <c r="G4" s="71" t="s">
        <v>65</v>
      </c>
      <c r="H4" s="72" t="s">
        <v>66</v>
      </c>
      <c r="I4" s="72" t="s">
        <v>67</v>
      </c>
      <c r="J4" s="73" t="s">
        <v>68</v>
      </c>
      <c r="K4" s="71" t="s">
        <v>23</v>
      </c>
      <c r="L4" s="71" t="s">
        <v>69</v>
      </c>
      <c r="M4" s="74" t="s">
        <v>70</v>
      </c>
      <c r="N4" s="75" t="s">
        <v>71</v>
      </c>
      <c r="O4" s="75" t="s">
        <v>72</v>
      </c>
      <c r="P4" s="76" t="s">
        <v>73</v>
      </c>
    </row>
    <row r="5" spans="8:8" ht="38.1" customHeight="1">
      <c r="A5" s="77" t="s">
        <v>13</v>
      </c>
      <c r="B5" s="78" t="s">
        <v>14</v>
      </c>
      <c r="C5" s="79" t="s">
        <v>74</v>
      </c>
      <c r="D5" s="80" t="s">
        <v>16</v>
      </c>
      <c r="E5" s="81">
        <f>941821-149208-7-151318-20-161669-7-158951-25-161655-13+2159998-165122-11-169715-5-144109-3-182465-16-174177-1-159135-7-128395-14+1341571-121449-12-123532-15-140953-13-163008-14-158879-13-164595-14-146134-26-113335-12</f>
        <v>1405338.0</v>
      </c>
      <c r="F5" s="82">
        <f>1426494+149208-122332-21+151318-123917-15+161669-143127-25+158951-150389-21+161655-129199-31+165122-157510-30+169715-136764-39-2081-7800-7739+144109-117632-28+182465-152185-38+171177-136741-16+159135-127175-20+128395-115934-17+121449-116669-8+123532-89689-15+140953-115654-10+163008-124664-15+158879-131370-26+164595-129830-23+146134-131772-30+113335-106120-21</f>
        <v>1884556.0</v>
      </c>
      <c r="G5" s="83">
        <f>'515637-07-12'!D17</f>
        <v>0.0</v>
      </c>
      <c r="H5" s="84">
        <f>'515637-07-12'!D23</f>
        <v>0.0</v>
      </c>
      <c r="I5" s="84">
        <f>'515637-07-12'!D29</f>
        <v>0.0</v>
      </c>
      <c r="J5" s="84">
        <f>'515637-07-12'!D35</f>
        <v>0.0</v>
      </c>
      <c r="K5" s="84">
        <f>'515637-07-12'!D41</f>
        <v>77384.0</v>
      </c>
      <c r="L5" s="84">
        <f>'515637-07-12'!D47</f>
        <v>0.0</v>
      </c>
      <c r="M5" s="85">
        <f>SUM(G5:L5)</f>
        <v>77384.0</v>
      </c>
      <c r="N5" s="86">
        <f>'515637-07-12'!E53</f>
        <v>0.0</v>
      </c>
      <c r="O5" s="87">
        <f>M5+N5</f>
        <v>77384.0</v>
      </c>
      <c r="P5" s="88">
        <v>684.0</v>
      </c>
    </row>
    <row r="6" spans="8:8" ht="38.1" customHeight="1">
      <c r="A6" s="89"/>
      <c r="B6" s="78" t="s">
        <v>26</v>
      </c>
      <c r="C6" s="79" t="s">
        <v>74</v>
      </c>
      <c r="D6" s="80" t="s">
        <v>27</v>
      </c>
      <c r="E6" s="90"/>
      <c r="F6" s="91"/>
      <c r="G6" s="84">
        <f>'515638-07-12'!D17</f>
        <v>39653.0</v>
      </c>
      <c r="H6" s="84">
        <f>'515638-07-12'!D23</f>
        <v>10538.0</v>
      </c>
      <c r="I6" s="84">
        <f>'515638-07-12'!D29</f>
        <v>0.0</v>
      </c>
      <c r="J6" s="84">
        <f>'515638-07-12'!D35</f>
        <v>0.0</v>
      </c>
      <c r="K6" s="84">
        <f>'515638-07-12'!D41</f>
        <v>597289.0</v>
      </c>
      <c r="L6" s="84">
        <f>'515638-07-12'!D47</f>
        <v>0.0</v>
      </c>
      <c r="M6" s="85">
        <f t="shared" si="0" ref="M6:M18">SUM(E6:L6)</f>
        <v>647480.0</v>
      </c>
      <c r="N6" s="86">
        <f>'515638-07-12'!E53</f>
        <v>0.0</v>
      </c>
      <c r="O6" s="87">
        <f>M6+N6</f>
        <v>647480.0</v>
      </c>
      <c r="P6" s="88">
        <v>1752.0</v>
      </c>
    </row>
    <row r="7" spans="8:8" ht="38.1" customHeight="1">
      <c r="A7" s="89"/>
      <c r="B7" s="78" t="s">
        <v>30</v>
      </c>
      <c r="C7" s="79" t="s">
        <v>74</v>
      </c>
      <c r="D7" s="80" t="s">
        <v>31</v>
      </c>
      <c r="E7" s="90"/>
      <c r="F7" s="91"/>
      <c r="G7" s="84">
        <f>'515639-07-12'!D17</f>
        <v>0.0</v>
      </c>
      <c r="H7" s="84">
        <f>'515639-07-12'!D23</f>
        <v>0.0</v>
      </c>
      <c r="I7" s="84">
        <f>'515639-07-12'!D29</f>
        <v>0.0</v>
      </c>
      <c r="J7" s="84">
        <f>'515639-07-12'!D35</f>
        <v>0.0</v>
      </c>
      <c r="K7" s="84">
        <f>'515639-07-12'!D41</f>
        <v>32957.0</v>
      </c>
      <c r="L7" s="84">
        <f>'515639-07-12'!D47</f>
        <v>0.0</v>
      </c>
      <c r="M7" s="85">
        <f t="shared" si="0"/>
        <v>32957.0</v>
      </c>
      <c r="N7" s="86">
        <f>'515639-07-12'!E53</f>
        <v>129.0</v>
      </c>
      <c r="O7" s="87">
        <f>M7+N7</f>
        <v>33086.0</v>
      </c>
      <c r="P7" s="88">
        <v>1848.0</v>
      </c>
    </row>
    <row r="8" spans="8:8" ht="38.1" customHeight="1">
      <c r="A8" s="89"/>
      <c r="B8" s="78" t="s">
        <v>34</v>
      </c>
      <c r="C8" s="79" t="s">
        <v>74</v>
      </c>
      <c r="D8" s="80" t="s">
        <v>35</v>
      </c>
      <c r="E8" s="90"/>
      <c r="F8" s="91"/>
      <c r="G8" s="84">
        <f>'515641-07-12'!D17</f>
        <v>0.0</v>
      </c>
      <c r="H8" s="84">
        <f>'515641-07-12'!D23</f>
        <v>29259.0</v>
      </c>
      <c r="I8" s="84">
        <f>'515641-07-12'!D29</f>
        <v>0.0</v>
      </c>
      <c r="J8" s="84">
        <f>'515641-07-12'!D35</f>
        <v>0.0</v>
      </c>
      <c r="K8" s="84">
        <f>'515641-07-12'!D41</f>
        <v>162153.0</v>
      </c>
      <c r="L8" s="84">
        <f>'515641-07-12'!D47</f>
        <v>0.0</v>
      </c>
      <c r="M8" s="85">
        <f t="shared" si="0"/>
        <v>191412.0</v>
      </c>
      <c r="N8" s="86">
        <f>'515641-07-12'!E53</f>
        <v>18229.0</v>
      </c>
      <c r="O8" s="87">
        <f>M8+N8</f>
        <v>209641.0</v>
      </c>
      <c r="P8" s="88">
        <v>505.0</v>
      </c>
    </row>
    <row r="9" spans="8:8" ht="38.1" customHeight="1">
      <c r="A9" s="89"/>
      <c r="B9" s="78" t="s">
        <v>36</v>
      </c>
      <c r="C9" s="79" t="s">
        <v>74</v>
      </c>
      <c r="D9" s="80" t="s">
        <v>37</v>
      </c>
      <c r="E9" s="90"/>
      <c r="F9" s="91"/>
      <c r="G9" s="84">
        <f>'515642-07-12'!D17</f>
        <v>0.0</v>
      </c>
      <c r="H9" s="84">
        <f>'515642-07-12'!D23</f>
        <v>0.0</v>
      </c>
      <c r="I9" s="84">
        <f>'515642-07-12'!D29</f>
        <v>0.0</v>
      </c>
      <c r="J9" s="84">
        <f>'515642-07-12'!D35</f>
        <v>0.0</v>
      </c>
      <c r="K9" s="84">
        <f>'515642-07-12'!D41</f>
        <v>47301.0</v>
      </c>
      <c r="L9" s="84">
        <f>'515642-07-12'!D47</f>
        <v>0.0</v>
      </c>
      <c r="M9" s="85">
        <f t="shared" si="0"/>
        <v>47301.0</v>
      </c>
      <c r="N9" s="86">
        <f>'515642-07-12'!E53</f>
        <v>0.0</v>
      </c>
      <c r="O9" s="87">
        <f>M9+N9</f>
        <v>47301.0</v>
      </c>
      <c r="P9" s="92">
        <v>1549.0</v>
      </c>
    </row>
    <row r="10" spans="8:8" ht="38.1" customHeight="1">
      <c r="A10" s="89"/>
      <c r="B10" s="78" t="s">
        <v>38</v>
      </c>
      <c r="C10" s="79" t="s">
        <v>74</v>
      </c>
      <c r="D10" s="80" t="s">
        <v>39</v>
      </c>
      <c r="E10" s="90"/>
      <c r="F10" s="91"/>
      <c r="G10" s="84">
        <f>'515643-07-12'!D17</f>
        <v>0.0</v>
      </c>
      <c r="H10" s="84">
        <f>'515643-07-12'!D23</f>
        <v>0.0</v>
      </c>
      <c r="I10" s="84">
        <f>'515643-07-12'!D29</f>
        <v>0.0</v>
      </c>
      <c r="J10" s="84">
        <f>'515643-07-12'!D35</f>
        <v>0.0</v>
      </c>
      <c r="K10" s="84">
        <f>'515643-07-12'!D41</f>
        <v>84657.0</v>
      </c>
      <c r="L10" s="84">
        <f>'515643-07-12'!D47</f>
        <v>0.0</v>
      </c>
      <c r="M10" s="85">
        <f t="shared" si="0"/>
        <v>84657.0</v>
      </c>
      <c r="N10" s="86">
        <f>'515643-07-12'!E53</f>
        <v>0.0</v>
      </c>
      <c r="O10" s="87">
        <f t="shared" si="1" ref="O10:O17">M10+N10</f>
        <v>84657.0</v>
      </c>
      <c r="P10" s="92">
        <v>1230.0</v>
      </c>
    </row>
    <row r="11" spans="8:8" ht="38.1" customHeight="1">
      <c r="A11" s="89"/>
      <c r="B11" s="78" t="s">
        <v>40</v>
      </c>
      <c r="C11" s="79" t="s">
        <v>74</v>
      </c>
      <c r="D11" s="80" t="s">
        <v>41</v>
      </c>
      <c r="E11" s="90"/>
      <c r="F11" s="91"/>
      <c r="G11" s="84">
        <f>'515644-07-12'!D17</f>
        <v>33258.0</v>
      </c>
      <c r="H11" s="84">
        <f>'515644-07-12'!D23</f>
        <v>113721.0</v>
      </c>
      <c r="I11" s="84">
        <f>'515644-07-12'!D29</f>
        <v>0.0</v>
      </c>
      <c r="J11" s="84">
        <f>'515644-07-12'!D35</f>
        <v>0.0</v>
      </c>
      <c r="K11" s="84">
        <f>'515644-07-12'!D41</f>
        <v>401887.0</v>
      </c>
      <c r="L11" s="84">
        <f>'515644-07-12'!D47</f>
        <v>0.0</v>
      </c>
      <c r="M11" s="85">
        <f t="shared" si="0"/>
        <v>548866.0</v>
      </c>
      <c r="N11" s="86">
        <f>'515644-07-12'!E53</f>
        <v>0.0</v>
      </c>
      <c r="O11" s="87">
        <f t="shared" si="1"/>
        <v>548866.0</v>
      </c>
      <c r="P11" s="92">
        <v>577.0</v>
      </c>
    </row>
    <row r="12" spans="8:8" ht="38.1" customHeight="1">
      <c r="A12" s="89"/>
      <c r="B12" s="78" t="s">
        <v>42</v>
      </c>
      <c r="C12" s="79" t="s">
        <v>74</v>
      </c>
      <c r="D12" s="80" t="s">
        <v>43</v>
      </c>
      <c r="E12" s="90"/>
      <c r="F12" s="91"/>
      <c r="G12" s="84">
        <f>'515646-07-12'!D17</f>
        <v>0.0</v>
      </c>
      <c r="H12" s="84">
        <f>'515646-07-12'!D23</f>
        <v>0.0</v>
      </c>
      <c r="I12" s="84">
        <f>'515646-07-12'!D29</f>
        <v>0.0</v>
      </c>
      <c r="J12" s="84">
        <f>'515646-07-12'!D35</f>
        <v>0.0</v>
      </c>
      <c r="K12" s="84">
        <f>'515646-07-12'!D41</f>
        <v>0.0</v>
      </c>
      <c r="L12" s="84">
        <f>'515646-07-12'!D47</f>
        <v>0.0</v>
      </c>
      <c r="M12" s="85">
        <f t="shared" si="0"/>
        <v>0.0</v>
      </c>
      <c r="N12" s="86">
        <f>'515646-07-12'!E53</f>
        <v>0.0</v>
      </c>
      <c r="O12" s="87">
        <f t="shared" si="1"/>
        <v>0.0</v>
      </c>
      <c r="P12" s="92">
        <v>1350.0</v>
      </c>
    </row>
    <row r="13" spans="8:8" ht="38.1" customHeight="1">
      <c r="A13" s="89"/>
      <c r="B13" s="78" t="s">
        <v>44</v>
      </c>
      <c r="C13" s="79" t="s">
        <v>74</v>
      </c>
      <c r="D13" s="80" t="s">
        <v>45</v>
      </c>
      <c r="E13" s="90"/>
      <c r="F13" s="91"/>
      <c r="G13" s="84">
        <f>'515650-07-12'!D17</f>
        <v>0.0</v>
      </c>
      <c r="H13" s="84">
        <f>'515650-07-12'!D23</f>
        <v>500.0</v>
      </c>
      <c r="I13" s="84">
        <f>'515650-07-12'!D29</f>
        <v>0.0</v>
      </c>
      <c r="J13" s="84">
        <f>'515650-07-12'!D35</f>
        <v>0.0</v>
      </c>
      <c r="K13" s="84">
        <f>'515650-07-12'!D41</f>
        <v>0.0</v>
      </c>
      <c r="L13" s="84">
        <f>'515650-07-12'!D47</f>
        <v>0.0</v>
      </c>
      <c r="M13" s="85">
        <f t="shared" si="0"/>
        <v>500.0</v>
      </c>
      <c r="N13" s="86">
        <f>'515650-07-12'!E53</f>
        <v>0.0</v>
      </c>
      <c r="O13" s="87">
        <f t="shared" si="1"/>
        <v>500.0</v>
      </c>
      <c r="P13" s="92">
        <v>924.0</v>
      </c>
    </row>
    <row r="14" spans="8:8" ht="38.1" customHeight="1">
      <c r="A14" s="89"/>
      <c r="B14" s="78" t="s">
        <v>46</v>
      </c>
      <c r="C14" s="79" t="s">
        <v>74</v>
      </c>
      <c r="D14" s="80" t="s">
        <v>47</v>
      </c>
      <c r="E14" s="90"/>
      <c r="F14" s="91"/>
      <c r="G14" s="84">
        <f>'515652-07-12'!D17</f>
        <v>0.0</v>
      </c>
      <c r="H14" s="84">
        <f>'515652-07-12'!D23</f>
        <v>2981.0</v>
      </c>
      <c r="I14" s="84">
        <f>'515652-07-12'!D29</f>
        <v>0.0</v>
      </c>
      <c r="J14" s="84">
        <f>'515652-07-12'!D35</f>
        <v>0.0</v>
      </c>
      <c r="K14" s="84">
        <f>'515652-07-12'!D41</f>
        <v>0.0</v>
      </c>
      <c r="L14" s="84">
        <f>'515652-07-12'!D47</f>
        <v>0.0</v>
      </c>
      <c r="M14" s="85">
        <f t="shared" si="0"/>
        <v>2981.0</v>
      </c>
      <c r="N14" s="86">
        <f>'515652-07-12'!E53</f>
        <v>29318.0</v>
      </c>
      <c r="O14" s="87">
        <f t="shared" si="1"/>
        <v>32299.0</v>
      </c>
      <c r="P14" s="92">
        <v>1432.0</v>
      </c>
    </row>
    <row r="15" spans="8:8" ht="38.1" customHeight="1">
      <c r="A15" s="89"/>
      <c r="B15" s="78" t="s">
        <v>48</v>
      </c>
      <c r="C15" s="79" t="s">
        <v>74</v>
      </c>
      <c r="D15" s="80" t="s">
        <v>49</v>
      </c>
      <c r="E15" s="90"/>
      <c r="F15" s="91"/>
      <c r="G15" s="84">
        <f>'515654-07-12'!D17</f>
        <v>0.0</v>
      </c>
      <c r="H15" s="84">
        <f>'515654-07-12'!D23</f>
        <v>0.0</v>
      </c>
      <c r="I15" s="84">
        <f>'515654-07-12'!D29</f>
        <v>0.0</v>
      </c>
      <c r="J15" s="84">
        <f>'515654-07-12'!D35</f>
        <v>0.0</v>
      </c>
      <c r="K15" s="84">
        <f>'515654-07-12'!D41</f>
        <v>124636.0</v>
      </c>
      <c r="L15" s="84">
        <f>'515654-07-12'!D47</f>
        <v>0.0</v>
      </c>
      <c r="M15" s="85">
        <f t="shared" si="0"/>
        <v>124636.0</v>
      </c>
      <c r="N15" s="86">
        <f>'515654-07-12'!E53</f>
        <v>0.0</v>
      </c>
      <c r="O15" s="87">
        <f t="shared" si="1"/>
        <v>124636.0</v>
      </c>
      <c r="P15" s="92">
        <v>1188.0</v>
      </c>
    </row>
    <row r="16" spans="8:8" ht="38.1" customHeight="1">
      <c r="A16" s="89"/>
      <c r="B16" s="78" t="s">
        <v>50</v>
      </c>
      <c r="C16" s="79" t="s">
        <v>74</v>
      </c>
      <c r="D16" s="80" t="s">
        <v>51</v>
      </c>
      <c r="E16" s="90"/>
      <c r="F16" s="91"/>
      <c r="G16" s="84">
        <f>'515655-07-12'!D17</f>
        <v>30383.0</v>
      </c>
      <c r="H16" s="84">
        <f>'515655-07-12'!D23</f>
        <v>114300.0</v>
      </c>
      <c r="I16" s="84">
        <f>'515655-07-12'!D29</f>
        <v>0.0</v>
      </c>
      <c r="J16" s="84">
        <f>'515655-07-12'!D35</f>
        <v>0.0</v>
      </c>
      <c r="K16" s="84">
        <f>'515655-07-12'!D41</f>
        <v>265849.0</v>
      </c>
      <c r="L16" s="84">
        <f>'515655-07-12'!D47</f>
        <v>0.0</v>
      </c>
      <c r="M16" s="85">
        <f t="shared" si="0"/>
        <v>410532.0</v>
      </c>
      <c r="N16" s="86">
        <f>'515655-07-12'!E53</f>
        <v>0.0</v>
      </c>
      <c r="O16" s="87">
        <f t="shared" si="1"/>
        <v>410532.0</v>
      </c>
      <c r="P16" s="88">
        <v>573.0</v>
      </c>
    </row>
    <row r="17" spans="8:8" ht="38.1" customHeight="1">
      <c r="A17" s="89"/>
      <c r="B17" s="78" t="s">
        <v>52</v>
      </c>
      <c r="C17" s="79" t="s">
        <v>74</v>
      </c>
      <c r="D17" s="80" t="s">
        <v>53</v>
      </c>
      <c r="E17" s="93"/>
      <c r="F17" s="91"/>
      <c r="G17" s="84">
        <f>'515656-07-12'!D17</f>
        <v>28773.0</v>
      </c>
      <c r="H17" s="84">
        <f>'515656-07-12'!D23</f>
        <v>75867.0</v>
      </c>
      <c r="I17" s="84">
        <f>'515656-07-12'!D29</f>
        <v>0.0</v>
      </c>
      <c r="J17" s="84">
        <f>'515656-07-12'!D35</f>
        <v>0.0</v>
      </c>
      <c r="K17" s="84">
        <f>'515656-07-12'!D41</f>
        <v>23885.0</v>
      </c>
      <c r="L17" s="84">
        <f>'515656-07-12'!D47</f>
        <v>0.0</v>
      </c>
      <c r="M17" s="85">
        <f t="shared" si="0"/>
        <v>128525.0</v>
      </c>
      <c r="N17" s="86">
        <f>'515656-07-12'!E53</f>
        <v>0.0</v>
      </c>
      <c r="O17" s="87">
        <f t="shared" si="1"/>
        <v>128525.0</v>
      </c>
      <c r="P17" s="88">
        <v>561.0</v>
      </c>
    </row>
    <row r="18" spans="8:8" ht="38.1" customHeight="1">
      <c r="A18" s="89"/>
      <c r="B18" s="78" t="s">
        <v>54</v>
      </c>
      <c r="C18" s="79" t="s">
        <v>75</v>
      </c>
      <c r="D18" s="80" t="s">
        <v>56</v>
      </c>
      <c r="E18" s="94"/>
      <c r="F18" s="94"/>
      <c r="G18" s="94"/>
      <c r="H18" s="94"/>
      <c r="I18" s="94"/>
      <c r="J18" s="94"/>
      <c r="K18" s="94"/>
      <c r="L18" s="94"/>
      <c r="M18" s="85">
        <f t="shared" si="0"/>
        <v>0.0</v>
      </c>
      <c r="N18" s="95"/>
      <c r="O18" s="96"/>
      <c r="P18" s="97">
        <v>0.0</v>
      </c>
    </row>
    <row r="19" spans="8:8" ht="62.1" customHeight="1">
      <c r="A19" s="69"/>
      <c r="B19" s="70" t="s">
        <v>60</v>
      </c>
      <c r="C19" s="70" t="s">
        <v>61</v>
      </c>
      <c r="D19" s="70" t="s">
        <v>62</v>
      </c>
      <c r="E19" s="71" t="s">
        <v>63</v>
      </c>
      <c r="F19" s="98" t="s">
        <v>76</v>
      </c>
      <c r="G19" s="99"/>
      <c r="H19" s="100" t="s">
        <v>77</v>
      </c>
      <c r="I19" s="99"/>
      <c r="J19" s="98" t="s">
        <v>78</v>
      </c>
      <c r="K19" s="101"/>
      <c r="L19" s="102"/>
      <c r="M19" s="74" t="s">
        <v>70</v>
      </c>
      <c r="N19" s="75" t="s">
        <v>71</v>
      </c>
      <c r="O19" s="75" t="s">
        <v>72</v>
      </c>
      <c r="P19" s="76" t="s">
        <v>73</v>
      </c>
    </row>
    <row r="20" spans="8:8" ht="38.1" customHeight="1">
      <c r="A20" s="89"/>
      <c r="B20" s="78" t="s">
        <v>79</v>
      </c>
      <c r="C20" s="79" t="s">
        <v>74</v>
      </c>
      <c r="D20" s="103" t="s">
        <v>80</v>
      </c>
      <c r="E20" s="94">
        <v>40175.0</v>
      </c>
      <c r="F20" s="104"/>
      <c r="G20" s="105"/>
      <c r="H20" s="104"/>
      <c r="I20" s="105"/>
      <c r="J20" s="104"/>
      <c r="K20" s="106"/>
      <c r="L20" s="105"/>
      <c r="M20" s="107">
        <f>SUM(E20:K20)</f>
        <v>40175.0</v>
      </c>
      <c r="N20" s="95">
        <v>0.0</v>
      </c>
      <c r="O20" s="96">
        <f>M20+N20</f>
        <v>40175.0</v>
      </c>
      <c r="P20" s="97"/>
    </row>
    <row r="21" spans="8:8" ht="38.1" customHeight="1">
      <c r="A21" s="89"/>
      <c r="B21" s="78" t="s">
        <v>81</v>
      </c>
      <c r="C21" s="79" t="s">
        <v>74</v>
      </c>
      <c r="D21" s="103" t="s">
        <v>82</v>
      </c>
      <c r="E21" s="94">
        <v>40207.0</v>
      </c>
      <c r="F21" s="104"/>
      <c r="G21" s="105"/>
      <c r="H21" s="104"/>
      <c r="I21" s="105"/>
      <c r="J21" s="104"/>
      <c r="K21" s="106"/>
      <c r="L21" s="105"/>
      <c r="M21" s="107">
        <f>SUM(E21:K21)</f>
        <v>40207.0</v>
      </c>
      <c r="N21" s="95">
        <v>0.0</v>
      </c>
      <c r="O21" s="96">
        <f>M21+N21</f>
        <v>40207.0</v>
      </c>
      <c r="P21" s="97"/>
    </row>
    <row r="22" spans="8:8" ht="38.1" customHeight="1">
      <c r="A22" s="89"/>
      <c r="B22" s="78" t="s">
        <v>83</v>
      </c>
      <c r="C22" s="79" t="s">
        <v>74</v>
      </c>
      <c r="D22" s="103" t="s">
        <v>84</v>
      </c>
      <c r="E22" s="94">
        <v>40927.0</v>
      </c>
      <c r="F22" s="104"/>
      <c r="G22" s="105"/>
      <c r="H22" s="104"/>
      <c r="I22" s="105"/>
      <c r="J22" s="104"/>
      <c r="K22" s="106"/>
      <c r="L22" s="105"/>
      <c r="M22" s="107">
        <f>SUM(E22:K22)</f>
        <v>40927.0</v>
      </c>
      <c r="N22" s="95">
        <v>0.0</v>
      </c>
      <c r="O22" s="96">
        <f>M22+N22</f>
        <v>40927.0</v>
      </c>
      <c r="P22" s="97"/>
    </row>
    <row r="23" spans="8:8" ht="38.1" customHeight="1">
      <c r="A23" s="89"/>
      <c r="B23" s="78" t="s">
        <v>85</v>
      </c>
      <c r="C23" s="79" t="s">
        <v>74</v>
      </c>
      <c r="D23" s="103" t="s">
        <v>86</v>
      </c>
      <c r="E23" s="94">
        <v>37995.0</v>
      </c>
      <c r="F23" s="104"/>
      <c r="G23" s="105"/>
      <c r="H23" s="104"/>
      <c r="I23" s="105"/>
      <c r="J23" s="104"/>
      <c r="K23" s="106"/>
      <c r="L23" s="105"/>
      <c r="M23" s="107">
        <f>SUM(E23:K23)</f>
        <v>37995.0</v>
      </c>
      <c r="N23" s="95">
        <v>0.0</v>
      </c>
      <c r="O23" s="96">
        <f>M23+N23</f>
        <v>37995.0</v>
      </c>
      <c r="P23" s="97"/>
    </row>
    <row r="24" spans="8:8" ht="62.1" customHeight="1">
      <c r="A24" s="69"/>
      <c r="B24" s="70" t="s">
        <v>60</v>
      </c>
      <c r="C24" s="70" t="s">
        <v>61</v>
      </c>
      <c r="D24" s="70" t="s">
        <v>62</v>
      </c>
      <c r="E24" s="71" t="s">
        <v>63</v>
      </c>
      <c r="F24" s="98" t="s">
        <v>76</v>
      </c>
      <c r="G24" s="99"/>
      <c r="H24" s="100" t="s">
        <v>77</v>
      </c>
      <c r="I24" s="99"/>
      <c r="J24" s="98" t="s">
        <v>78</v>
      </c>
      <c r="K24" s="101"/>
      <c r="L24" s="102"/>
      <c r="M24" s="74" t="s">
        <v>70</v>
      </c>
      <c r="N24" s="75" t="s">
        <v>71</v>
      </c>
      <c r="O24" s="75" t="s">
        <v>72</v>
      </c>
      <c r="P24" s="76" t="s">
        <v>73</v>
      </c>
    </row>
    <row r="25" spans="8:8" ht="38.1" customHeight="1">
      <c r="A25" s="108" t="s">
        <v>87</v>
      </c>
      <c r="B25" s="109" t="s">
        <v>88</v>
      </c>
      <c r="C25" s="110" t="s">
        <v>89</v>
      </c>
      <c r="D25" s="111" t="s">
        <v>87</v>
      </c>
      <c r="E25" s="94">
        <v>20160.0</v>
      </c>
      <c r="F25" s="112">
        <v>0.0</v>
      </c>
      <c r="G25" s="113"/>
      <c r="H25" s="112">
        <v>0.0</v>
      </c>
      <c r="I25" s="113"/>
      <c r="J25" s="112">
        <v>0.0</v>
      </c>
      <c r="K25" s="114"/>
      <c r="L25" s="113"/>
      <c r="M25" s="107">
        <f>SUM(E25:K25)</f>
        <v>20160.0</v>
      </c>
      <c r="N25" s="95">
        <v>0.0</v>
      </c>
      <c r="O25" s="96">
        <f>M25+N25</f>
        <v>20160.0</v>
      </c>
      <c r="P25" s="94"/>
    </row>
    <row r="26" spans="8:8" ht="38.1" customHeight="1">
      <c r="A26" s="108"/>
      <c r="B26" s="109" t="s">
        <v>90</v>
      </c>
      <c r="C26" s="110" t="s">
        <v>91</v>
      </c>
      <c r="D26" s="111" t="s">
        <v>87</v>
      </c>
      <c r="E26" s="94">
        <v>54720.0</v>
      </c>
      <c r="F26" s="112">
        <v>0.0</v>
      </c>
      <c r="G26" s="113"/>
      <c r="H26" s="112">
        <v>0.0</v>
      </c>
      <c r="I26" s="113"/>
      <c r="J26" s="112">
        <v>0.0</v>
      </c>
      <c r="K26" s="114"/>
      <c r="L26" s="113"/>
      <c r="M26" s="107">
        <f t="shared" si="2" ref="M26:M34">SUM(E26:K26)</f>
        <v>54720.0</v>
      </c>
      <c r="N26" s="95">
        <v>0.0</v>
      </c>
      <c r="O26" s="96">
        <f t="shared" si="3" ref="O26:O34">M26+N26</f>
        <v>54720.0</v>
      </c>
      <c r="P26" s="94"/>
    </row>
    <row r="27" spans="8:8" ht="38.1" customHeight="1">
      <c r="A27" s="108"/>
      <c r="B27" s="109" t="s">
        <v>92</v>
      </c>
      <c r="C27" s="110" t="s">
        <v>93</v>
      </c>
      <c r="D27" s="111" t="s">
        <v>87</v>
      </c>
      <c r="E27" s="94">
        <v>20160.0</v>
      </c>
      <c r="F27" s="112">
        <v>0.0</v>
      </c>
      <c r="G27" s="113"/>
      <c r="H27" s="112">
        <v>0.0</v>
      </c>
      <c r="I27" s="113"/>
      <c r="J27" s="112">
        <v>0.0</v>
      </c>
      <c r="K27" s="114"/>
      <c r="L27" s="113"/>
      <c r="M27" s="107">
        <f t="shared" si="2"/>
        <v>20160.0</v>
      </c>
      <c r="N27" s="95">
        <v>0.0</v>
      </c>
      <c r="O27" s="96">
        <f t="shared" si="3"/>
        <v>20160.0</v>
      </c>
      <c r="P27" s="94"/>
    </row>
    <row r="28" spans="8:8" ht="38.1" customHeight="1">
      <c r="A28" s="108"/>
      <c r="B28" s="109" t="s">
        <v>94</v>
      </c>
      <c r="C28" s="110" t="s">
        <v>95</v>
      </c>
      <c r="D28" s="111" t="s">
        <v>87</v>
      </c>
      <c r="E28" s="94">
        <v>54720.0</v>
      </c>
      <c r="F28" s="112">
        <v>0.0</v>
      </c>
      <c r="G28" s="113"/>
      <c r="H28" s="112">
        <v>0.0</v>
      </c>
      <c r="I28" s="113"/>
      <c r="J28" s="112">
        <v>0.0</v>
      </c>
      <c r="K28" s="114"/>
      <c r="L28" s="113"/>
      <c r="M28" s="107">
        <f t="shared" si="2"/>
        <v>54720.0</v>
      </c>
      <c r="N28" s="95">
        <v>0.0</v>
      </c>
      <c r="O28" s="96">
        <f t="shared" si="3"/>
        <v>54720.0</v>
      </c>
      <c r="P28" s="94"/>
    </row>
    <row r="29" spans="8:8" ht="38.1" customHeight="1">
      <c r="A29" s="108"/>
      <c r="B29" s="109" t="s">
        <v>96</v>
      </c>
      <c r="C29" s="110" t="s">
        <v>97</v>
      </c>
      <c r="D29" s="111" t="s">
        <v>87</v>
      </c>
      <c r="E29" s="94">
        <v>54720.0</v>
      </c>
      <c r="F29" s="112">
        <v>0.0</v>
      </c>
      <c r="G29" s="113"/>
      <c r="H29" s="112">
        <v>0.0</v>
      </c>
      <c r="I29" s="113"/>
      <c r="J29" s="112">
        <v>0.0</v>
      </c>
      <c r="K29" s="114"/>
      <c r="L29" s="113"/>
      <c r="M29" s="107">
        <f t="shared" si="2"/>
        <v>54720.0</v>
      </c>
      <c r="N29" s="95">
        <v>0.0</v>
      </c>
      <c r="O29" s="96">
        <f t="shared" si="3"/>
        <v>54720.0</v>
      </c>
      <c r="P29" s="94"/>
    </row>
    <row r="30" spans="8:8" ht="38.1" customHeight="1">
      <c r="A30" s="108"/>
      <c r="B30" s="109" t="s">
        <v>98</v>
      </c>
      <c r="C30" s="110" t="s">
        <v>99</v>
      </c>
      <c r="D30" s="111" t="s">
        <v>87</v>
      </c>
      <c r="E30" s="94">
        <v>54720.0</v>
      </c>
      <c r="F30" s="112">
        <v>0.0</v>
      </c>
      <c r="G30" s="113"/>
      <c r="H30" s="112">
        <v>0.0</v>
      </c>
      <c r="I30" s="113"/>
      <c r="J30" s="112">
        <v>0.0</v>
      </c>
      <c r="K30" s="114"/>
      <c r="L30" s="113"/>
      <c r="M30" s="107">
        <f t="shared" si="2"/>
        <v>54720.0</v>
      </c>
      <c r="N30" s="95">
        <v>0.0</v>
      </c>
      <c r="O30" s="96">
        <f t="shared" si="3"/>
        <v>54720.0</v>
      </c>
      <c r="P30" s="94"/>
    </row>
    <row r="31" spans="8:8" ht="38.1" customHeight="1">
      <c r="A31" s="108"/>
      <c r="B31" s="109" t="s">
        <v>100</v>
      </c>
      <c r="C31" s="110" t="s">
        <v>101</v>
      </c>
      <c r="D31" s="111" t="s">
        <v>87</v>
      </c>
      <c r="E31" s="94">
        <v>54720.0</v>
      </c>
      <c r="F31" s="112">
        <v>0.0</v>
      </c>
      <c r="G31" s="113"/>
      <c r="H31" s="112">
        <v>0.0</v>
      </c>
      <c r="I31" s="113"/>
      <c r="J31" s="112">
        <v>0.0</v>
      </c>
      <c r="K31" s="114"/>
      <c r="L31" s="113"/>
      <c r="M31" s="107">
        <f t="shared" si="2"/>
        <v>54720.0</v>
      </c>
      <c r="N31" s="95">
        <v>0.0</v>
      </c>
      <c r="O31" s="96">
        <f t="shared" si="3"/>
        <v>54720.0</v>
      </c>
      <c r="P31" s="94"/>
    </row>
    <row r="32" spans="8:8" ht="38.1" customHeight="1">
      <c r="A32" s="108"/>
      <c r="B32" s="109" t="s">
        <v>102</v>
      </c>
      <c r="C32" s="110" t="s">
        <v>103</v>
      </c>
      <c r="D32" s="111" t="s">
        <v>87</v>
      </c>
      <c r="E32" s="94">
        <v>20160.0</v>
      </c>
      <c r="F32" s="112">
        <v>0.0</v>
      </c>
      <c r="G32" s="113"/>
      <c r="H32" s="112">
        <v>0.0</v>
      </c>
      <c r="I32" s="113"/>
      <c r="J32" s="112">
        <v>0.0</v>
      </c>
      <c r="K32" s="114"/>
      <c r="L32" s="113"/>
      <c r="M32" s="107">
        <f t="shared" si="2"/>
        <v>20160.0</v>
      </c>
      <c r="N32" s="95">
        <v>0.0</v>
      </c>
      <c r="O32" s="96">
        <f t="shared" si="3"/>
        <v>20160.0</v>
      </c>
      <c r="P32" s="94"/>
    </row>
    <row r="33" spans="8:8" ht="38.1" customHeight="1">
      <c r="A33" s="108"/>
      <c r="B33" s="109" t="s">
        <v>104</v>
      </c>
      <c r="C33" s="110" t="s">
        <v>93</v>
      </c>
      <c r="D33" s="115" t="s">
        <v>105</v>
      </c>
      <c r="E33" s="94">
        <v>0.0</v>
      </c>
      <c r="F33" s="112">
        <v>0.0</v>
      </c>
      <c r="G33" s="113"/>
      <c r="H33" s="112">
        <v>0.0</v>
      </c>
      <c r="I33" s="113"/>
      <c r="J33" s="112">
        <v>0.0</v>
      </c>
      <c r="K33" s="114"/>
      <c r="L33" s="113"/>
      <c r="M33" s="107">
        <f t="shared" si="2"/>
        <v>0.0</v>
      </c>
      <c r="N33" s="95">
        <v>0.0</v>
      </c>
      <c r="O33" s="96">
        <f t="shared" si="3"/>
        <v>0.0</v>
      </c>
      <c r="P33" s="94"/>
    </row>
    <row r="34" spans="8:8" ht="38.1" customHeight="1">
      <c r="A34" s="108"/>
      <c r="B34" s="109" t="s">
        <v>106</v>
      </c>
      <c r="C34" s="110" t="s">
        <v>91</v>
      </c>
      <c r="D34" s="115" t="s">
        <v>105</v>
      </c>
      <c r="E34" s="94">
        <v>0.0</v>
      </c>
      <c r="F34" s="112">
        <v>0.0</v>
      </c>
      <c r="G34" s="113"/>
      <c r="H34" s="112">
        <v>0.0</v>
      </c>
      <c r="I34" s="113"/>
      <c r="J34" s="112">
        <v>0.0</v>
      </c>
      <c r="K34" s="114"/>
      <c r="L34" s="113"/>
      <c r="M34" s="107">
        <f t="shared" si="2"/>
        <v>0.0</v>
      </c>
      <c r="N34" s="95">
        <v>0.0</v>
      </c>
      <c r="O34" s="96">
        <f t="shared" si="3"/>
        <v>0.0</v>
      </c>
      <c r="P34" s="94"/>
    </row>
  </sheetData>
  <mergeCells count="43">
    <mergeCell ref="A1:P1"/>
    <mergeCell ref="F32:G32"/>
    <mergeCell ref="J29:L29"/>
    <mergeCell ref="H27:I27"/>
    <mergeCell ref="A2:D2"/>
    <mergeCell ref="H24:I24"/>
    <mergeCell ref="J19:L19"/>
    <mergeCell ref="F25:G25"/>
    <mergeCell ref="A5:A18"/>
    <mergeCell ref="E5:E17"/>
    <mergeCell ref="F34:G34"/>
    <mergeCell ref="J31:L31"/>
    <mergeCell ref="H30:I30"/>
    <mergeCell ref="J33:L33"/>
    <mergeCell ref="J32:L32"/>
    <mergeCell ref="A25:A34"/>
    <mergeCell ref="J30:L30"/>
    <mergeCell ref="F33:G33"/>
    <mergeCell ref="H34:I34"/>
    <mergeCell ref="H32:I32"/>
    <mergeCell ref="J34:L34"/>
    <mergeCell ref="O2:P2"/>
    <mergeCell ref="F24:G24"/>
    <mergeCell ref="H26:I26"/>
    <mergeCell ref="F19:G19"/>
    <mergeCell ref="J27:L27"/>
    <mergeCell ref="H28:I28"/>
    <mergeCell ref="J26:L26"/>
    <mergeCell ref="H19:I19"/>
    <mergeCell ref="F27:G27"/>
    <mergeCell ref="H25:I25"/>
    <mergeCell ref="F26:G26"/>
    <mergeCell ref="F5:F17"/>
    <mergeCell ref="J24:L24"/>
    <mergeCell ref="F29:G29"/>
    <mergeCell ref="H29:I29"/>
    <mergeCell ref="F28:G28"/>
    <mergeCell ref="J25:L25"/>
    <mergeCell ref="F30:G30"/>
    <mergeCell ref="H31:I31"/>
    <mergeCell ref="J28:L28"/>
    <mergeCell ref="H33:I33"/>
    <mergeCell ref="F31:G31"/>
  </mergeCells>
  <pageMargins left="0.314583333333333" right="0.0" top="0.275" bottom="0.0" header="0.0" footer="0.0"/>
  <pageSetup paperSize="9" scale="47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5" state="frozen" activePane="bottomRight"/>
      <selection pane="bottomRight" activeCell="AJ44" sqref="AJ44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8515625" style="116"/>
    <col min="5" max="5" customWidth="1" width="13.0" style="116"/>
    <col min="6" max="6" customWidth="1" width="18.425781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15" customWidth="1" width="11.0" style="116"/>
    <col min="16" max="16" customWidth="1" width="12.28125" style="116"/>
    <col min="17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108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pengerjaan/produksi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515637-07-12 
SUP11C, PH1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128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5"/>
      <c r="Z5" s="164"/>
      <c r="AA5" s="165"/>
      <c r="AB5" s="165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3"/>
      <c r="Z6" s="182"/>
      <c r="AA6" s="183"/>
      <c r="AB6" s="183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182">
        <f>N6-N8-N9</f>
        <v>0.0</v>
      </c>
      <c r="O7" s="182">
        <f t="shared" si="0" ref="O7:AR7">O6-O8-O9</f>
        <v>0.0</v>
      </c>
      <c r="P7" s="182">
        <f t="shared" si="0"/>
        <v>0.0</v>
      </c>
      <c r="Q7" s="182">
        <f t="shared" si="0"/>
        <v>0.0</v>
      </c>
      <c r="R7" s="182">
        <f t="shared" si="0"/>
        <v>0.0</v>
      </c>
      <c r="S7" s="182">
        <f t="shared" si="0"/>
        <v>0.0</v>
      </c>
      <c r="T7" s="182">
        <f t="shared" si="0"/>
        <v>0.0</v>
      </c>
      <c r="U7" s="182">
        <f t="shared" si="0"/>
        <v>0.0</v>
      </c>
      <c r="V7" s="182">
        <f t="shared" si="0"/>
        <v>0.0</v>
      </c>
      <c r="W7" s="182">
        <f t="shared" si="0"/>
        <v>0.0</v>
      </c>
      <c r="X7" s="182">
        <f t="shared" si="0"/>
        <v>0.0</v>
      </c>
      <c r="Y7" s="182">
        <f t="shared" si="0"/>
        <v>0.0</v>
      </c>
      <c r="Z7" s="182">
        <f t="shared" si="0"/>
        <v>0.0</v>
      </c>
      <c r="AA7" s="182">
        <f t="shared" si="0"/>
        <v>0.0</v>
      </c>
      <c r="AB7" s="182">
        <f t="shared" si="0"/>
        <v>0.0</v>
      </c>
      <c r="AC7" s="182">
        <f t="shared" si="0"/>
        <v>0.0</v>
      </c>
      <c r="AD7" s="182">
        <f t="shared" si="0"/>
        <v>0.0</v>
      </c>
      <c r="AE7" s="182">
        <f t="shared" si="0"/>
        <v>0.0</v>
      </c>
      <c r="AF7" s="182">
        <f t="shared" si="0"/>
        <v>0.0</v>
      </c>
      <c r="AG7" s="182">
        <f t="shared" si="0"/>
        <v>0.0</v>
      </c>
      <c r="AH7" s="182">
        <f t="shared" si="0"/>
        <v>0.0</v>
      </c>
      <c r="AI7" s="182">
        <f t="shared" si="0"/>
        <v>0.0</v>
      </c>
      <c r="AJ7" s="182">
        <f t="shared" si="0"/>
        <v>0.0</v>
      </c>
      <c r="AK7" s="182">
        <f t="shared" si="0"/>
        <v>0.0</v>
      </c>
      <c r="AL7" s="182">
        <f t="shared" si="0"/>
        <v>0.0</v>
      </c>
      <c r="AM7" s="182">
        <f t="shared" si="0"/>
        <v>0.0</v>
      </c>
      <c r="AN7" s="182">
        <f t="shared" si="0"/>
        <v>0.0</v>
      </c>
      <c r="AO7" s="182">
        <f t="shared" si="0"/>
        <v>0.0</v>
      </c>
      <c r="AP7" s="182">
        <f t="shared" si="0"/>
        <v>0.0</v>
      </c>
      <c r="AQ7" s="182">
        <f t="shared" si="0"/>
        <v>0.0</v>
      </c>
      <c r="AR7" s="182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9">
        <f t="shared" si="1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84">
        <f t="shared" si="1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-206827.0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212">
        <f t="shared" si="1"/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182">
        <f>N12-N14-N15</f>
        <v>0.0</v>
      </c>
      <c r="O13" s="182">
        <f t="shared" si="2" ref="O13:AR13">O12-O14-O15</f>
        <v>0.0</v>
      </c>
      <c r="P13" s="182">
        <f t="shared" si="2"/>
        <v>0.0</v>
      </c>
      <c r="Q13" s="182">
        <f t="shared" si="2"/>
        <v>0.0</v>
      </c>
      <c r="R13" s="182">
        <f t="shared" si="2"/>
        <v>0.0</v>
      </c>
      <c r="S13" s="182">
        <f t="shared" si="2"/>
        <v>0.0</v>
      </c>
      <c r="T13" s="182">
        <f t="shared" si="2"/>
        <v>0.0</v>
      </c>
      <c r="U13" s="182">
        <f t="shared" si="2"/>
        <v>0.0</v>
      </c>
      <c r="V13" s="182">
        <f t="shared" si="2"/>
        <v>0.0</v>
      </c>
      <c r="W13" s="182">
        <f t="shared" si="2"/>
        <v>0.0</v>
      </c>
      <c r="X13" s="182">
        <f t="shared" si="2"/>
        <v>0.0</v>
      </c>
      <c r="Y13" s="182">
        <f t="shared" si="2"/>
        <v>0.0</v>
      </c>
      <c r="Z13" s="182">
        <f t="shared" si="2"/>
        <v>0.0</v>
      </c>
      <c r="AA13" s="182">
        <f t="shared" si="2"/>
        <v>0.0</v>
      </c>
      <c r="AB13" s="182">
        <f t="shared" si="2"/>
        <v>0.0</v>
      </c>
      <c r="AC13" s="182">
        <f t="shared" si="2"/>
        <v>0.0</v>
      </c>
      <c r="AD13" s="182">
        <f t="shared" si="2"/>
        <v>0.0</v>
      </c>
      <c r="AE13" s="182">
        <f t="shared" si="2"/>
        <v>0.0</v>
      </c>
      <c r="AF13" s="182">
        <f t="shared" si="2"/>
        <v>0.0</v>
      </c>
      <c r="AG13" s="182">
        <f t="shared" si="2"/>
        <v>0.0</v>
      </c>
      <c r="AH13" s="182">
        <f t="shared" si="2"/>
        <v>0.0</v>
      </c>
      <c r="AI13" s="182">
        <f t="shared" si="2"/>
        <v>0.0</v>
      </c>
      <c r="AJ13" s="182">
        <f t="shared" si="2"/>
        <v>0.0</v>
      </c>
      <c r="AK13" s="182">
        <f t="shared" si="2"/>
        <v>0.0</v>
      </c>
      <c r="AL13" s="182">
        <f t="shared" si="2"/>
        <v>0.0</v>
      </c>
      <c r="AM13" s="182">
        <f t="shared" si="2"/>
        <v>0.0</v>
      </c>
      <c r="AN13" s="182">
        <f t="shared" si="2"/>
        <v>0.0</v>
      </c>
      <c r="AO13" s="182">
        <f t="shared" si="2"/>
        <v>0.0</v>
      </c>
      <c r="AP13" s="182">
        <f t="shared" si="2"/>
        <v>0.0</v>
      </c>
      <c r="AQ13" s="182">
        <f t="shared" si="2"/>
        <v>0.0</v>
      </c>
      <c r="AR13" s="182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4">
        <f t="shared" si="1"/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215">
        <f t="shared" si="1"/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61264.0</v>
      </c>
      <c r="G17" s="218">
        <v>44197.0</v>
      </c>
      <c r="H17" s="158"/>
      <c r="I17" s="159"/>
      <c r="J17" s="160"/>
      <c r="K17" s="161"/>
      <c r="L17" s="162"/>
      <c r="M17" s="163" t="s">
        <v>130</v>
      </c>
      <c r="N17" s="165"/>
      <c r="O17" s="165" t="s">
        <v>138</v>
      </c>
      <c r="P17" s="165" t="s">
        <v>139</v>
      </c>
      <c r="Q17" s="165" t="s">
        <v>140</v>
      </c>
      <c r="R17" s="165"/>
      <c r="S17" s="165" t="s">
        <v>141</v>
      </c>
      <c r="T17" s="165" t="s">
        <v>142</v>
      </c>
      <c r="U17" s="165" t="s">
        <v>143</v>
      </c>
      <c r="V17" s="165" t="s">
        <v>144</v>
      </c>
      <c r="W17" s="165"/>
      <c r="X17" s="165" t="s">
        <v>145</v>
      </c>
      <c r="Y17" s="165" t="s">
        <v>146</v>
      </c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3">
        <f>326+5457+707</f>
        <v>6490.0</v>
      </c>
      <c r="O18" s="183">
        <f>8000*2</f>
        <v>16000.0</v>
      </c>
      <c r="P18" s="183">
        <f>10000*2</f>
        <v>20000.0</v>
      </c>
      <c r="Q18" s="183">
        <f>10000*2</f>
        <v>20000.0</v>
      </c>
      <c r="R18" s="183">
        <f>10000*2</f>
        <v>20000.0</v>
      </c>
      <c r="S18" s="183">
        <f>10000*2</f>
        <v>20000.0</v>
      </c>
      <c r="T18" s="183">
        <f>10000*2</f>
        <v>20000.0</v>
      </c>
      <c r="U18" s="183">
        <f t="shared" si="3" ref="U18:Y18">8500*2</f>
        <v>17000.0</v>
      </c>
      <c r="V18" s="183">
        <f t="shared" si="3"/>
        <v>17000.0</v>
      </c>
      <c r="W18" s="183"/>
      <c r="X18" s="183">
        <f t="shared" si="3"/>
        <v>17000.0</v>
      </c>
      <c r="Y18" s="183">
        <f t="shared" si="3"/>
        <v>17000.0</v>
      </c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212">
        <f t="shared" si="4" ref="AS18:AS21">SUM(N18:AR18)</f>
        <v>190490.0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2">
        <f>N18-N20-N21</f>
        <v>0.0</v>
      </c>
      <c r="O19" s="182">
        <f t="shared" si="5" ref="O19:AR19">O18-O20-O21</f>
        <v>-2701.0</v>
      </c>
      <c r="P19" s="182">
        <f t="shared" si="5"/>
        <v>-807.0</v>
      </c>
      <c r="Q19" s="182">
        <f t="shared" si="5"/>
        <v>-1149.0</v>
      </c>
      <c r="R19" s="182">
        <f t="shared" si="5"/>
        <v>-3400.0</v>
      </c>
      <c r="S19" s="182">
        <f t="shared" si="5"/>
        <v>1154.0</v>
      </c>
      <c r="T19" s="182">
        <f t="shared" si="5"/>
        <v>-84.0</v>
      </c>
      <c r="U19" s="182">
        <f t="shared" si="5"/>
        <v>744.0</v>
      </c>
      <c r="V19" s="182">
        <f t="shared" si="5"/>
        <v>-1513.0</v>
      </c>
      <c r="W19" s="182">
        <f t="shared" si="5"/>
        <v>0.0</v>
      </c>
      <c r="X19" s="182">
        <f t="shared" si="5"/>
        <v>-5682.0</v>
      </c>
      <c r="Y19" s="182">
        <f t="shared" si="5"/>
        <v>-2899.0</v>
      </c>
      <c r="Z19" s="182">
        <f t="shared" si="5"/>
        <v>0.0</v>
      </c>
      <c r="AA19" s="182">
        <f t="shared" si="5"/>
        <v>0.0</v>
      </c>
      <c r="AB19" s="182">
        <f t="shared" si="5"/>
        <v>0.0</v>
      </c>
      <c r="AC19" s="182">
        <f t="shared" si="5"/>
        <v>0.0</v>
      </c>
      <c r="AD19" s="182">
        <f t="shared" si="5"/>
        <v>0.0</v>
      </c>
      <c r="AE19" s="182">
        <f t="shared" si="5"/>
        <v>0.0</v>
      </c>
      <c r="AF19" s="182">
        <f t="shared" si="5"/>
        <v>0.0</v>
      </c>
      <c r="AG19" s="182">
        <f t="shared" si="5"/>
        <v>0.0</v>
      </c>
      <c r="AH19" s="182">
        <f t="shared" si="5"/>
        <v>0.0</v>
      </c>
      <c r="AI19" s="182">
        <f t="shared" si="5"/>
        <v>0.0</v>
      </c>
      <c r="AJ19" s="182">
        <f t="shared" si="5"/>
        <v>0.0</v>
      </c>
      <c r="AK19" s="182">
        <f t="shared" si="5"/>
        <v>0.0</v>
      </c>
      <c r="AL19" s="182">
        <f t="shared" si="5"/>
        <v>0.0</v>
      </c>
      <c r="AM19" s="182">
        <f t="shared" si="5"/>
        <v>0.0</v>
      </c>
      <c r="AN19" s="182">
        <f t="shared" si="5"/>
        <v>0.0</v>
      </c>
      <c r="AO19" s="182">
        <f t="shared" si="5"/>
        <v>0.0</v>
      </c>
      <c r="AP19" s="182">
        <f t="shared" si="5"/>
        <v>0.0</v>
      </c>
      <c r="AQ19" s="182">
        <f t="shared" si="5"/>
        <v>0.0</v>
      </c>
      <c r="AR19" s="182">
        <f t="shared" si="5"/>
        <v>0.0</v>
      </c>
      <c r="AS19" s="214">
        <f t="shared" si="4"/>
        <v>-16337.0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3">
        <f>326+5457+707</f>
        <v>6490.0</v>
      </c>
      <c r="O20" s="182">
        <f>9317+9382</f>
        <v>18699.0</v>
      </c>
      <c r="P20" s="182">
        <f>10370+10435</f>
        <v>20805.0</v>
      </c>
      <c r="Q20" s="182">
        <f>10266+10881</f>
        <v>21147.0</v>
      </c>
      <c r="R20" s="182">
        <f>11740+11657</f>
        <v>23397.0</v>
      </c>
      <c r="S20" s="182">
        <f>8869+9976</f>
        <v>18845.0</v>
      </c>
      <c r="T20" s="182">
        <f>9923+10156</f>
        <v>20079.0</v>
      </c>
      <c r="U20" s="182">
        <f>7826+8422</f>
        <v>16248.0</v>
      </c>
      <c r="V20" s="182">
        <f>9444+9065</f>
        <v>18509.0</v>
      </c>
      <c r="W20" s="182"/>
      <c r="X20" s="182">
        <f>11449+11225</f>
        <v>22674.0</v>
      </c>
      <c r="Y20" s="182">
        <f>10197+9700</f>
        <v>19897.0</v>
      </c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4">
        <f t="shared" si="4"/>
        <v>206790.0</v>
      </c>
      <c r="AT20" s="190">
        <f>(AS20/(AS18-AS19))*100%</f>
        <v>0.9998211065286448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192"/>
      <c r="O21" s="192">
        <v>2.0</v>
      </c>
      <c r="P21" s="192">
        <v>2.0</v>
      </c>
      <c r="Q21" s="192">
        <v>2.0</v>
      </c>
      <c r="R21" s="192">
        <v>3.0</v>
      </c>
      <c r="S21" s="192">
        <v>1.0</v>
      </c>
      <c r="T21" s="192">
        <f>2+3</f>
        <v>5.0</v>
      </c>
      <c r="U21" s="192">
        <f>3+5</f>
        <v>8.0</v>
      </c>
      <c r="V21" s="192">
        <f>1+3</f>
        <v>4.0</v>
      </c>
      <c r="W21" s="192"/>
      <c r="X21" s="192">
        <f>4+4</f>
        <v>8.0</v>
      </c>
      <c r="Y21" s="192">
        <v>2.0</v>
      </c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215">
        <f t="shared" si="4"/>
        <v>37.0</v>
      </c>
      <c r="AT21" s="193">
        <f>(AS21/(AS18-AS19))*100%</f>
        <v>1.7889347135528728E-4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0.0</v>
      </c>
      <c r="E23" s="155"/>
      <c r="F23" s="156">
        <v>12768.0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165"/>
      <c r="O23" s="165" t="s">
        <v>148</v>
      </c>
      <c r="P23" s="165" t="s">
        <v>149</v>
      </c>
      <c r="Q23" s="165" t="s">
        <v>150</v>
      </c>
      <c r="R23" s="165" t="s">
        <v>151</v>
      </c>
      <c r="S23" s="165" t="s">
        <v>152</v>
      </c>
      <c r="T23" s="165"/>
      <c r="U23" s="165" t="s">
        <v>153</v>
      </c>
      <c r="V23" s="165" t="s">
        <v>154</v>
      </c>
      <c r="W23" s="165"/>
      <c r="X23" s="165" t="s">
        <v>155</v>
      </c>
      <c r="Y23" s="165" t="s">
        <v>156</v>
      </c>
      <c r="Z23" s="165" t="s">
        <v>157</v>
      </c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183">
        <f>10363+4901+707</f>
        <v>15971.0</v>
      </c>
      <c r="O24" s="183">
        <v>50000.0</v>
      </c>
      <c r="P24" s="183">
        <v>50000.0</v>
      </c>
      <c r="Q24" s="183">
        <v>50000.0</v>
      </c>
      <c r="R24" s="183">
        <v>50000.0</v>
      </c>
      <c r="S24" s="183">
        <v>50000.0</v>
      </c>
      <c r="T24" s="183"/>
      <c r="U24" s="182">
        <f>6238+30575</f>
        <v>36813.0</v>
      </c>
      <c r="V24" s="183">
        <v>42464.0</v>
      </c>
      <c r="W24" s="183"/>
      <c r="X24" s="183">
        <f>15513+17413</f>
        <v>32926.0</v>
      </c>
      <c r="Y24" s="183">
        <f>10247+10941</f>
        <v>21188.0</v>
      </c>
      <c r="Z24" s="183">
        <v>556.0</v>
      </c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212">
        <f t="shared" si="6" ref="AS24:AS27">SUM(N24:AR24)</f>
        <v>399918.0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182">
        <f>N24-N26-N27</f>
        <v>0.0</v>
      </c>
      <c r="O25" s="182">
        <f t="shared" si="7" ref="O25:AR25">O24-O26-O27</f>
        <v>29144.0</v>
      </c>
      <c r="P25" s="182">
        <f t="shared" si="7"/>
        <v>29354.0</v>
      </c>
      <c r="Q25" s="182">
        <f t="shared" si="7"/>
        <v>16049.0</v>
      </c>
      <c r="R25" s="182">
        <f t="shared" si="7"/>
        <v>29228.0</v>
      </c>
      <c r="S25" s="182">
        <f t="shared" si="7"/>
        <v>28259.0</v>
      </c>
      <c r="T25" s="182">
        <f t="shared" si="7"/>
        <v>0.0</v>
      </c>
      <c r="U25" s="182">
        <f t="shared" si="7"/>
        <v>0.0</v>
      </c>
      <c r="V25" s="182">
        <f t="shared" si="7"/>
        <v>-143.0</v>
      </c>
      <c r="W25" s="182">
        <f t="shared" si="7"/>
        <v>0.0</v>
      </c>
      <c r="X25" s="182">
        <f t="shared" si="7"/>
        <v>0.0</v>
      </c>
      <c r="Y25" s="182">
        <f t="shared" si="7"/>
        <v>-27.0</v>
      </c>
      <c r="Z25" s="182">
        <f t="shared" si="7"/>
        <v>0.0</v>
      </c>
      <c r="AA25" s="182">
        <f t="shared" si="7"/>
        <v>0.0</v>
      </c>
      <c r="AB25" s="182">
        <f t="shared" si="7"/>
        <v>0.0</v>
      </c>
      <c r="AC25" s="182">
        <f t="shared" si="7"/>
        <v>0.0</v>
      </c>
      <c r="AD25" s="182">
        <f t="shared" si="7"/>
        <v>0.0</v>
      </c>
      <c r="AE25" s="182">
        <f t="shared" si="7"/>
        <v>0.0</v>
      </c>
      <c r="AF25" s="182">
        <f t="shared" si="7"/>
        <v>0.0</v>
      </c>
      <c r="AG25" s="182">
        <f t="shared" si="7"/>
        <v>0.0</v>
      </c>
      <c r="AH25" s="182">
        <f t="shared" si="7"/>
        <v>0.0</v>
      </c>
      <c r="AI25" s="182">
        <f t="shared" si="7"/>
        <v>0.0</v>
      </c>
      <c r="AJ25" s="182">
        <f t="shared" si="7"/>
        <v>0.0</v>
      </c>
      <c r="AK25" s="182">
        <f t="shared" si="7"/>
        <v>0.0</v>
      </c>
      <c r="AL25" s="182">
        <f t="shared" si="7"/>
        <v>0.0</v>
      </c>
      <c r="AM25" s="182">
        <f t="shared" si="7"/>
        <v>0.0</v>
      </c>
      <c r="AN25" s="182">
        <f t="shared" si="7"/>
        <v>0.0</v>
      </c>
      <c r="AO25" s="182">
        <f t="shared" si="7"/>
        <v>0.0</v>
      </c>
      <c r="AP25" s="182">
        <f t="shared" si="7"/>
        <v>0.0</v>
      </c>
      <c r="AQ25" s="182">
        <f t="shared" si="7"/>
        <v>0.0</v>
      </c>
      <c r="AR25" s="182">
        <f t="shared" si="7"/>
        <v>0.0</v>
      </c>
      <c r="AS25" s="214">
        <f t="shared" si="6"/>
        <v>131864.0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183">
        <f>10363+4901+707</f>
        <v>15971.0</v>
      </c>
      <c r="O26" s="182">
        <v>20856.0</v>
      </c>
      <c r="P26" s="182">
        <v>20547.0</v>
      </c>
      <c r="Q26" s="182">
        <v>33911.0</v>
      </c>
      <c r="R26" s="182">
        <v>20763.0</v>
      </c>
      <c r="S26" s="182">
        <v>21453.0</v>
      </c>
      <c r="T26" s="182"/>
      <c r="U26" s="182">
        <f>6238+30575</f>
        <v>36813.0</v>
      </c>
      <c r="V26" s="182">
        <v>42464.0</v>
      </c>
      <c r="W26" s="182"/>
      <c r="X26" s="183">
        <f>15513+17413</f>
        <v>32926.0</v>
      </c>
      <c r="Y26" s="183">
        <f>10247+10941</f>
        <v>21188.0</v>
      </c>
      <c r="Z26" s="182">
        <v>556.0</v>
      </c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4">
        <f t="shared" si="6"/>
        <v>267448.0</v>
      </c>
      <c r="AT26" s="190">
        <f>(AS26/(AS24-AS25))*100%</f>
        <v>0.9977392614920875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192"/>
      <c r="O27" s="192">
        <v>0.0</v>
      </c>
      <c r="P27" s="192">
        <v>99.0</v>
      </c>
      <c r="Q27" s="192">
        <v>40.0</v>
      </c>
      <c r="R27" s="192">
        <v>9.0</v>
      </c>
      <c r="S27" s="192">
        <v>288.0</v>
      </c>
      <c r="T27" s="192"/>
      <c r="U27" s="192"/>
      <c r="V27" s="192">
        <v>143.0</v>
      </c>
      <c r="W27" s="192"/>
      <c r="X27" s="192">
        <v>0.0</v>
      </c>
      <c r="Y27" s="192">
        <f>17+10</f>
        <v>27.0</v>
      </c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215">
        <f t="shared" si="6"/>
        <v>606.0</v>
      </c>
      <c r="AT27" s="193">
        <f>(AS27/(AS24-AS25))*100%</f>
        <v>0.002260738507912585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218"/>
      <c r="H29" s="158"/>
      <c r="I29" s="159"/>
      <c r="J29" s="160"/>
      <c r="K29" s="161"/>
      <c r="L29" s="162"/>
      <c r="M29" s="163" t="s">
        <v>130</v>
      </c>
      <c r="N29" s="165" t="s">
        <v>159</v>
      </c>
      <c r="O29" s="165" t="s">
        <v>160</v>
      </c>
      <c r="P29" s="165" t="s">
        <v>161</v>
      </c>
      <c r="Q29" s="165" t="s">
        <v>162</v>
      </c>
      <c r="R29" s="165"/>
      <c r="S29" s="165" t="s">
        <v>163</v>
      </c>
      <c r="T29" s="165" t="s">
        <v>164</v>
      </c>
      <c r="U29" s="165" t="s">
        <v>165</v>
      </c>
      <c r="V29" s="165" t="s">
        <v>166</v>
      </c>
      <c r="W29" s="165"/>
      <c r="X29" s="165" t="s">
        <v>167</v>
      </c>
      <c r="Y29" s="165" t="s">
        <v>168</v>
      </c>
      <c r="Z29" s="165" t="s">
        <v>169</v>
      </c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182">
        <f>185-8+1108</f>
        <v>1285.0</v>
      </c>
      <c r="O30" s="183">
        <f>6000*2</f>
        <v>12000.0</v>
      </c>
      <c r="P30" s="183">
        <f>8000*2</f>
        <v>16000.0</v>
      </c>
      <c r="Q30" s="183">
        <f>8500*2</f>
        <v>17000.0</v>
      </c>
      <c r="R30" s="183">
        <f>9000*2</f>
        <v>18000.0</v>
      </c>
      <c r="S30" s="183">
        <f>9000*3</f>
        <v>27000.0</v>
      </c>
      <c r="T30" s="183">
        <f>10000*4</f>
        <v>40000.0</v>
      </c>
      <c r="U30" s="183">
        <f t="shared" si="8" ref="U30:Z30">8500*4</f>
        <v>34000.0</v>
      </c>
      <c r="V30" s="183">
        <f t="shared" si="8"/>
        <v>34000.0</v>
      </c>
      <c r="W30" s="183"/>
      <c r="X30" s="183">
        <f t="shared" si="8"/>
        <v>34000.0</v>
      </c>
      <c r="Y30" s="183">
        <f t="shared" si="8"/>
        <v>34000.0</v>
      </c>
      <c r="Z30" s="183">
        <f>8500*2</f>
        <v>17000.0</v>
      </c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212">
        <f t="shared" si="9" ref="AS30:AS33">SUM(N30:AR30)</f>
        <v>284285.0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182">
        <f>N30-N32-N33</f>
        <v>0.0</v>
      </c>
      <c r="O31" s="182">
        <f t="shared" si="10" ref="O31:AR31">O30-O32-O33</f>
        <v>-5919.0</v>
      </c>
      <c r="P31" s="182">
        <f t="shared" si="10"/>
        <v>860.0</v>
      </c>
      <c r="Q31" s="182">
        <f t="shared" si="10"/>
        <v>732.0</v>
      </c>
      <c r="R31" s="182">
        <f t="shared" si="10"/>
        <v>482.0</v>
      </c>
      <c r="S31" s="182">
        <f t="shared" si="10"/>
        <v>3491.0</v>
      </c>
      <c r="T31" s="182">
        <f t="shared" si="10"/>
        <v>1368.0</v>
      </c>
      <c r="U31" s="182">
        <f t="shared" si="10"/>
        <v>420.0</v>
      </c>
      <c r="V31" s="182">
        <f t="shared" si="10"/>
        <v>5218.0</v>
      </c>
      <c r="W31" s="182">
        <f t="shared" si="10"/>
        <v>0.0</v>
      </c>
      <c r="X31" s="182">
        <f t="shared" si="10"/>
        <v>-11908.0</v>
      </c>
      <c r="Y31" s="182">
        <f t="shared" si="10"/>
        <v>-2218.0</v>
      </c>
      <c r="Z31" s="182">
        <f t="shared" si="10"/>
        <v>11543.0</v>
      </c>
      <c r="AA31" s="182">
        <f t="shared" si="10"/>
        <v>0.0</v>
      </c>
      <c r="AB31" s="182">
        <f t="shared" si="10"/>
        <v>0.0</v>
      </c>
      <c r="AC31" s="182">
        <f t="shared" si="10"/>
        <v>0.0</v>
      </c>
      <c r="AD31" s="182">
        <f t="shared" si="10"/>
        <v>0.0</v>
      </c>
      <c r="AE31" s="182">
        <f t="shared" si="10"/>
        <v>0.0</v>
      </c>
      <c r="AF31" s="182">
        <f t="shared" si="10"/>
        <v>0.0</v>
      </c>
      <c r="AG31" s="182">
        <f t="shared" si="10"/>
        <v>0.0</v>
      </c>
      <c r="AH31" s="182">
        <f t="shared" si="10"/>
        <v>0.0</v>
      </c>
      <c r="AI31" s="182">
        <f t="shared" si="10"/>
        <v>0.0</v>
      </c>
      <c r="AJ31" s="182">
        <f t="shared" si="10"/>
        <v>0.0</v>
      </c>
      <c r="AK31" s="182">
        <f t="shared" si="10"/>
        <v>0.0</v>
      </c>
      <c r="AL31" s="182">
        <f t="shared" si="10"/>
        <v>0.0</v>
      </c>
      <c r="AM31" s="182">
        <f t="shared" si="10"/>
        <v>0.0</v>
      </c>
      <c r="AN31" s="182">
        <f t="shared" si="10"/>
        <v>0.0</v>
      </c>
      <c r="AO31" s="182">
        <f t="shared" si="10"/>
        <v>0.0</v>
      </c>
      <c r="AP31" s="182">
        <f t="shared" si="10"/>
        <v>0.0</v>
      </c>
      <c r="AQ31" s="182">
        <f t="shared" si="10"/>
        <v>0.0</v>
      </c>
      <c r="AR31" s="182">
        <f t="shared" si="10"/>
        <v>0.0</v>
      </c>
      <c r="AS31" s="214">
        <f t="shared" si="9"/>
        <v>4069.0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219">
        <f>185-8+1108</f>
        <v>1285.0</v>
      </c>
      <c r="O32" s="182">
        <f>7840+10079</f>
        <v>17919.0</v>
      </c>
      <c r="P32" s="182">
        <f>5935+9205</f>
        <v>15140.0</v>
      </c>
      <c r="Q32" s="183">
        <f>8116+8152</f>
        <v>16268.0</v>
      </c>
      <c r="R32" s="182">
        <f>8672+8843</f>
        <v>17515.0</v>
      </c>
      <c r="S32" s="182">
        <f>7816+8815+6865</f>
        <v>23496.0</v>
      </c>
      <c r="T32" s="182">
        <f>9180+9655+9245+10538</f>
        <v>38618.0</v>
      </c>
      <c r="U32" s="182">
        <f>7804+7247+8512+10010</f>
        <v>33573.0</v>
      </c>
      <c r="V32" s="182">
        <f>5430+7080+8008+8260</f>
        <v>28778.0</v>
      </c>
      <c r="W32" s="182"/>
      <c r="X32" s="182">
        <f>7676+9095+9394+10645</f>
        <v>36810.0</v>
      </c>
      <c r="Y32" s="182">
        <f>8217+8325+10444+9221</f>
        <v>36207.0</v>
      </c>
      <c r="Z32" s="182">
        <f>4649+803</f>
        <v>5452.0</v>
      </c>
      <c r="AA32" s="220"/>
      <c r="AB32" s="182"/>
      <c r="AC32" s="221"/>
      <c r="AD32" s="222"/>
      <c r="AE32" s="22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4">
        <f t="shared" si="9"/>
        <v>271061.0</v>
      </c>
      <c r="AT32" s="190">
        <f>(AS32/(AS30-AS31))*100%</f>
        <v>0.9673287749450424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192"/>
      <c r="O33" s="192">
        <v>0.0</v>
      </c>
      <c r="P33" s="192">
        <v>0.0</v>
      </c>
      <c r="Q33" s="192">
        <v>0.0</v>
      </c>
      <c r="R33" s="192">
        <v>3.0</v>
      </c>
      <c r="S33" s="192">
        <f>3+4+6</f>
        <v>13.0</v>
      </c>
      <c r="T33" s="192">
        <f>5+3+3+3</f>
        <v>14.0</v>
      </c>
      <c r="U33" s="192">
        <f>2+2+1+2</f>
        <v>7.0</v>
      </c>
      <c r="V33" s="192">
        <f>2+2</f>
        <v>4.0</v>
      </c>
      <c r="W33" s="192"/>
      <c r="X33" s="192">
        <f>3+9095</f>
        <v>9098.0</v>
      </c>
      <c r="Y33" s="192">
        <f>4+2+2+3</f>
        <v>11.0</v>
      </c>
      <c r="Z33" s="192">
        <f>2+3</f>
        <v>5.0</v>
      </c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215">
        <f t="shared" si="9"/>
        <v>9155.0</v>
      </c>
      <c r="AT33" s="193">
        <f>(AS33/(AS30-AS31))*100%</f>
        <v>0.032671225054957606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206"/>
      <c r="O34" s="223"/>
      <c r="P34" s="223"/>
      <c r="Q34" s="223"/>
      <c r="R34" s="223"/>
      <c r="S34" s="223"/>
      <c r="T34" s="223"/>
      <c r="U34" s="223"/>
      <c r="V34" s="223"/>
      <c r="W34" s="223"/>
      <c r="X34" s="223">
        <f>4+3</f>
        <v>7.0</v>
      </c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4"/>
      <c r="AS34" s="207"/>
      <c r="AT34" s="208"/>
    </row>
    <row r="35" spans="8:8" s="150" ht="23.25" customFormat="1" customHeight="1">
      <c r="A35" s="169"/>
      <c r="B35" s="152" t="s">
        <v>170</v>
      </c>
      <c r="C35" s="153"/>
      <c r="D35" s="154">
        <f>F35+AS38-AS42+AS43</f>
        <v>0.0</v>
      </c>
      <c r="E35" s="155"/>
      <c r="F35" s="156">
        <v>11321.0</v>
      </c>
      <c r="G35" s="218">
        <v>44197.0</v>
      </c>
      <c r="H35" s="158"/>
      <c r="I35" s="159"/>
      <c r="J35" s="160"/>
      <c r="K35" s="161"/>
      <c r="L35" s="162"/>
      <c r="M35" s="163" t="s">
        <v>130</v>
      </c>
      <c r="N35" s="164" t="s">
        <v>159</v>
      </c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5"/>
      <c r="Z35" s="164"/>
      <c r="AA35" s="164"/>
      <c r="AB35" s="164"/>
      <c r="AC35" s="164"/>
      <c r="AD35" s="165"/>
      <c r="AE35" s="164"/>
      <c r="AF35" s="164"/>
      <c r="AG35" s="164"/>
      <c r="AH35" s="164"/>
      <c r="AI35" s="164"/>
      <c r="AJ35" s="164"/>
      <c r="AK35" s="164"/>
      <c r="AL35" s="164"/>
      <c r="AM35" s="165"/>
      <c r="AN35" s="165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183">
        <v>1108.0</v>
      </c>
      <c r="O36" s="183">
        <f>7840+10079</f>
        <v>17919.0</v>
      </c>
      <c r="P36" s="183">
        <v>15140.0</v>
      </c>
      <c r="Q36" s="183">
        <v>16268.0</v>
      </c>
      <c r="R36" s="183">
        <v>17515.0</v>
      </c>
      <c r="S36" s="183">
        <v>23496.0</v>
      </c>
      <c r="T36" s="183">
        <v>38618.0</v>
      </c>
      <c r="U36" s="183">
        <v>33573.0</v>
      </c>
      <c r="V36" s="183">
        <v>28770.0</v>
      </c>
      <c r="W36" s="183"/>
      <c r="X36" s="225">
        <v>36810.0</v>
      </c>
      <c r="Y36" s="226">
        <v>36207.0</v>
      </c>
      <c r="Z36" s="183">
        <v>5452.0</v>
      </c>
      <c r="AA36" s="183"/>
      <c r="AB36" s="227"/>
      <c r="AC36" s="227"/>
      <c r="AD36" s="227"/>
      <c r="AE36" s="227"/>
      <c r="AF36" s="227"/>
      <c r="AG36" s="183"/>
      <c r="AH36" s="183"/>
      <c r="AI36" s="227"/>
      <c r="AJ36" s="227"/>
      <c r="AK36" s="227"/>
      <c r="AL36" s="227"/>
      <c r="AM36" s="227"/>
      <c r="AN36" s="183"/>
      <c r="AO36" s="183"/>
      <c r="AP36" s="183"/>
      <c r="AQ36" s="183"/>
      <c r="AR36" s="183"/>
      <c r="AS36" s="212">
        <f>SUM(N36:AR36)</f>
        <v>270876.0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182"/>
      <c r="O37" s="182">
        <f t="shared" si="11" ref="O37:AR37">O36-O38-O39</f>
        <v>0.0</v>
      </c>
      <c r="P37" s="182">
        <f t="shared" si="11"/>
        <v>-185.0</v>
      </c>
      <c r="Q37" s="182">
        <f t="shared" si="11"/>
        <v>0.0</v>
      </c>
      <c r="R37" s="182">
        <f t="shared" si="11"/>
        <v>0.0</v>
      </c>
      <c r="S37" s="182">
        <f t="shared" si="11"/>
        <v>0.0</v>
      </c>
      <c r="T37" s="182">
        <f t="shared" si="11"/>
        <v>0.0</v>
      </c>
      <c r="U37" s="182">
        <f t="shared" si="11"/>
        <v>0.0</v>
      </c>
      <c r="V37" s="182">
        <f t="shared" si="11"/>
        <v>0.0</v>
      </c>
      <c r="W37" s="182">
        <f t="shared" si="11"/>
        <v>0.0</v>
      </c>
      <c r="X37" s="182">
        <f t="shared" si="11"/>
        <v>0.0</v>
      </c>
      <c r="Y37" s="182">
        <f t="shared" si="11"/>
        <v>0.0</v>
      </c>
      <c r="Z37" s="182">
        <f t="shared" si="11"/>
        <v>0.0</v>
      </c>
      <c r="AA37" s="182">
        <f t="shared" si="11"/>
        <v>0.0</v>
      </c>
      <c r="AB37" s="182">
        <f t="shared" si="11"/>
        <v>0.0</v>
      </c>
      <c r="AC37" s="182">
        <f t="shared" si="11"/>
        <v>0.0</v>
      </c>
      <c r="AD37" s="182">
        <f t="shared" si="11"/>
        <v>0.0</v>
      </c>
      <c r="AE37" s="182">
        <f t="shared" si="11"/>
        <v>0.0</v>
      </c>
      <c r="AF37" s="182">
        <f t="shared" si="11"/>
        <v>0.0</v>
      </c>
      <c r="AG37" s="182">
        <f t="shared" si="11"/>
        <v>0.0</v>
      </c>
      <c r="AH37" s="182">
        <f t="shared" si="11"/>
        <v>0.0</v>
      </c>
      <c r="AI37" s="182">
        <f t="shared" si="11"/>
        <v>0.0</v>
      </c>
      <c r="AJ37" s="182">
        <f t="shared" si="11"/>
        <v>0.0</v>
      </c>
      <c r="AK37" s="182">
        <f t="shared" si="11"/>
        <v>0.0</v>
      </c>
      <c r="AL37" s="182">
        <f t="shared" si="11"/>
        <v>0.0</v>
      </c>
      <c r="AM37" s="182">
        <f t="shared" si="11"/>
        <v>0.0</v>
      </c>
      <c r="AN37" s="182">
        <f t="shared" si="11"/>
        <v>0.0</v>
      </c>
      <c r="AO37" s="182">
        <f t="shared" si="11"/>
        <v>0.0</v>
      </c>
      <c r="AP37" s="182">
        <f t="shared" si="11"/>
        <v>0.0</v>
      </c>
      <c r="AQ37" s="182">
        <f t="shared" si="11"/>
        <v>0.0</v>
      </c>
      <c r="AR37" s="182">
        <f t="shared" si="11"/>
        <v>0.0</v>
      </c>
      <c r="AS37" s="214">
        <f>SUM(N37:AR37)</f>
        <v>-185.0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182">
        <v>1108.0</v>
      </c>
      <c r="O38" s="182">
        <f>7829+10077</f>
        <v>17906.0</v>
      </c>
      <c r="P38" s="182">
        <v>15325.0</v>
      </c>
      <c r="Q38" s="182">
        <v>16245.0</v>
      </c>
      <c r="R38" s="182">
        <v>17381.0</v>
      </c>
      <c r="S38" s="182">
        <v>23331.0</v>
      </c>
      <c r="T38" s="182">
        <v>38259.0</v>
      </c>
      <c r="U38" s="182">
        <v>32965.0</v>
      </c>
      <c r="V38" s="182">
        <v>28494.0</v>
      </c>
      <c r="W38" s="182"/>
      <c r="X38" s="182">
        <v>36100.0</v>
      </c>
      <c r="Y38" s="182">
        <v>35832.0</v>
      </c>
      <c r="Z38" s="182">
        <v>5452.0</v>
      </c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4">
        <f>SUM(N38:AR38)</f>
        <v>268398.0</v>
      </c>
      <c r="AT38" s="190">
        <f>(AS38/(AS36-AS37))*100%</f>
        <v>0.9901756431209211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192"/>
      <c r="O39" s="192">
        <v>13.0</v>
      </c>
      <c r="P39" s="192">
        <v>0.0</v>
      </c>
      <c r="Q39" s="192">
        <v>23.0</v>
      </c>
      <c r="R39" s="192">
        <v>134.0</v>
      </c>
      <c r="S39" s="192">
        <v>165.0</v>
      </c>
      <c r="T39" s="192">
        <v>359.0</v>
      </c>
      <c r="U39" s="192">
        <v>608.0</v>
      </c>
      <c r="V39" s="192">
        <v>276.0</v>
      </c>
      <c r="W39" s="192"/>
      <c r="X39" s="192">
        <v>710.0</v>
      </c>
      <c r="Y39" s="192">
        <v>375.0</v>
      </c>
      <c r="Z39" s="192">
        <v>0.0</v>
      </c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215">
        <f>SUM(N39:AR39)</f>
        <v>2663.0</v>
      </c>
      <c r="AT39" s="193">
        <f>(AS39/(AS36-AS37))*100%</f>
        <v>0.009824356879078879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7"/>
      <c r="AT40" s="208"/>
    </row>
    <row r="41" spans="8:8" s="150" ht="23.25" customFormat="1" customHeight="1">
      <c r="A41" s="169"/>
      <c r="B41" s="152" t="s">
        <v>171</v>
      </c>
      <c r="C41" s="153"/>
      <c r="D41" s="154">
        <f>F41+AS44-AS48+AS49</f>
        <v>77384.0</v>
      </c>
      <c r="E41" s="155"/>
      <c r="F41" s="156">
        <v>65531.0</v>
      </c>
      <c r="G41" s="218">
        <v>44197.0</v>
      </c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>
        <v>1108.0</v>
      </c>
      <c r="O42" s="183"/>
      <c r="P42" s="183">
        <v>44552.0</v>
      </c>
      <c r="Q42" s="183"/>
      <c r="R42" s="183"/>
      <c r="S42" s="183"/>
      <c r="T42" s="183"/>
      <c r="U42" s="183">
        <v>95216.0</v>
      </c>
      <c r="V42" s="183">
        <v>61459.0</v>
      </c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77384.0</v>
      </c>
      <c r="AK42" s="183"/>
      <c r="AL42" s="183"/>
      <c r="AM42" s="183"/>
      <c r="AN42" s="183"/>
      <c r="AO42" s="183"/>
      <c r="AP42" s="183"/>
      <c r="AQ42" s="183"/>
      <c r="AR42" s="183"/>
      <c r="AS42" s="212">
        <f>SUM(N42:AR42)</f>
        <v>279719.0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182">
        <f>N42-N44-N45</f>
        <v>0.0</v>
      </c>
      <c r="O43" s="182">
        <f t="shared" si="12" ref="O43:AR43">O42-O44-O45</f>
        <v>0.0</v>
      </c>
      <c r="P43" s="182">
        <f t="shared" si="12"/>
        <v>0.0</v>
      </c>
      <c r="Q43" s="182">
        <f t="shared" si="12"/>
        <v>0.0</v>
      </c>
      <c r="R43" s="182">
        <f t="shared" si="12"/>
        <v>0.0</v>
      </c>
      <c r="S43" s="182">
        <f t="shared" si="12"/>
        <v>0.0</v>
      </c>
      <c r="T43" s="182">
        <f t="shared" si="12"/>
        <v>0.0</v>
      </c>
      <c r="U43" s="182">
        <f t="shared" si="12"/>
        <v>0.0</v>
      </c>
      <c r="V43" s="182">
        <f t="shared" si="12"/>
        <v>0.0</v>
      </c>
      <c r="W43" s="182"/>
      <c r="X43" s="182">
        <f t="shared" si="12"/>
        <v>0.0</v>
      </c>
      <c r="Y43" s="182">
        <f t="shared" si="12"/>
        <v>0.0</v>
      </c>
      <c r="Z43" s="182">
        <f t="shared" si="12"/>
        <v>0.0</v>
      </c>
      <c r="AA43" s="182">
        <f t="shared" si="12"/>
        <v>0.0</v>
      </c>
      <c r="AB43" s="182">
        <f t="shared" si="12"/>
        <v>0.0</v>
      </c>
      <c r="AC43" s="182">
        <f t="shared" si="12"/>
        <v>0.0</v>
      </c>
      <c r="AD43" s="182">
        <f t="shared" si="12"/>
        <v>0.0</v>
      </c>
      <c r="AE43" s="182">
        <f t="shared" si="12"/>
        <v>0.0</v>
      </c>
      <c r="AF43" s="182">
        <f t="shared" si="12"/>
        <v>0.0</v>
      </c>
      <c r="AG43" s="182">
        <f t="shared" si="12"/>
        <v>0.0</v>
      </c>
      <c r="AH43" s="182">
        <f t="shared" si="12"/>
        <v>0.0</v>
      </c>
      <c r="AI43" s="182">
        <f t="shared" si="12"/>
        <v>0.0</v>
      </c>
      <c r="AJ43" s="182">
        <f t="shared" si="12"/>
        <v>0.0</v>
      </c>
      <c r="AK43" s="182">
        <f t="shared" si="12"/>
        <v>0.0</v>
      </c>
      <c r="AL43" s="182">
        <f t="shared" si="12"/>
        <v>0.0</v>
      </c>
      <c r="AM43" s="182">
        <f t="shared" si="12"/>
        <v>0.0</v>
      </c>
      <c r="AN43" s="182">
        <f t="shared" si="12"/>
        <v>0.0</v>
      </c>
      <c r="AO43" s="182">
        <f t="shared" si="12"/>
        <v>0.0</v>
      </c>
      <c r="AP43" s="182">
        <f t="shared" si="12"/>
        <v>0.0</v>
      </c>
      <c r="AQ43" s="182">
        <f t="shared" si="12"/>
        <v>0.0</v>
      </c>
      <c r="AR43" s="182">
        <f t="shared" si="12"/>
        <v>0.0</v>
      </c>
      <c r="AS43" s="214">
        <f>SUM(N43:AR43)</f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182">
        <v>1108.0</v>
      </c>
      <c r="O44" s="182"/>
      <c r="P44" s="182">
        <v>44552.0</v>
      </c>
      <c r="Q44" s="182"/>
      <c r="R44" s="182"/>
      <c r="S44" s="182"/>
      <c r="T44" s="182"/>
      <c r="U44" s="182">
        <v>94815.0</v>
      </c>
      <c r="V44" s="182">
        <v>61459.0</v>
      </c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3">
        <v>77384.0</v>
      </c>
      <c r="AK44" s="182"/>
      <c r="AL44" s="182"/>
      <c r="AM44" s="182"/>
      <c r="AN44" s="182"/>
      <c r="AO44" s="182"/>
      <c r="AP44" s="182"/>
      <c r="AQ44" s="182"/>
      <c r="AR44" s="182"/>
      <c r="AS44" s="184">
        <f>SUM(N44:AR44)</f>
        <v>279318.0</v>
      </c>
      <c r="AT44" s="190">
        <f>(AS44/(AS42-AS43))*100%</f>
        <v>0.9985664184413644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192"/>
      <c r="O45" s="192"/>
      <c r="P45" s="192">
        <v>0.0</v>
      </c>
      <c r="Q45" s="192"/>
      <c r="R45" s="192"/>
      <c r="S45" s="192"/>
      <c r="T45" s="192"/>
      <c r="U45" s="192">
        <v>401.0</v>
      </c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215">
        <f>SUM(N45:AR45)</f>
        <v>401.0</v>
      </c>
      <c r="AT45" s="193">
        <f>(AS45/(AS42-AS43))*100%</f>
        <v>0.0014335815586356308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/>
      <c r="AT46" s="208"/>
    </row>
    <row r="47" spans="8:8" s="150" ht="23.25" customFormat="1" customHeight="1">
      <c r="A47" s="169"/>
      <c r="B47" s="228" t="s">
        <v>69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164"/>
      <c r="O47" s="164"/>
      <c r="P47" s="164"/>
      <c r="Q47" s="164"/>
      <c r="R47" s="164"/>
      <c r="S47" s="164"/>
      <c r="T47" s="164"/>
      <c r="U47" s="164"/>
      <c r="V47" s="164"/>
      <c r="W47" s="164" t="s">
        <v>159</v>
      </c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183">
        <v>65531.0</v>
      </c>
      <c r="O48" s="183"/>
      <c r="P48" s="183"/>
      <c r="Q48" s="183"/>
      <c r="R48" s="183"/>
      <c r="S48" s="183">
        <v>44552.0</v>
      </c>
      <c r="T48" s="183"/>
      <c r="U48" s="183"/>
      <c r="V48" s="183"/>
      <c r="W48" s="183">
        <v>707.0</v>
      </c>
      <c r="X48" s="183"/>
      <c r="Y48" s="183"/>
      <c r="Z48" s="183">
        <v>95216.0</v>
      </c>
      <c r="AA48" s="183">
        <v>61459.0</v>
      </c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>SUM(N48:AR48)</f>
        <v>267465.0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182">
        <f>N48-N50-N51</f>
        <v>0.0</v>
      </c>
      <c r="O49" s="182">
        <f t="shared" si="13" ref="O49:AR49">O48-O50-O51</f>
        <v>0.0</v>
      </c>
      <c r="P49" s="182">
        <f t="shared" si="13"/>
        <v>0.0</v>
      </c>
      <c r="Q49" s="182">
        <f t="shared" si="13"/>
        <v>0.0</v>
      </c>
      <c r="R49" s="182">
        <f t="shared" si="13"/>
        <v>0.0</v>
      </c>
      <c r="S49" s="182">
        <f t="shared" si="13"/>
        <v>0.0</v>
      </c>
      <c r="T49" s="182">
        <f t="shared" si="13"/>
        <v>0.0</v>
      </c>
      <c r="U49" s="182">
        <f t="shared" si="13"/>
        <v>0.0</v>
      </c>
      <c r="V49" s="182">
        <f t="shared" si="13"/>
        <v>0.0</v>
      </c>
      <c r="W49" s="182">
        <f t="shared" si="13"/>
        <v>0.0</v>
      </c>
      <c r="X49" s="182">
        <f t="shared" si="13"/>
        <v>0.0</v>
      </c>
      <c r="Y49" s="182">
        <f t="shared" si="13"/>
        <v>0.0</v>
      </c>
      <c r="Z49" s="182">
        <f t="shared" si="13"/>
        <v>0.0</v>
      </c>
      <c r="AA49" s="182">
        <f t="shared" si="13"/>
        <v>0.0</v>
      </c>
      <c r="AB49" s="182">
        <f t="shared" si="13"/>
        <v>0.0</v>
      </c>
      <c r="AC49" s="182">
        <f t="shared" si="13"/>
        <v>0.0</v>
      </c>
      <c r="AD49" s="182">
        <f t="shared" si="13"/>
        <v>0.0</v>
      </c>
      <c r="AE49" s="182">
        <f t="shared" si="13"/>
        <v>0.0</v>
      </c>
      <c r="AF49" s="182">
        <f t="shared" si="13"/>
        <v>0.0</v>
      </c>
      <c r="AG49" s="182">
        <f t="shared" si="13"/>
        <v>0.0</v>
      </c>
      <c r="AH49" s="182">
        <f t="shared" si="13"/>
        <v>0.0</v>
      </c>
      <c r="AI49" s="182">
        <f t="shared" si="13"/>
        <v>0.0</v>
      </c>
      <c r="AJ49" s="182">
        <f t="shared" si="13"/>
        <v>0.0</v>
      </c>
      <c r="AK49" s="182">
        <f t="shared" si="13"/>
        <v>0.0</v>
      </c>
      <c r="AL49" s="182">
        <f t="shared" si="13"/>
        <v>0.0</v>
      </c>
      <c r="AM49" s="182">
        <f t="shared" si="13"/>
        <v>0.0</v>
      </c>
      <c r="AN49" s="182">
        <f t="shared" si="13"/>
        <v>0.0</v>
      </c>
      <c r="AO49" s="182">
        <f t="shared" si="13"/>
        <v>0.0</v>
      </c>
      <c r="AP49" s="182">
        <f t="shared" si="13"/>
        <v>0.0</v>
      </c>
      <c r="AQ49" s="182">
        <f t="shared" si="13"/>
        <v>0.0</v>
      </c>
      <c r="AR49" s="182">
        <f t="shared" si="13"/>
        <v>0.0</v>
      </c>
      <c r="AS49" s="214">
        <f>SUM(N49:AR49)</f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182">
        <v>65531.0</v>
      </c>
      <c r="O50" s="182"/>
      <c r="P50" s="182"/>
      <c r="Q50" s="182"/>
      <c r="R50" s="182"/>
      <c r="S50" s="182">
        <v>44552.0</v>
      </c>
      <c r="T50" s="182"/>
      <c r="U50" s="182"/>
      <c r="V50" s="182"/>
      <c r="W50" s="182">
        <v>707.0</v>
      </c>
      <c r="X50" s="182"/>
      <c r="Y50" s="182"/>
      <c r="Z50" s="182">
        <v>94815.0</v>
      </c>
      <c r="AA50" s="182">
        <v>61459.0</v>
      </c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4">
        <f>SUM(N50:AR50)</f>
        <v>267064.0</v>
      </c>
      <c r="AT50" s="190">
        <f>(AS50/(AS48-AS49))*100%</f>
        <v>0.9985007384143719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192">
        <v>0.0</v>
      </c>
      <c r="O51" s="192"/>
      <c r="P51" s="192"/>
      <c r="Q51" s="192"/>
      <c r="R51" s="192"/>
      <c r="S51" s="192">
        <v>0.0</v>
      </c>
      <c r="T51" s="192"/>
      <c r="U51" s="192"/>
      <c r="V51" s="192"/>
      <c r="W51" s="192"/>
      <c r="X51" s="192"/>
      <c r="Y51" s="192"/>
      <c r="Z51" s="192">
        <v>401.0</v>
      </c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215">
        <f>SUM(N51:AR51)</f>
        <v>401.0</v>
      </c>
      <c r="AT51" s="193">
        <f>(AS51/(AS48-AS49))*100%</f>
        <v>0.001499261585628026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183"/>
      <c r="O54" s="183"/>
      <c r="P54" s="183"/>
      <c r="Q54" s="183"/>
      <c r="R54" s="183"/>
      <c r="S54" s="183"/>
      <c r="T54" s="183"/>
      <c r="U54" s="183"/>
      <c r="V54" s="183">
        <f>75060+35596</f>
        <v>110656.0</v>
      </c>
      <c r="W54" s="183"/>
      <c r="X54" s="183"/>
      <c r="Y54" s="183"/>
      <c r="Z54" s="183"/>
      <c r="AA54" s="183">
        <v>112000.0</v>
      </c>
      <c r="AB54" s="183">
        <v>27701.0</v>
      </c>
      <c r="AC54" s="183">
        <v>16707.0</v>
      </c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 t="shared" si="14" ref="AS54:AS57">SUM(N54:AR54)</f>
        <v>267064.0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182">
        <f>N54-N56-N57</f>
        <v>0.0</v>
      </c>
      <c r="O55" s="182">
        <f t="shared" si="15" ref="O55:AR55">O54-O56-O57</f>
        <v>0.0</v>
      </c>
      <c r="P55" s="182">
        <f t="shared" si="15"/>
        <v>0.0</v>
      </c>
      <c r="Q55" s="182">
        <f t="shared" si="15"/>
        <v>0.0</v>
      </c>
      <c r="R55" s="182">
        <f t="shared" si="15"/>
        <v>0.0</v>
      </c>
      <c r="S55" s="182">
        <f t="shared" si="15"/>
        <v>0.0</v>
      </c>
      <c r="T55" s="182">
        <f t="shared" si="15"/>
        <v>0.0</v>
      </c>
      <c r="U55" s="182">
        <f t="shared" si="15"/>
        <v>0.0</v>
      </c>
      <c r="V55" s="182">
        <f t="shared" si="15"/>
        <v>0.0</v>
      </c>
      <c r="W55" s="182">
        <f t="shared" si="15"/>
        <v>0.0</v>
      </c>
      <c r="X55" s="182">
        <f t="shared" si="15"/>
        <v>0.0</v>
      </c>
      <c r="Y55" s="182">
        <f t="shared" si="15"/>
        <v>0.0</v>
      </c>
      <c r="Z55" s="182">
        <f t="shared" si="15"/>
        <v>0.0</v>
      </c>
      <c r="AA55" s="182">
        <f t="shared" si="15"/>
        <v>0.0</v>
      </c>
      <c r="AB55" s="182">
        <f t="shared" si="15"/>
        <v>0.0</v>
      </c>
      <c r="AC55" s="182">
        <f t="shared" si="15"/>
        <v>0.0</v>
      </c>
      <c r="AD55" s="182">
        <f t="shared" si="15"/>
        <v>0.0</v>
      </c>
      <c r="AE55" s="182">
        <f t="shared" si="15"/>
        <v>0.0</v>
      </c>
      <c r="AF55" s="182">
        <f t="shared" si="15"/>
        <v>0.0</v>
      </c>
      <c r="AG55" s="182">
        <f t="shared" si="15"/>
        <v>0.0</v>
      </c>
      <c r="AH55" s="182">
        <f t="shared" si="15"/>
        <v>0.0</v>
      </c>
      <c r="AI55" s="182">
        <f t="shared" si="15"/>
        <v>0.0</v>
      </c>
      <c r="AJ55" s="182">
        <f t="shared" si="15"/>
        <v>0.0</v>
      </c>
      <c r="AK55" s="182">
        <f t="shared" si="15"/>
        <v>0.0</v>
      </c>
      <c r="AL55" s="182">
        <f t="shared" si="15"/>
        <v>0.0</v>
      </c>
      <c r="AM55" s="182">
        <f t="shared" si="15"/>
        <v>0.0</v>
      </c>
      <c r="AN55" s="182">
        <f t="shared" si="15"/>
        <v>0.0</v>
      </c>
      <c r="AO55" s="182">
        <f t="shared" si="15"/>
        <v>0.0</v>
      </c>
      <c r="AP55" s="182">
        <f t="shared" si="15"/>
        <v>0.0</v>
      </c>
      <c r="AQ55" s="182">
        <f t="shared" si="15"/>
        <v>0.0</v>
      </c>
      <c r="AR55" s="182">
        <f t="shared" si="15"/>
        <v>0.0</v>
      </c>
      <c r="AS55" s="214">
        <f t="shared" si="14"/>
        <v>0.0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182"/>
      <c r="O56" s="183"/>
      <c r="P56" s="183"/>
      <c r="Q56" s="182"/>
      <c r="R56" s="182"/>
      <c r="S56" s="182"/>
      <c r="T56" s="182"/>
      <c r="U56" s="182"/>
      <c r="V56" s="183">
        <f>75060+35596</f>
        <v>110656.0</v>
      </c>
      <c r="W56" s="182"/>
      <c r="X56" s="182"/>
      <c r="Y56" s="182"/>
      <c r="Z56" s="182"/>
      <c r="AA56" s="182">
        <v>112000.0</v>
      </c>
      <c r="AB56" s="182">
        <v>27701.0</v>
      </c>
      <c r="AC56" s="182">
        <v>16707.0</v>
      </c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4">
        <f t="shared" si="14"/>
        <v>267064.0</v>
      </c>
      <c r="AT56" s="190">
        <f>(AS56/(AS54-AS55))*100%</f>
        <v>1.0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215">
        <f t="shared" si="14"/>
        <v>0.0</v>
      </c>
      <c r="AT57" s="193">
        <f>(AS57/(AS54-AS55))*100%</f>
        <v>0.0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-129443.0</v>
      </c>
      <c r="E58" s="248"/>
      <c r="F58" s="249" t="s">
        <v>174</v>
      </c>
      <c r="G58" s="246"/>
      <c r="H58" s="246"/>
      <c r="I58" s="246"/>
      <c r="J58" s="246"/>
      <c r="K58" s="246"/>
      <c r="L58" s="250"/>
      <c r="M58" s="163" t="s">
        <v>175</v>
      </c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 t="s">
        <v>176</v>
      </c>
      <c r="Z58" s="251"/>
      <c r="AA58" s="251"/>
      <c r="AB58" s="251" t="s">
        <v>177</v>
      </c>
      <c r="AC58" s="251"/>
      <c r="AD58" s="251"/>
      <c r="AE58" s="251"/>
      <c r="AF58" s="251" t="s">
        <v>178</v>
      </c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>
        <v>82027.0</v>
      </c>
      <c r="Z59" s="261"/>
      <c r="AA59" s="261"/>
      <c r="AB59" s="261">
        <f>112000+28629</f>
        <v>140629.0</v>
      </c>
      <c r="AC59" s="261"/>
      <c r="AD59" s="261"/>
      <c r="AE59" s="261"/>
      <c r="AF59" s="261">
        <v>44408.0</v>
      </c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2"/>
      <c r="AS59" s="263">
        <f>SUM(N59:AR59)</f>
        <v>267064.0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topLeftCell="B1" zoomScale="40">
      <pane xSplit="12" ySplit="4" topLeftCell="N11" state="frozen" activePane="bottomRight"/>
      <selection pane="bottomRight" activeCell="N18" sqref="N18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8515625" style="116"/>
    <col min="5" max="5" customWidth="1" width="13.0" style="116"/>
    <col min="6" max="6" customWidth="1" width="18.425781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15" customWidth="1" width="11.0" style="116"/>
    <col min="16" max="16" customWidth="1" width="11.589844" style="116"/>
    <col min="17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108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pengerjaan/produksi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515638-07-12 
SUP11C, PH2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180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5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3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76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182">
        <f>N6-N8-N9</f>
        <v>0.0</v>
      </c>
      <c r="O7" s="182">
        <f t="shared" si="0" ref="O7:AR7">O6-O8-O9</f>
        <v>0.0</v>
      </c>
      <c r="P7" s="182">
        <f t="shared" si="0"/>
        <v>0.0</v>
      </c>
      <c r="Q7" s="182">
        <f t="shared" si="0"/>
        <v>0.0</v>
      </c>
      <c r="R7" s="182">
        <f t="shared" si="0"/>
        <v>0.0</v>
      </c>
      <c r="S7" s="182">
        <f t="shared" si="0"/>
        <v>0.0</v>
      </c>
      <c r="T7" s="182">
        <f t="shared" si="0"/>
        <v>0.0</v>
      </c>
      <c r="U7" s="182">
        <f t="shared" si="0"/>
        <v>0.0</v>
      </c>
      <c r="V7" s="182">
        <f t="shared" si="0"/>
        <v>0.0</v>
      </c>
      <c r="W7" s="182">
        <f t="shared" si="0"/>
        <v>0.0</v>
      </c>
      <c r="X7" s="182">
        <f t="shared" si="0"/>
        <v>0.0</v>
      </c>
      <c r="Y7" s="182">
        <f t="shared" si="0"/>
        <v>0.0</v>
      </c>
      <c r="Z7" s="182">
        <f t="shared" si="0"/>
        <v>0.0</v>
      </c>
      <c r="AA7" s="182">
        <f t="shared" si="0"/>
        <v>0.0</v>
      </c>
      <c r="AB7" s="182">
        <f t="shared" si="0"/>
        <v>0.0</v>
      </c>
      <c r="AC7" s="182">
        <f t="shared" si="0"/>
        <v>0.0</v>
      </c>
      <c r="AD7" s="182">
        <f t="shared" si="0"/>
        <v>0.0</v>
      </c>
      <c r="AE7" s="182">
        <f t="shared" si="0"/>
        <v>0.0</v>
      </c>
      <c r="AF7" s="182">
        <f t="shared" si="0"/>
        <v>0.0</v>
      </c>
      <c r="AG7" s="182">
        <f t="shared" si="0"/>
        <v>0.0</v>
      </c>
      <c r="AH7" s="182">
        <f t="shared" si="0"/>
        <v>0.0</v>
      </c>
      <c r="AI7" s="182">
        <f t="shared" si="0"/>
        <v>0.0</v>
      </c>
      <c r="AJ7" s="182">
        <f t="shared" si="0"/>
        <v>0.0</v>
      </c>
      <c r="AK7" s="182">
        <f t="shared" si="0"/>
        <v>0.0</v>
      </c>
      <c r="AL7" s="182">
        <f t="shared" si="0"/>
        <v>0.0</v>
      </c>
      <c r="AM7" s="182">
        <f t="shared" si="0"/>
        <v>0.0</v>
      </c>
      <c r="AN7" s="182">
        <f t="shared" si="0"/>
        <v>0.0</v>
      </c>
      <c r="AO7" s="182">
        <f t="shared" si="0"/>
        <v>0.0</v>
      </c>
      <c r="AP7" s="182">
        <f t="shared" si="0"/>
        <v>0.0</v>
      </c>
      <c r="AQ7" s="182">
        <f t="shared" si="0"/>
        <v>0.0</v>
      </c>
      <c r="AR7" s="182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9">
        <f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84">
        <f>SUM(N9:AR9)</f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-1016999.0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212">
        <f>SUM(N12:AR12)</f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182">
        <f>N12-N14-N15</f>
        <v>0.0</v>
      </c>
      <c r="O13" s="182">
        <f t="shared" si="1" ref="O13:AR13">O12-O14-O15</f>
        <v>0.0</v>
      </c>
      <c r="P13" s="182">
        <f t="shared" si="1"/>
        <v>0.0</v>
      </c>
      <c r="Q13" s="182">
        <f t="shared" si="1"/>
        <v>0.0</v>
      </c>
      <c r="R13" s="182">
        <f t="shared" si="1"/>
        <v>0.0</v>
      </c>
      <c r="S13" s="182">
        <f t="shared" si="1"/>
        <v>0.0</v>
      </c>
      <c r="T13" s="182">
        <f t="shared" si="1"/>
        <v>0.0</v>
      </c>
      <c r="U13" s="182">
        <f t="shared" si="1"/>
        <v>0.0</v>
      </c>
      <c r="V13" s="182">
        <f t="shared" si="1"/>
        <v>0.0</v>
      </c>
      <c r="W13" s="182">
        <f t="shared" si="1"/>
        <v>0.0</v>
      </c>
      <c r="X13" s="182">
        <f t="shared" si="1"/>
        <v>0.0</v>
      </c>
      <c r="Y13" s="182">
        <f t="shared" si="1"/>
        <v>0.0</v>
      </c>
      <c r="Z13" s="182">
        <f t="shared" si="1"/>
        <v>0.0</v>
      </c>
      <c r="AA13" s="182">
        <f t="shared" si="1"/>
        <v>0.0</v>
      </c>
      <c r="AB13" s="182">
        <f t="shared" si="1"/>
        <v>0.0</v>
      </c>
      <c r="AC13" s="182">
        <f t="shared" si="1"/>
        <v>0.0</v>
      </c>
      <c r="AD13" s="182">
        <f t="shared" si="1"/>
        <v>0.0</v>
      </c>
      <c r="AE13" s="182">
        <f t="shared" si="1"/>
        <v>0.0</v>
      </c>
      <c r="AF13" s="182">
        <f t="shared" si="1"/>
        <v>0.0</v>
      </c>
      <c r="AG13" s="182">
        <f t="shared" si="1"/>
        <v>0.0</v>
      </c>
      <c r="AH13" s="182">
        <f t="shared" si="1"/>
        <v>0.0</v>
      </c>
      <c r="AI13" s="182">
        <f t="shared" si="1"/>
        <v>0.0</v>
      </c>
      <c r="AJ13" s="182">
        <f t="shared" si="1"/>
        <v>0.0</v>
      </c>
      <c r="AK13" s="182">
        <f t="shared" si="1"/>
        <v>0.0</v>
      </c>
      <c r="AL13" s="182">
        <f t="shared" si="1"/>
        <v>0.0</v>
      </c>
      <c r="AM13" s="182">
        <f t="shared" si="1"/>
        <v>0.0</v>
      </c>
      <c r="AN13" s="182">
        <f t="shared" si="1"/>
        <v>0.0</v>
      </c>
      <c r="AO13" s="182">
        <f t="shared" si="1"/>
        <v>0.0</v>
      </c>
      <c r="AP13" s="182">
        <f t="shared" si="1"/>
        <v>0.0</v>
      </c>
      <c r="AQ13" s="182">
        <f t="shared" si="1"/>
        <v>0.0</v>
      </c>
      <c r="AR13" s="182">
        <f t="shared" si="1"/>
        <v>0.0</v>
      </c>
      <c r="AS13" s="214">
        <f>SUM(N13:AR13)</f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4">
        <f>SUM(N14:AR14)</f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215">
        <f>SUM(N15:AR15)</f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39653.0</v>
      </c>
      <c r="E17" s="155"/>
      <c r="F17" s="156">
        <v>39244.0</v>
      </c>
      <c r="G17" s="157">
        <v>44197.0</v>
      </c>
      <c r="H17" s="158"/>
      <c r="I17" s="159"/>
      <c r="J17" s="160"/>
      <c r="K17" s="161"/>
      <c r="L17" s="162"/>
      <c r="M17" s="163" t="s">
        <v>130</v>
      </c>
      <c r="N17" s="164" t="s">
        <v>159</v>
      </c>
      <c r="O17" s="165" t="s">
        <v>181</v>
      </c>
      <c r="P17" s="165" t="s">
        <v>182</v>
      </c>
      <c r="Q17" s="165" t="s">
        <v>183</v>
      </c>
      <c r="R17" s="165"/>
      <c r="S17" s="165" t="s">
        <v>184</v>
      </c>
      <c r="T17" s="165" t="s">
        <v>185</v>
      </c>
      <c r="U17" s="165" t="s">
        <v>186</v>
      </c>
      <c r="V17" s="165" t="s">
        <v>187</v>
      </c>
      <c r="W17" s="165"/>
      <c r="X17" s="165" t="s">
        <v>188</v>
      </c>
      <c r="Y17" s="165" t="s">
        <v>189</v>
      </c>
      <c r="Z17" s="165" t="s">
        <v>190</v>
      </c>
      <c r="AA17" s="165" t="s">
        <v>191</v>
      </c>
      <c r="AB17" s="165" t="s">
        <v>192</v>
      </c>
      <c r="AC17" s="165" t="s">
        <v>193</v>
      </c>
      <c r="AD17" s="165"/>
      <c r="AE17" s="165" t="s">
        <v>194</v>
      </c>
      <c r="AF17" s="165" t="s">
        <v>195</v>
      </c>
      <c r="AG17" s="165" t="s">
        <v>196</v>
      </c>
      <c r="AH17" s="165" t="s">
        <v>197</v>
      </c>
      <c r="AI17" s="165" t="s">
        <v>198</v>
      </c>
      <c r="AJ17" s="165" t="s">
        <v>168</v>
      </c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2">
        <f>1007-630+4024-478-543-391-921-1029+13627-300-28181-765</f>
        <v>-14580.0</v>
      </c>
      <c r="O18" s="183">
        <f>8000*4</f>
        <v>32000.0</v>
      </c>
      <c r="P18" s="183">
        <f>8000*4</f>
        <v>32000.0</v>
      </c>
      <c r="Q18" s="183">
        <f>9000*4</f>
        <v>36000.0</v>
      </c>
      <c r="R18" s="183">
        <f>10000*4</f>
        <v>40000.0</v>
      </c>
      <c r="S18" s="183">
        <f>10000*5</f>
        <v>50000.0</v>
      </c>
      <c r="T18" s="183">
        <f>10000*6</f>
        <v>60000.0</v>
      </c>
      <c r="U18" s="183">
        <f t="shared" si="2" ref="U18:AC18">8500*6</f>
        <v>51000.0</v>
      </c>
      <c r="V18" s="183">
        <f t="shared" si="2"/>
        <v>51000.0</v>
      </c>
      <c r="W18" s="183"/>
      <c r="X18" s="183">
        <f t="shared" si="2"/>
        <v>51000.0</v>
      </c>
      <c r="Y18" s="183">
        <f t="shared" si="2"/>
        <v>51000.0</v>
      </c>
      <c r="Z18" s="183">
        <f t="shared" si="2"/>
        <v>51000.0</v>
      </c>
      <c r="AA18" s="183">
        <f t="shared" si="2"/>
        <v>51000.0</v>
      </c>
      <c r="AB18" s="183">
        <f t="shared" si="2"/>
        <v>51000.0</v>
      </c>
      <c r="AC18" s="183">
        <f t="shared" si="2"/>
        <v>51000.0</v>
      </c>
      <c r="AD18" s="183"/>
      <c r="AE18" s="183">
        <f t="shared" si="3" ref="AE18:AJ18">8500*6</f>
        <v>51000.0</v>
      </c>
      <c r="AF18" s="183">
        <f t="shared" si="3"/>
        <v>51000.0</v>
      </c>
      <c r="AG18" s="183">
        <f t="shared" si="3"/>
        <v>51000.0</v>
      </c>
      <c r="AH18" s="183">
        <f t="shared" si="3"/>
        <v>51000.0</v>
      </c>
      <c r="AI18" s="183">
        <f t="shared" si="3"/>
        <v>51000.0</v>
      </c>
      <c r="AJ18" s="183">
        <f t="shared" si="3"/>
        <v>51000.0</v>
      </c>
      <c r="AK18" s="183"/>
      <c r="AL18" s="183"/>
      <c r="AM18" s="183"/>
      <c r="AN18" s="183"/>
      <c r="AO18" s="183"/>
      <c r="AP18" s="183"/>
      <c r="AQ18" s="183"/>
      <c r="AR18" s="183"/>
      <c r="AS18" s="212">
        <f>SUM(N18:AR18)</f>
        <v>949420.0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2">
        <f>N18-N20-N21</f>
        <v>0.0</v>
      </c>
      <c r="O19" s="182">
        <f t="shared" si="4" ref="O19:AR19">O18-O20-O21</f>
        <v>-3785.0</v>
      </c>
      <c r="P19" s="182">
        <f t="shared" si="4"/>
        <v>-6384.0</v>
      </c>
      <c r="Q19" s="182">
        <f t="shared" si="4"/>
        <v>-8622.0</v>
      </c>
      <c r="R19" s="182">
        <f t="shared" si="4"/>
        <v>-1379.0</v>
      </c>
      <c r="S19" s="182">
        <f t="shared" si="4"/>
        <v>3534.0</v>
      </c>
      <c r="T19" s="182">
        <f t="shared" si="4"/>
        <v>-7314.0</v>
      </c>
      <c r="U19" s="182">
        <f t="shared" si="4"/>
        <v>-18865.0</v>
      </c>
      <c r="V19" s="182">
        <f t="shared" si="4"/>
        <v>-2380.0</v>
      </c>
      <c r="W19" s="182">
        <f t="shared" si="4"/>
        <v>0.0</v>
      </c>
      <c r="X19" s="182">
        <f t="shared" si="4"/>
        <v>-17977.0</v>
      </c>
      <c r="Y19" s="182">
        <f t="shared" si="4"/>
        <v>-10838.0</v>
      </c>
      <c r="Z19" s="182">
        <f t="shared" si="4"/>
        <v>-5323.0</v>
      </c>
      <c r="AA19" s="182">
        <f t="shared" si="4"/>
        <v>1945.0</v>
      </c>
      <c r="AB19" s="182">
        <f t="shared" si="4"/>
        <v>-694.0</v>
      </c>
      <c r="AC19" s="182">
        <f t="shared" si="4"/>
        <v>13495.0</v>
      </c>
      <c r="AD19" s="182">
        <f t="shared" si="4"/>
        <v>0.0</v>
      </c>
      <c r="AE19" s="182">
        <f t="shared" si="4"/>
        <v>-35.0</v>
      </c>
      <c r="AF19" s="182">
        <f t="shared" si="4"/>
        <v>5985.0</v>
      </c>
      <c r="AG19" s="182">
        <f t="shared" si="4"/>
        <v>-4897.0</v>
      </c>
      <c r="AH19" s="182">
        <f t="shared" si="4"/>
        <v>-2612.0</v>
      </c>
      <c r="AI19" s="182">
        <f t="shared" si="4"/>
        <v>-6988.0</v>
      </c>
      <c r="AJ19" s="182">
        <f t="shared" si="4"/>
        <v>5555.0</v>
      </c>
      <c r="AK19" s="182">
        <f t="shared" si="4"/>
        <v>0.0</v>
      </c>
      <c r="AL19" s="182">
        <f t="shared" si="4"/>
        <v>0.0</v>
      </c>
      <c r="AM19" s="182">
        <f t="shared" si="4"/>
        <v>0.0</v>
      </c>
      <c r="AN19" s="182">
        <f t="shared" si="4"/>
        <v>0.0</v>
      </c>
      <c r="AO19" s="182">
        <f t="shared" si="4"/>
        <v>0.0</v>
      </c>
      <c r="AP19" s="182">
        <f t="shared" si="4"/>
        <v>0.0</v>
      </c>
      <c r="AQ19" s="182">
        <f t="shared" si="4"/>
        <v>0.0</v>
      </c>
      <c r="AR19" s="182">
        <f t="shared" si="4"/>
        <v>0.0</v>
      </c>
      <c r="AS19" s="214">
        <f>SUM(N19:AR19)</f>
        <v>-67579.0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2">
        <f>1007-630+4024-478-543-391-921-1029+13627-300-28181-765</f>
        <v>-14580.0</v>
      </c>
      <c r="O20" s="182">
        <f>8408+8308+9246+9815</f>
        <v>35777.0</v>
      </c>
      <c r="P20" s="182">
        <f>8982+9732+9550+10115</f>
        <v>38379.0</v>
      </c>
      <c r="Q20" s="182">
        <f>10732+11654+10739+11490</f>
        <v>44615.0</v>
      </c>
      <c r="R20" s="182">
        <f>11000+11815+8548+10013</f>
        <v>41376.0</v>
      </c>
      <c r="S20" s="182">
        <f>5946+2420+10764+7183+9567+10574</f>
        <v>46454.0</v>
      </c>
      <c r="T20" s="182">
        <f>11220+10634+11055+11466+11692+11230</f>
        <v>67297.0</v>
      </c>
      <c r="U20" s="182">
        <f>9704+9232+11072+10418+10050+8422+10952</f>
        <v>69850.0</v>
      </c>
      <c r="V20" s="182">
        <f>9372+8741+10031+7713+8656+8854</f>
        <v>53367.0</v>
      </c>
      <c r="W20" s="182"/>
      <c r="X20" s="182">
        <f>11028+11024+12160+11156+12000+11591</f>
        <v>68959.0</v>
      </c>
      <c r="Y20" s="182">
        <f>10761+9672+10730+10258+9854+10550</f>
        <v>61825.0</v>
      </c>
      <c r="Z20" s="182">
        <f>9176+9510+8539+9822+9503+9765</f>
        <v>56315.0</v>
      </c>
      <c r="AA20" s="182">
        <f>8641+8450+7237+9611+8437+6666</f>
        <v>49042.0</v>
      </c>
      <c r="AB20" s="182">
        <f>9533+7684+8082+8757+8863+8775</f>
        <v>51694.0</v>
      </c>
      <c r="AC20" s="182">
        <f>4630+6544+6769+6743+6058+6756</f>
        <v>37500.0</v>
      </c>
      <c r="AD20" s="182"/>
      <c r="AE20" s="182">
        <f>8755+8584+8560+8669+8250+8214</f>
        <v>51032.0</v>
      </c>
      <c r="AF20" s="182">
        <f>10262+9197+8731+7667+9149</f>
        <v>45006.0</v>
      </c>
      <c r="AG20" s="182">
        <f>9610+8642+10683+8203+10035+8711</f>
        <v>55884.0</v>
      </c>
      <c r="AH20" s="182">
        <f>7891+9780+9627+9815+9733+6752</f>
        <v>53598.0</v>
      </c>
      <c r="AI20" s="182">
        <f>10226+10187+9241+9607+9284+9425</f>
        <v>57970.0</v>
      </c>
      <c r="AJ20" s="182">
        <f>8255+6415+8035+8010+6619+8101</f>
        <v>45435.0</v>
      </c>
      <c r="AK20" s="182"/>
      <c r="AL20" s="182"/>
      <c r="AM20" s="182"/>
      <c r="AN20" s="182"/>
      <c r="AO20" s="182"/>
      <c r="AP20" s="182"/>
      <c r="AQ20" s="182"/>
      <c r="AR20" s="182"/>
      <c r="AS20" s="184">
        <f>SUM(N20:AR20)</f>
        <v>1016795.0</v>
      </c>
      <c r="AT20" s="190">
        <f>(AS20/(AS18-AS19))*100%</f>
        <v>0.9997994098322613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192"/>
      <c r="O21" s="192">
        <f>3+5</f>
        <v>8.0</v>
      </c>
      <c r="P21" s="192">
        <f>3+2</f>
        <v>5.0</v>
      </c>
      <c r="Q21" s="192">
        <f>2+3+2+0</f>
        <v>7.0</v>
      </c>
      <c r="R21" s="192">
        <v>3.0</v>
      </c>
      <c r="S21" s="192">
        <f>2+4+3+3</f>
        <v>12.0</v>
      </c>
      <c r="T21" s="192">
        <f>4+4+1+1+4+3</f>
        <v>17.0</v>
      </c>
      <c r="U21" s="192">
        <f>2+2+3+3+3+2</f>
        <v>15.0</v>
      </c>
      <c r="V21" s="192">
        <f>4+3+2+1+1+2</f>
        <v>13.0</v>
      </c>
      <c r="W21" s="192"/>
      <c r="X21" s="192">
        <f>8+5+5</f>
        <v>18.0</v>
      </c>
      <c r="Y21" s="192">
        <f>3+2+1+3+4</f>
        <v>13.0</v>
      </c>
      <c r="Z21" s="192">
        <f>8</f>
        <v>8.0</v>
      </c>
      <c r="AA21" s="192">
        <f>2+1+2+4+4</f>
        <v>13.0</v>
      </c>
      <c r="AB21" s="192"/>
      <c r="AC21" s="192">
        <f>1+2+1+1</f>
        <v>5.0</v>
      </c>
      <c r="AD21" s="192"/>
      <c r="AE21" s="192">
        <f>2+1</f>
        <v>3.0</v>
      </c>
      <c r="AF21" s="192">
        <f>9</f>
        <v>9.0</v>
      </c>
      <c r="AG21" s="192">
        <f>7+6</f>
        <v>13.0</v>
      </c>
      <c r="AH21" s="192">
        <f>5+4+5</f>
        <v>14.0</v>
      </c>
      <c r="AI21" s="192">
        <f>4+3+1+2+4+4</f>
        <v>18.0</v>
      </c>
      <c r="AJ21" s="192">
        <f>10</f>
        <v>10.0</v>
      </c>
      <c r="AK21" s="192"/>
      <c r="AL21" s="192"/>
      <c r="AM21" s="192"/>
      <c r="AN21" s="192"/>
      <c r="AO21" s="192"/>
      <c r="AP21" s="192"/>
      <c r="AQ21" s="192"/>
      <c r="AR21" s="192"/>
      <c r="AS21" s="215">
        <f>SUM(N21:AR21)</f>
        <v>204.0</v>
      </c>
      <c r="AT21" s="193">
        <f>(AS21/(AS18-AS19))*100%</f>
        <v>2.0059016773861133E-4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10538.0</v>
      </c>
      <c r="E23" s="155"/>
      <c r="F23" s="156">
        <v>0.0</v>
      </c>
      <c r="G23" s="157"/>
      <c r="H23" s="158"/>
      <c r="I23" s="159"/>
      <c r="J23" s="160"/>
      <c r="K23" s="161"/>
      <c r="L23" s="162"/>
      <c r="M23" s="163" t="s">
        <v>130</v>
      </c>
      <c r="N23" s="164" t="s">
        <v>159</v>
      </c>
      <c r="O23" s="164" t="s">
        <v>199</v>
      </c>
      <c r="P23" s="164" t="s">
        <v>149</v>
      </c>
      <c r="Q23" s="164" t="s">
        <v>150</v>
      </c>
      <c r="R23" s="164" t="s">
        <v>151</v>
      </c>
      <c r="S23" s="164" t="s">
        <v>200</v>
      </c>
      <c r="T23" s="164" t="s">
        <v>201</v>
      </c>
      <c r="U23" s="165" t="s">
        <v>153</v>
      </c>
      <c r="V23" s="164" t="s">
        <v>202</v>
      </c>
      <c r="W23" s="164"/>
      <c r="X23" s="164" t="s">
        <v>155</v>
      </c>
      <c r="Y23" s="164" t="s">
        <v>156</v>
      </c>
      <c r="Z23" s="164" t="s">
        <v>157</v>
      </c>
      <c r="AA23" s="164"/>
      <c r="AB23" s="164" t="s">
        <v>203</v>
      </c>
      <c r="AC23" s="164" t="s">
        <v>204</v>
      </c>
      <c r="AD23" s="164"/>
      <c r="AE23" s="164" t="s">
        <v>205</v>
      </c>
      <c r="AF23" s="164" t="s">
        <v>206</v>
      </c>
      <c r="AG23" s="164" t="s">
        <v>207</v>
      </c>
      <c r="AH23" s="164" t="s">
        <v>208</v>
      </c>
      <c r="AI23" s="164" t="s">
        <v>167</v>
      </c>
      <c r="AJ23" s="164" t="s">
        <v>209</v>
      </c>
      <c r="AK23" s="164"/>
      <c r="AL23" s="164"/>
      <c r="AM23" s="164"/>
      <c r="AN23" s="164"/>
      <c r="AO23" s="164"/>
      <c r="AP23" s="164"/>
      <c r="AQ23" s="164"/>
      <c r="AR23" s="164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182">
        <f>1007-630+4024-478-543-391-921-1029+13627-300-765</f>
        <v>13601.0</v>
      </c>
      <c r="O24" s="182">
        <v>50000.0</v>
      </c>
      <c r="P24" s="182">
        <v>50000.0</v>
      </c>
      <c r="Q24" s="182">
        <v>50000.0</v>
      </c>
      <c r="R24" s="182">
        <v>50000.0</v>
      </c>
      <c r="S24" s="182">
        <v>50000.0</v>
      </c>
      <c r="T24" s="182">
        <f>50000*2</f>
        <v>100000.0</v>
      </c>
      <c r="U24" s="182">
        <f>42974+5507+7108+6410</f>
        <v>61999.0</v>
      </c>
      <c r="V24" s="182">
        <f>36201+7276+26595</f>
        <v>70072.0</v>
      </c>
      <c r="W24" s="182"/>
      <c r="X24" s="182">
        <v>70000.0</v>
      </c>
      <c r="Y24" s="182">
        <v>70000.0</v>
      </c>
      <c r="Z24" s="182">
        <v>70000.0</v>
      </c>
      <c r="AA24" s="182">
        <v>70000.0</v>
      </c>
      <c r="AB24" s="182">
        <v>70000.0</v>
      </c>
      <c r="AC24" s="182">
        <v>70000.0</v>
      </c>
      <c r="AD24" s="182"/>
      <c r="AE24" s="182">
        <f>13139+37870</f>
        <v>51009.0</v>
      </c>
      <c r="AF24" s="182">
        <f>37800+22485</f>
        <v>60285.0</v>
      </c>
      <c r="AG24" s="182">
        <f>27329+9415</f>
        <v>36744.0</v>
      </c>
      <c r="AH24" s="182">
        <f>27164+40740</f>
        <v>67904.0</v>
      </c>
      <c r="AI24" s="182">
        <v>26589.0</v>
      </c>
      <c r="AJ24" s="182">
        <f>47380+1360</f>
        <v>48740.0</v>
      </c>
      <c r="AK24" s="182"/>
      <c r="AL24" s="182"/>
      <c r="AM24" s="182"/>
      <c r="AN24" s="182"/>
      <c r="AO24" s="182"/>
      <c r="AP24" s="182"/>
      <c r="AQ24" s="182"/>
      <c r="AR24" s="182"/>
      <c r="AS24" s="212">
        <f>SUM(N24:AR24)</f>
        <v>1206943.0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182">
        <f>N24-N26-N27</f>
        <v>0.0</v>
      </c>
      <c r="O25" s="182">
        <f t="shared" si="5" ref="O25:AR25">O24-O26-O27</f>
        <v>16396.0</v>
      </c>
      <c r="P25" s="182">
        <f t="shared" si="5"/>
        <v>22140.0</v>
      </c>
      <c r="Q25" s="182">
        <f t="shared" si="5"/>
        <v>12661.0</v>
      </c>
      <c r="R25" s="182">
        <f t="shared" si="5"/>
        <v>3145.0</v>
      </c>
      <c r="S25" s="182">
        <f t="shared" si="5"/>
        <v>10577.0</v>
      </c>
      <c r="T25" s="182">
        <f t="shared" si="5"/>
        <v>33735.0</v>
      </c>
      <c r="U25" s="182">
        <f t="shared" si="5"/>
        <v>-6160.0</v>
      </c>
      <c r="V25" s="182">
        <f t="shared" si="5"/>
        <v>-295.0</v>
      </c>
      <c r="W25" s="182">
        <f t="shared" si="5"/>
        <v>0.0</v>
      </c>
      <c r="X25" s="182">
        <f t="shared" si="5"/>
        <v>106.0</v>
      </c>
      <c r="Y25" s="182">
        <f t="shared" si="5"/>
        <v>7534.0</v>
      </c>
      <c r="Z25" s="182">
        <f t="shared" si="5"/>
        <v>16780.0</v>
      </c>
      <c r="AA25" s="182">
        <f t="shared" si="5"/>
        <v>21325.0</v>
      </c>
      <c r="AB25" s="182">
        <f t="shared" si="5"/>
        <v>31968.0</v>
      </c>
      <c r="AC25" s="182">
        <f t="shared" si="5"/>
        <v>21095.0</v>
      </c>
      <c r="AD25" s="182">
        <f t="shared" si="5"/>
        <v>0.0</v>
      </c>
      <c r="AE25" s="182">
        <f t="shared" si="5"/>
        <v>-87.0</v>
      </c>
      <c r="AF25" s="182">
        <f t="shared" si="5"/>
        <v>-93.0</v>
      </c>
      <c r="AG25" s="182">
        <f t="shared" si="5"/>
        <v>-78.0</v>
      </c>
      <c r="AH25" s="182">
        <f t="shared" si="5"/>
        <v>-89.0</v>
      </c>
      <c r="AI25" s="182">
        <f t="shared" si="5"/>
        <v>-48.0</v>
      </c>
      <c r="AJ25" s="182">
        <f t="shared" si="5"/>
        <v>-55.0</v>
      </c>
      <c r="AK25" s="182">
        <f t="shared" si="5"/>
        <v>0.0</v>
      </c>
      <c r="AL25" s="182">
        <f t="shared" si="5"/>
        <v>0.0</v>
      </c>
      <c r="AM25" s="182">
        <f t="shared" si="5"/>
        <v>0.0</v>
      </c>
      <c r="AN25" s="182">
        <f t="shared" si="5"/>
        <v>0.0</v>
      </c>
      <c r="AO25" s="182">
        <f t="shared" si="5"/>
        <v>0.0</v>
      </c>
      <c r="AP25" s="182">
        <f t="shared" si="5"/>
        <v>0.0</v>
      </c>
      <c r="AQ25" s="182">
        <f t="shared" si="5"/>
        <v>0.0</v>
      </c>
      <c r="AR25" s="182">
        <f t="shared" si="5"/>
        <v>0.0</v>
      </c>
      <c r="AS25" s="214">
        <f>SUM(N25:AR25)</f>
        <v>190557.0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182">
        <f>1007-630+4024-478-543-391-921-1029+13627-300-765</f>
        <v>13601.0</v>
      </c>
      <c r="O26" s="182">
        <v>33453.0</v>
      </c>
      <c r="P26" s="182">
        <v>27860.0</v>
      </c>
      <c r="Q26" s="182">
        <v>37287.0</v>
      </c>
      <c r="R26" s="182">
        <v>46849.0</v>
      </c>
      <c r="S26" s="182">
        <v>39144.0</v>
      </c>
      <c r="T26" s="182">
        <f>11419+54450</f>
        <v>65869.0</v>
      </c>
      <c r="U26" s="182">
        <f>42974+5507+7108+6410+5932</f>
        <v>67931.0</v>
      </c>
      <c r="V26" s="182">
        <f>36201+7276+26595</f>
        <v>70072.0</v>
      </c>
      <c r="W26" s="182"/>
      <c r="X26" s="182">
        <f>32675+37107</f>
        <v>69782.0</v>
      </c>
      <c r="Y26" s="182">
        <f>31251+31138</f>
        <v>62389.0</v>
      </c>
      <c r="Z26" s="182">
        <f>27702+25457</f>
        <v>53159.0</v>
      </c>
      <c r="AA26" s="182">
        <f>22685+25935</f>
        <v>48620.0</v>
      </c>
      <c r="AB26" s="182">
        <f>19490+18425</f>
        <v>37915.0</v>
      </c>
      <c r="AC26" s="182">
        <f>35260+13620</f>
        <v>48880.0</v>
      </c>
      <c r="AD26" s="182"/>
      <c r="AE26" s="182">
        <f>13139+37870</f>
        <v>51009.0</v>
      </c>
      <c r="AF26" s="182">
        <f>37800+22485</f>
        <v>60285.0</v>
      </c>
      <c r="AG26" s="182">
        <f>27329+9415</f>
        <v>36744.0</v>
      </c>
      <c r="AH26" s="182">
        <f>27164+40740</f>
        <v>67904.0</v>
      </c>
      <c r="AI26" s="182">
        <v>26589.0</v>
      </c>
      <c r="AJ26" s="182">
        <f>47380+1360</f>
        <v>48740.0</v>
      </c>
      <c r="AK26" s="182"/>
      <c r="AL26" s="182"/>
      <c r="AM26" s="182"/>
      <c r="AN26" s="182"/>
      <c r="AO26" s="182"/>
      <c r="AP26" s="182"/>
      <c r="AQ26" s="182"/>
      <c r="AR26" s="182"/>
      <c r="AS26" s="184">
        <f>SUM(N26:AR26)</f>
        <v>1014082.0</v>
      </c>
      <c r="AT26" s="190">
        <f>(AS26/(AS24-AS25))*100%</f>
        <v>0.9977331446910918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192"/>
      <c r="O27" s="192">
        <v>151.0</v>
      </c>
      <c r="P27" s="192">
        <v>0.0</v>
      </c>
      <c r="Q27" s="192">
        <v>52.0</v>
      </c>
      <c r="R27" s="192">
        <v>6.0</v>
      </c>
      <c r="S27" s="192">
        <f>37+242</f>
        <v>279.0</v>
      </c>
      <c r="T27" s="192">
        <f>195+201</f>
        <v>396.0</v>
      </c>
      <c r="U27" s="192">
        <v>228.0</v>
      </c>
      <c r="V27" s="192">
        <f>285+10</f>
        <v>295.0</v>
      </c>
      <c r="W27" s="192"/>
      <c r="X27" s="192">
        <f>112</f>
        <v>112.0</v>
      </c>
      <c r="Y27" s="192">
        <f>62+15</f>
        <v>77.0</v>
      </c>
      <c r="Z27" s="182">
        <f>45+16</f>
        <v>61.0</v>
      </c>
      <c r="AA27" s="192">
        <v>55.0</v>
      </c>
      <c r="AB27" s="192">
        <v>117.0</v>
      </c>
      <c r="AC27" s="192">
        <f>15+10</f>
        <v>25.0</v>
      </c>
      <c r="AD27" s="192"/>
      <c r="AE27" s="192">
        <f>87</f>
        <v>87.0</v>
      </c>
      <c r="AF27" s="192">
        <f>78+15</f>
        <v>93.0</v>
      </c>
      <c r="AG27" s="192">
        <f>78</f>
        <v>78.0</v>
      </c>
      <c r="AH27" s="192">
        <f>26+63</f>
        <v>89.0</v>
      </c>
      <c r="AI27" s="192">
        <v>48.0</v>
      </c>
      <c r="AJ27" s="192">
        <v>55.0</v>
      </c>
      <c r="AK27" s="192"/>
      <c r="AL27" s="192"/>
      <c r="AM27" s="192"/>
      <c r="AN27" s="192"/>
      <c r="AO27" s="192"/>
      <c r="AP27" s="192"/>
      <c r="AQ27" s="192"/>
      <c r="AR27" s="192"/>
      <c r="AS27" s="215">
        <f>SUM(N27:AR27)</f>
        <v>2304.0</v>
      </c>
      <c r="AT27" s="193">
        <f>(AS27/(AS24-AS25))*100%</f>
        <v>0.0022668553089082296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157"/>
      <c r="H29" s="158"/>
      <c r="I29" s="159"/>
      <c r="J29" s="160"/>
      <c r="K29" s="161"/>
      <c r="L29" s="162"/>
      <c r="M29" s="163" t="s">
        <v>130</v>
      </c>
      <c r="N29" s="164" t="s">
        <v>159</v>
      </c>
      <c r="O29" s="165" t="s">
        <v>210</v>
      </c>
      <c r="P29" s="165" t="s">
        <v>161</v>
      </c>
      <c r="Q29" s="165" t="s">
        <v>162</v>
      </c>
      <c r="R29" s="165"/>
      <c r="S29" s="165" t="s">
        <v>211</v>
      </c>
      <c r="T29" s="165" t="s">
        <v>212</v>
      </c>
      <c r="U29" s="165" t="s">
        <v>213</v>
      </c>
      <c r="V29" s="165" t="s">
        <v>214</v>
      </c>
      <c r="W29" s="165"/>
      <c r="X29" s="165" t="s">
        <v>215</v>
      </c>
      <c r="Y29" s="165" t="s">
        <v>216</v>
      </c>
      <c r="Z29" s="165" t="s">
        <v>217</v>
      </c>
      <c r="AA29" s="165"/>
      <c r="AB29" s="165" t="s">
        <v>218</v>
      </c>
      <c r="AC29" s="165" t="s">
        <v>219</v>
      </c>
      <c r="AD29" s="165"/>
      <c r="AE29" s="165" t="s">
        <v>220</v>
      </c>
      <c r="AF29" s="165" t="s">
        <v>221</v>
      </c>
      <c r="AG29" s="165" t="s">
        <v>222</v>
      </c>
      <c r="AH29" s="165" t="s">
        <v>223</v>
      </c>
      <c r="AI29" s="165" t="s">
        <v>224</v>
      </c>
      <c r="AJ29" s="165" t="s">
        <v>225</v>
      </c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182">
        <f>1007-630+4024-478-543-391-921-1029-765</f>
        <v>274.0</v>
      </c>
      <c r="O30" s="183">
        <f>8000*4</f>
        <v>32000.0</v>
      </c>
      <c r="P30" s="183">
        <f>8000*4</f>
        <v>32000.0</v>
      </c>
      <c r="Q30" s="183">
        <f>10000*4</f>
        <v>40000.0</v>
      </c>
      <c r="R30" s="183">
        <f>10000*4</f>
        <v>40000.0</v>
      </c>
      <c r="S30" s="183">
        <f>10000*5</f>
        <v>50000.0</v>
      </c>
      <c r="T30" s="183">
        <f>10000*8</f>
        <v>80000.0</v>
      </c>
      <c r="U30" s="183">
        <f t="shared" si="6" ref="U30:Z30">8000*8</f>
        <v>64000.0</v>
      </c>
      <c r="V30" s="183">
        <f t="shared" si="6"/>
        <v>64000.0</v>
      </c>
      <c r="W30" s="183"/>
      <c r="X30" s="183">
        <f t="shared" si="6"/>
        <v>64000.0</v>
      </c>
      <c r="Y30" s="183">
        <f t="shared" si="6"/>
        <v>64000.0</v>
      </c>
      <c r="Z30" s="183">
        <f t="shared" si="7" ref="Z30:AC30">8000*6</f>
        <v>48000.0</v>
      </c>
      <c r="AA30" s="183">
        <f t="shared" si="7"/>
        <v>48000.0</v>
      </c>
      <c r="AB30" s="183">
        <f t="shared" si="7"/>
        <v>48000.0</v>
      </c>
      <c r="AC30" s="183">
        <f t="shared" si="7"/>
        <v>48000.0</v>
      </c>
      <c r="AD30" s="183"/>
      <c r="AE30" s="183">
        <f t="shared" si="8" ref="AE30:AJ30">8000*6</f>
        <v>48000.0</v>
      </c>
      <c r="AF30" s="183">
        <f t="shared" si="8"/>
        <v>48000.0</v>
      </c>
      <c r="AG30" s="183">
        <f t="shared" si="8"/>
        <v>48000.0</v>
      </c>
      <c r="AH30" s="183">
        <f t="shared" si="8"/>
        <v>48000.0</v>
      </c>
      <c r="AI30" s="183">
        <f t="shared" si="8"/>
        <v>48000.0</v>
      </c>
      <c r="AJ30" s="183">
        <f t="shared" si="8"/>
        <v>48000.0</v>
      </c>
      <c r="AK30" s="183"/>
      <c r="AL30" s="183"/>
      <c r="AM30" s="183"/>
      <c r="AN30" s="183"/>
      <c r="AO30" s="183"/>
      <c r="AP30" s="183"/>
      <c r="AQ30" s="183"/>
      <c r="AR30" s="183"/>
      <c r="AS30" s="212">
        <f>SUM(N30:AR30)</f>
        <v>1010274.0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182">
        <f>N30-N32-N33</f>
        <v>0.0</v>
      </c>
      <c r="O31" s="182">
        <f t="shared" si="9" ref="O31:AR31">O30-O32-O33</f>
        <v>2309.0</v>
      </c>
      <c r="P31" s="182">
        <f t="shared" si="9"/>
        <v>2679.0</v>
      </c>
      <c r="Q31" s="182">
        <f t="shared" si="9"/>
        <v>3510.0</v>
      </c>
      <c r="R31" s="182">
        <f t="shared" si="9"/>
        <v>4467.0</v>
      </c>
      <c r="S31" s="182">
        <f t="shared" si="9"/>
        <v>-5413.0</v>
      </c>
      <c r="T31" s="182">
        <f t="shared" si="9"/>
        <v>2955.0</v>
      </c>
      <c r="U31" s="182">
        <f t="shared" si="9"/>
        <v>-10847.0</v>
      </c>
      <c r="V31" s="182">
        <f t="shared" si="9"/>
        <v>5603.0</v>
      </c>
      <c r="W31" s="182">
        <f t="shared" si="9"/>
        <v>0.0</v>
      </c>
      <c r="X31" s="182">
        <f t="shared" si="9"/>
        <v>-12452.0</v>
      </c>
      <c r="Y31" s="182">
        <f t="shared" si="9"/>
        <v>-8133.0</v>
      </c>
      <c r="Z31" s="182">
        <f t="shared" si="9"/>
        <v>-5209.0</v>
      </c>
      <c r="AA31" s="182">
        <f t="shared" si="9"/>
        <v>1833.0</v>
      </c>
      <c r="AB31" s="182">
        <f t="shared" si="9"/>
        <v>5836.0</v>
      </c>
      <c r="AC31" s="182">
        <f t="shared" si="9"/>
        <v>15783.0</v>
      </c>
      <c r="AD31" s="182">
        <f t="shared" si="9"/>
        <v>0.0</v>
      </c>
      <c r="AE31" s="182">
        <f t="shared" si="9"/>
        <v>3344.0</v>
      </c>
      <c r="AF31" s="182">
        <f t="shared" si="9"/>
        <v>-2287.0</v>
      </c>
      <c r="AG31" s="182">
        <f t="shared" si="9"/>
        <v>368.0</v>
      </c>
      <c r="AH31" s="182">
        <f t="shared" si="9"/>
        <v>-1961.0</v>
      </c>
      <c r="AI31" s="182">
        <f t="shared" si="9"/>
        <v>-2780.0</v>
      </c>
      <c r="AJ31" s="182">
        <f t="shared" si="9"/>
        <v>7125.0</v>
      </c>
      <c r="AK31" s="182">
        <f t="shared" si="9"/>
        <v>0.0</v>
      </c>
      <c r="AL31" s="182">
        <f t="shared" si="9"/>
        <v>0.0</v>
      </c>
      <c r="AM31" s="182">
        <f t="shared" si="9"/>
        <v>0.0</v>
      </c>
      <c r="AN31" s="182">
        <f t="shared" si="9"/>
        <v>0.0</v>
      </c>
      <c r="AO31" s="182">
        <f t="shared" si="9"/>
        <v>0.0</v>
      </c>
      <c r="AP31" s="182">
        <f t="shared" si="9"/>
        <v>0.0</v>
      </c>
      <c r="AQ31" s="182">
        <f t="shared" si="9"/>
        <v>0.0</v>
      </c>
      <c r="AR31" s="182">
        <f t="shared" si="9"/>
        <v>0.0</v>
      </c>
      <c r="AS31" s="214">
        <f>SUM(N31:AR31)</f>
        <v>6730.0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182">
        <f>1007-630+4024-478-543-391-921-1029-765</f>
        <v>274.0</v>
      </c>
      <c r="O32" s="182">
        <f>7550+6002+8570+7569</f>
        <v>29691.0</v>
      </c>
      <c r="P32" s="182">
        <f>6679+6410+8887+7345</f>
        <v>29321.0</v>
      </c>
      <c r="Q32" s="182">
        <f>8674+8565+9549+9702</f>
        <v>36490.0</v>
      </c>
      <c r="R32" s="182">
        <f>7860+8384+9512+9760</f>
        <v>35516.0</v>
      </c>
      <c r="S32" s="182">
        <f>8850+7233+4020+8955+8615+10130+7580</f>
        <v>55383.0</v>
      </c>
      <c r="T32" s="182">
        <f>9411+9571+9368+9887+9495+9475+9400+10405</f>
        <v>77012.0</v>
      </c>
      <c r="U32" s="182">
        <f>8630+9317+9225+9515+9477+9487+9195+9980</f>
        <v>74826.0</v>
      </c>
      <c r="V32" s="182">
        <f>7325+6372+5940+6752+7740+7857+8084+8307</f>
        <v>58377.0</v>
      </c>
      <c r="W32" s="182"/>
      <c r="X32" s="182">
        <f>9725+8918+9744+9959+9255+8587+9964+10275</f>
        <v>76427.0</v>
      </c>
      <c r="Y32" s="182">
        <f>8504+8511+9535+9620+8650+8650+9060+9589</f>
        <v>72119.0</v>
      </c>
      <c r="Z32" s="182">
        <f>7958+9100+8997+8745+9082+9310</f>
        <v>53192.0</v>
      </c>
      <c r="AA32" s="182">
        <f>8595+7215+7124+8758+7590+6870</f>
        <v>46152.0</v>
      </c>
      <c r="AB32" s="182">
        <f>7025+6688+6890+7567+6700+7280</f>
        <v>42150.0</v>
      </c>
      <c r="AC32" s="182">
        <f>6098+5522+4834+5665+4824+5255</f>
        <v>32198.0</v>
      </c>
      <c r="AD32" s="182"/>
      <c r="AE32" s="182">
        <f>8178+6255+5355+8974+7840+8034</f>
        <v>44636.0</v>
      </c>
      <c r="AF32" s="182">
        <f>8590+8274+8318+8437+7880+8788</f>
        <v>50287.0</v>
      </c>
      <c r="AG32" s="182">
        <f>7900+8252+8042+7510+8160+7753</f>
        <v>47617.0</v>
      </c>
      <c r="AH32" s="182">
        <f>8363+7958+8695+8774+7374+8779</f>
        <v>49943.0</v>
      </c>
      <c r="AI32" s="182">
        <f>8572+7962+8358+8531+8153+9180</f>
        <v>50756.0</v>
      </c>
      <c r="AJ32" s="182">
        <f>7370+6795+6430+7002+6461+6800</f>
        <v>40858.0</v>
      </c>
      <c r="AK32" s="182"/>
      <c r="AL32" s="182"/>
      <c r="AM32" s="182"/>
      <c r="AN32" s="182"/>
      <c r="AO32" s="182"/>
      <c r="AP32" s="182"/>
      <c r="AQ32" s="182"/>
      <c r="AR32" s="182"/>
      <c r="AS32" s="184">
        <f>SUM(N32:AR32)</f>
        <v>1003225.0</v>
      </c>
      <c r="AT32" s="190">
        <f>(AS32/(AS30-AS31))*100%</f>
        <v>0.9996821265435297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192"/>
      <c r="O33" s="192">
        <v>0.0</v>
      </c>
      <c r="P33" s="192">
        <v>0.0</v>
      </c>
      <c r="Q33" s="192">
        <v>0.0</v>
      </c>
      <c r="R33" s="192">
        <f>9+8</f>
        <v>17.0</v>
      </c>
      <c r="S33" s="192">
        <f>2+10+3+5+3+5+2</f>
        <v>30.0</v>
      </c>
      <c r="T33" s="192">
        <f>9+1+4+2+3+5+5+4</f>
        <v>33.0</v>
      </c>
      <c r="U33" s="192">
        <f>3+2+3+3+2+4+1+3</f>
        <v>21.0</v>
      </c>
      <c r="V33" s="192">
        <f>3+4+7+6</f>
        <v>20.0</v>
      </c>
      <c r="W33" s="192"/>
      <c r="X33" s="192">
        <f>6+5+14</f>
        <v>25.0</v>
      </c>
      <c r="Y33" s="192">
        <f>2+1+1+3+4+3</f>
        <v>14.0</v>
      </c>
      <c r="Z33" s="192">
        <f>10+7</f>
        <v>17.0</v>
      </c>
      <c r="AA33" s="192">
        <f>3+3+1+3+3+2</f>
        <v>15.0</v>
      </c>
      <c r="AB33" s="192">
        <f>2+4+2+2+3+1</f>
        <v>14.0</v>
      </c>
      <c r="AC33" s="192">
        <f>2+4+4+3+3+3</f>
        <v>19.0</v>
      </c>
      <c r="AD33" s="192"/>
      <c r="AE33" s="192">
        <f>10+10</f>
        <v>20.0</v>
      </c>
      <c r="AF33" s="192"/>
      <c r="AG33" s="192">
        <f>7+8</f>
        <v>15.0</v>
      </c>
      <c r="AH33" s="192">
        <f>10+8</f>
        <v>18.0</v>
      </c>
      <c r="AI33" s="192">
        <f>12+12</f>
        <v>24.0</v>
      </c>
      <c r="AJ33" s="192">
        <f>13+4</f>
        <v>17.0</v>
      </c>
      <c r="AK33" s="192"/>
      <c r="AL33" s="192"/>
      <c r="AM33" s="192"/>
      <c r="AN33" s="192"/>
      <c r="AO33" s="192"/>
      <c r="AP33" s="192"/>
      <c r="AQ33" s="192"/>
      <c r="AR33" s="192"/>
      <c r="AS33" s="215">
        <f>SUM(N33:AR33)</f>
        <v>319.0</v>
      </c>
      <c r="AT33" s="193">
        <f>(AS33/(AS30-AS31))*100%</f>
        <v>3.178734564702694E-4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7"/>
      <c r="AT34" s="208"/>
    </row>
    <row r="35" spans="8:8" s="150" ht="23.25" customFormat="1" customHeight="1">
      <c r="A35" s="169"/>
      <c r="B35" s="228" t="s">
        <v>226</v>
      </c>
      <c r="C35" s="153"/>
      <c r="D35" s="154">
        <f>F35+AS38-AS42+AS43</f>
        <v>0.0</v>
      </c>
      <c r="E35" s="155"/>
      <c r="F35" s="156">
        <v>20502.0</v>
      </c>
      <c r="G35" s="218">
        <v>44197.0</v>
      </c>
      <c r="H35" s="158"/>
      <c r="I35" s="159"/>
      <c r="J35" s="160"/>
      <c r="K35" s="161"/>
      <c r="L35" s="162"/>
      <c r="M35" s="163" t="s">
        <v>130</v>
      </c>
      <c r="N35" s="164" t="s">
        <v>159</v>
      </c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182">
        <f>1007-630+4024-478</f>
        <v>3923.0</v>
      </c>
      <c r="O36" s="183">
        <v>29691.0</v>
      </c>
      <c r="P36" s="183">
        <v>29321.0</v>
      </c>
      <c r="Q36" s="183">
        <v>36490.0</v>
      </c>
      <c r="R36" s="183">
        <v>35516.0</v>
      </c>
      <c r="S36" s="183">
        <v>55383.0</v>
      </c>
      <c r="T36" s="183">
        <v>77012.0</v>
      </c>
      <c r="U36" s="183">
        <v>74826.0</v>
      </c>
      <c r="V36" s="183">
        <v>58377.0</v>
      </c>
      <c r="W36" s="183"/>
      <c r="X36" s="183">
        <v>76427.0</v>
      </c>
      <c r="Y36" s="183">
        <v>72119.0</v>
      </c>
      <c r="Z36" s="183">
        <f>53187</f>
        <v>53187.0</v>
      </c>
      <c r="AA36" s="183">
        <v>46152.0</v>
      </c>
      <c r="AB36" s="183">
        <f>21547+20603</f>
        <v>42150.0</v>
      </c>
      <c r="AC36" s="183">
        <v>32198.0</v>
      </c>
      <c r="AD36" s="183"/>
      <c r="AE36" s="183">
        <v>44093.0</v>
      </c>
      <c r="AF36" s="183">
        <v>49896.0</v>
      </c>
      <c r="AG36" s="183">
        <v>46696.0</v>
      </c>
      <c r="AH36" s="183">
        <v>48914.0</v>
      </c>
      <c r="AI36" s="183">
        <v>49991.0</v>
      </c>
      <c r="AJ36" s="183">
        <f>20595+20263</f>
        <v>40858.0</v>
      </c>
      <c r="AK36" s="183"/>
      <c r="AL36" s="183"/>
      <c r="AM36" s="183"/>
      <c r="AN36" s="183"/>
      <c r="AO36" s="183"/>
      <c r="AP36" s="183"/>
      <c r="AQ36" s="183"/>
      <c r="AR36" s="183"/>
      <c r="AS36" s="212">
        <f>SUM(N36:AR36)</f>
        <v>1003220.0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182">
        <f>N36-N38-N39</f>
        <v>0.0</v>
      </c>
      <c r="O37" s="182">
        <f>O36-O38-O39</f>
        <v>0.0</v>
      </c>
      <c r="P37" s="182">
        <f t="shared" si="10" ref="O37:AR37">P36-P38-P39</f>
        <v>0.0</v>
      </c>
      <c r="Q37" s="182">
        <f t="shared" si="10"/>
        <v>0.0</v>
      </c>
      <c r="R37" s="182">
        <f t="shared" si="10"/>
        <v>0.0</v>
      </c>
      <c r="S37" s="182">
        <f t="shared" si="10"/>
        <v>0.0</v>
      </c>
      <c r="T37" s="182">
        <f t="shared" si="10"/>
        <v>0.0</v>
      </c>
      <c r="U37" s="182">
        <f t="shared" si="10"/>
        <v>0.0</v>
      </c>
      <c r="V37" s="182">
        <f t="shared" si="10"/>
        <v>0.0</v>
      </c>
      <c r="W37" s="182">
        <f t="shared" si="10"/>
        <v>0.0</v>
      </c>
      <c r="X37" s="182">
        <f t="shared" si="10"/>
        <v>0.0</v>
      </c>
      <c r="Y37" s="182">
        <f t="shared" si="10"/>
        <v>0.0</v>
      </c>
      <c r="Z37" s="182">
        <f t="shared" si="10"/>
        <v>-5.0</v>
      </c>
      <c r="AA37" s="182">
        <f t="shared" si="10"/>
        <v>0.0</v>
      </c>
      <c r="AB37" s="182">
        <f t="shared" si="10"/>
        <v>0.0</v>
      </c>
      <c r="AC37" s="182">
        <f t="shared" si="10"/>
        <v>0.0</v>
      </c>
      <c r="AD37" s="182">
        <f t="shared" si="10"/>
        <v>0.0</v>
      </c>
      <c r="AE37" s="182">
        <f t="shared" si="10"/>
        <v>0.0</v>
      </c>
      <c r="AF37" s="182">
        <f t="shared" si="10"/>
        <v>0.0</v>
      </c>
      <c r="AG37" s="182">
        <f t="shared" si="10"/>
        <v>0.0</v>
      </c>
      <c r="AH37" s="182">
        <f t="shared" si="10"/>
        <v>0.0</v>
      </c>
      <c r="AI37" s="182">
        <f t="shared" si="10"/>
        <v>0.0</v>
      </c>
      <c r="AJ37" s="182">
        <f t="shared" si="10"/>
        <v>0.0</v>
      </c>
      <c r="AK37" s="182">
        <f t="shared" si="10"/>
        <v>0.0</v>
      </c>
      <c r="AL37" s="182">
        <f t="shared" si="10"/>
        <v>0.0</v>
      </c>
      <c r="AM37" s="182">
        <f t="shared" si="10"/>
        <v>0.0</v>
      </c>
      <c r="AN37" s="182">
        <f t="shared" si="10"/>
        <v>0.0</v>
      </c>
      <c r="AO37" s="182">
        <f t="shared" si="10"/>
        <v>0.0</v>
      </c>
      <c r="AP37" s="182">
        <f t="shared" si="10"/>
        <v>0.0</v>
      </c>
      <c r="AQ37" s="182">
        <f t="shared" si="10"/>
        <v>0.0</v>
      </c>
      <c r="AR37" s="182">
        <f t="shared" si="10"/>
        <v>0.0</v>
      </c>
      <c r="AS37" s="214">
        <f>SUM(N37:AR37)</f>
        <v>-5.0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182">
        <f>1007-630+4024-478</f>
        <v>3923.0</v>
      </c>
      <c r="O38" s="182">
        <f>13532+16134</f>
        <v>29666.0</v>
      </c>
      <c r="P38" s="182">
        <v>29312.0</v>
      </c>
      <c r="Q38" s="182">
        <v>36462.0</v>
      </c>
      <c r="R38" s="182">
        <v>34957.0</v>
      </c>
      <c r="S38" s="182">
        <v>54701.0</v>
      </c>
      <c r="T38" s="182">
        <v>76213.0</v>
      </c>
      <c r="U38" s="182">
        <v>74096.0</v>
      </c>
      <c r="V38" s="182">
        <v>58377.0</v>
      </c>
      <c r="W38" s="182"/>
      <c r="X38" s="182">
        <v>74988.0</v>
      </c>
      <c r="Y38" s="182">
        <v>70872.0</v>
      </c>
      <c r="Z38" s="182">
        <v>52861.0</v>
      </c>
      <c r="AA38" s="182">
        <v>46152.0</v>
      </c>
      <c r="AB38" s="183">
        <v>41682.0</v>
      </c>
      <c r="AC38" s="182">
        <v>31589.0</v>
      </c>
      <c r="AD38" s="182"/>
      <c r="AE38" s="182">
        <v>44093.0</v>
      </c>
      <c r="AF38" s="183">
        <v>49896.0</v>
      </c>
      <c r="AG38" s="183">
        <v>46696.0</v>
      </c>
      <c r="AH38" s="183">
        <v>48914.0</v>
      </c>
      <c r="AI38" s="182">
        <v>49991.0</v>
      </c>
      <c r="AJ38" s="183">
        <v>40033.0</v>
      </c>
      <c r="AK38" s="182"/>
      <c r="AL38" s="182"/>
      <c r="AM38" s="182"/>
      <c r="AN38" s="182"/>
      <c r="AO38" s="182"/>
      <c r="AP38" s="182"/>
      <c r="AQ38" s="182"/>
      <c r="AR38" s="182"/>
      <c r="AS38" s="184">
        <f>SUM(N38:AR38)</f>
        <v>995474.0</v>
      </c>
      <c r="AT38" s="277">
        <f>(AS38/(AS36-AS37))*100%</f>
        <v>0.9922739166189041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192"/>
      <c r="O39" s="192">
        <v>25.0</v>
      </c>
      <c r="P39" s="192">
        <v>9.0</v>
      </c>
      <c r="Q39" s="192">
        <v>28.0</v>
      </c>
      <c r="R39" s="192">
        <v>559.0</v>
      </c>
      <c r="S39" s="192">
        <v>682.0</v>
      </c>
      <c r="T39" s="192">
        <v>799.0</v>
      </c>
      <c r="U39" s="192">
        <v>730.0</v>
      </c>
      <c r="V39" s="192">
        <v>0.0</v>
      </c>
      <c r="W39" s="192"/>
      <c r="X39" s="192">
        <v>1439.0</v>
      </c>
      <c r="Y39" s="192">
        <v>1247.0</v>
      </c>
      <c r="Z39" s="192">
        <f>326+5</f>
        <v>331.0</v>
      </c>
      <c r="AA39" s="192"/>
      <c r="AB39" s="192">
        <v>468.0</v>
      </c>
      <c r="AC39" s="192">
        <v>609.0</v>
      </c>
      <c r="AD39" s="192"/>
      <c r="AE39" s="192"/>
      <c r="AF39" s="192"/>
      <c r="AG39" s="192"/>
      <c r="AH39" s="192"/>
      <c r="AI39" s="192"/>
      <c r="AJ39" s="192">
        <v>825.0</v>
      </c>
      <c r="AK39" s="192"/>
      <c r="AL39" s="192"/>
      <c r="AM39" s="192"/>
      <c r="AN39" s="192"/>
      <c r="AO39" s="192"/>
      <c r="AP39" s="192"/>
      <c r="AQ39" s="192"/>
      <c r="AR39" s="192"/>
      <c r="AS39" s="215">
        <f>SUM(N39:AR39)</f>
        <v>7751.0</v>
      </c>
      <c r="AT39" s="193">
        <f>(AS39/(AS36-AS37))*100%</f>
        <v>0.0077260833810959655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7"/>
      <c r="AT40" s="208"/>
    </row>
    <row r="41" spans="8:8" s="150" ht="23.25" customFormat="1" customHeight="1">
      <c r="A41" s="169"/>
      <c r="B41" s="228" t="s">
        <v>171</v>
      </c>
      <c r="C41" s="153"/>
      <c r="D41" s="154">
        <f>F41+AS44-AS48+AS49</f>
        <v>597289.0</v>
      </c>
      <c r="E41" s="155"/>
      <c r="F41" s="156">
        <v>120921.0</v>
      </c>
      <c r="G41" s="218">
        <v>44197.0</v>
      </c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/>
      <c r="O42" s="183">
        <v>4024.0</v>
      </c>
      <c r="P42" s="183">
        <v>79480.0</v>
      </c>
      <c r="Q42" s="183"/>
      <c r="R42" s="183"/>
      <c r="S42" s="183"/>
      <c r="T42" s="183"/>
      <c r="U42" s="183">
        <v>203340.0</v>
      </c>
      <c r="V42" s="183">
        <v>131843.0</v>
      </c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507265.0</v>
      </c>
      <c r="AK42" s="183"/>
      <c r="AL42" s="183">
        <v>90024.0</v>
      </c>
      <c r="AM42" s="183"/>
      <c r="AN42" s="183"/>
      <c r="AO42" s="183"/>
      <c r="AP42" s="183"/>
      <c r="AQ42" s="183"/>
      <c r="AR42" s="183"/>
      <c r="AS42" s="212">
        <f>SUM(N42:AR42)</f>
        <v>1015976.0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182">
        <f>N42-N44-N45</f>
        <v>0.0</v>
      </c>
      <c r="O43" s="182">
        <f t="shared" si="11" ref="O43:AR43">O42-O44-O45</f>
        <v>0.0</v>
      </c>
      <c r="P43" s="182">
        <f t="shared" si="11"/>
        <v>0.0</v>
      </c>
      <c r="Q43" s="182">
        <f t="shared" si="11"/>
        <v>0.0</v>
      </c>
      <c r="R43" s="182">
        <f t="shared" si="11"/>
        <v>0.0</v>
      </c>
      <c r="S43" s="182">
        <f t="shared" si="11"/>
        <v>0.0</v>
      </c>
      <c r="T43" s="182">
        <f t="shared" si="11"/>
        <v>0.0</v>
      </c>
      <c r="U43" s="182">
        <f t="shared" si="11"/>
        <v>0.0</v>
      </c>
      <c r="V43" s="182">
        <f t="shared" si="11"/>
        <v>0.0</v>
      </c>
      <c r="W43" s="182">
        <f t="shared" si="11"/>
        <v>0.0</v>
      </c>
      <c r="X43" s="182">
        <f t="shared" si="11"/>
        <v>0.0</v>
      </c>
      <c r="Y43" s="182">
        <f t="shared" si="11"/>
        <v>0.0</v>
      </c>
      <c r="Z43" s="182">
        <f t="shared" si="11"/>
        <v>0.0</v>
      </c>
      <c r="AA43" s="182">
        <f t="shared" si="11"/>
        <v>0.0</v>
      </c>
      <c r="AB43" s="182">
        <f t="shared" si="11"/>
        <v>0.0</v>
      </c>
      <c r="AC43" s="182">
        <f t="shared" si="11"/>
        <v>0.0</v>
      </c>
      <c r="AD43" s="182">
        <f t="shared" si="11"/>
        <v>0.0</v>
      </c>
      <c r="AE43" s="182">
        <f t="shared" si="11"/>
        <v>0.0</v>
      </c>
      <c r="AF43" s="182">
        <f t="shared" si="11"/>
        <v>0.0</v>
      </c>
      <c r="AG43" s="182">
        <f t="shared" si="11"/>
        <v>0.0</v>
      </c>
      <c r="AH43" s="182">
        <f t="shared" si="11"/>
        <v>0.0</v>
      </c>
      <c r="AI43" s="182">
        <f t="shared" si="11"/>
        <v>0.0</v>
      </c>
      <c r="AJ43" s="182">
        <f t="shared" si="11"/>
        <v>0.0</v>
      </c>
      <c r="AK43" s="182">
        <f t="shared" si="11"/>
        <v>0.0</v>
      </c>
      <c r="AL43" s="182">
        <f t="shared" si="11"/>
        <v>0.0</v>
      </c>
      <c r="AM43" s="182">
        <f t="shared" si="11"/>
        <v>0.0</v>
      </c>
      <c r="AN43" s="182">
        <f t="shared" si="11"/>
        <v>0.0</v>
      </c>
      <c r="AO43" s="182">
        <f t="shared" si="11"/>
        <v>0.0</v>
      </c>
      <c r="AP43" s="182">
        <f t="shared" si="11"/>
        <v>0.0</v>
      </c>
      <c r="AQ43" s="182">
        <f t="shared" si="11"/>
        <v>0.0</v>
      </c>
      <c r="AR43" s="182">
        <f t="shared" si="11"/>
        <v>0.0</v>
      </c>
      <c r="AS43" s="214">
        <f>SUM(N43:AR43)</f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182"/>
      <c r="O44" s="182">
        <v>4024.0</v>
      </c>
      <c r="P44" s="182">
        <v>79480.0</v>
      </c>
      <c r="Q44" s="182"/>
      <c r="R44" s="182"/>
      <c r="S44" s="182"/>
      <c r="T44" s="182"/>
      <c r="U44" s="182">
        <v>203340.0</v>
      </c>
      <c r="V44" s="182">
        <v>131843.0</v>
      </c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3">
        <v>507265.0</v>
      </c>
      <c r="AK44" s="182"/>
      <c r="AL44" s="182">
        <v>90024.0</v>
      </c>
      <c r="AM44" s="182"/>
      <c r="AN44" s="182"/>
      <c r="AO44" s="182"/>
      <c r="AP44" s="182"/>
      <c r="AQ44" s="182"/>
      <c r="AR44" s="182"/>
      <c r="AS44" s="184">
        <f>SUM(N44:AR44)</f>
        <v>1015976.0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192"/>
      <c r="O45" s="192"/>
      <c r="P45" s="192">
        <v>0.0</v>
      </c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215">
        <f>SUM(N45:AR45)</f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/>
      <c r="AT46" s="208"/>
    </row>
    <row r="47" spans="8:8" s="150" ht="23.25" customFormat="1" customHeight="1">
      <c r="A47" s="169"/>
      <c r="B47" s="228" t="s">
        <v>227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183">
        <v>120921.0</v>
      </c>
      <c r="O48" s="183">
        <v>4024.0</v>
      </c>
      <c r="P48" s="183"/>
      <c r="Q48" s="183"/>
      <c r="R48" s="183"/>
      <c r="S48" s="183">
        <v>79480.0</v>
      </c>
      <c r="T48" s="183"/>
      <c r="U48" s="183"/>
      <c r="V48" s="183"/>
      <c r="W48" s="183"/>
      <c r="X48" s="183"/>
      <c r="Y48" s="183"/>
      <c r="Z48" s="183">
        <v>203340.0</v>
      </c>
      <c r="AA48" s="183">
        <v>131843.0</v>
      </c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>SUM(N48:AR48)</f>
        <v>539608.0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182">
        <f>N48-N50-N51</f>
        <v>0.0</v>
      </c>
      <c r="O49" s="182">
        <f t="shared" si="12" ref="O49:AR49">O48-O50-O51</f>
        <v>0.0</v>
      </c>
      <c r="P49" s="182">
        <f t="shared" si="12"/>
        <v>0.0</v>
      </c>
      <c r="Q49" s="182">
        <f t="shared" si="12"/>
        <v>0.0</v>
      </c>
      <c r="R49" s="182">
        <f t="shared" si="12"/>
        <v>0.0</v>
      </c>
      <c r="S49" s="182">
        <f t="shared" si="12"/>
        <v>0.0</v>
      </c>
      <c r="T49" s="182">
        <f t="shared" si="12"/>
        <v>0.0</v>
      </c>
      <c r="U49" s="182">
        <f t="shared" si="12"/>
        <v>0.0</v>
      </c>
      <c r="V49" s="220">
        <f t="shared" si="12"/>
        <v>0.0</v>
      </c>
      <c r="W49" s="182">
        <f t="shared" si="12"/>
        <v>0.0</v>
      </c>
      <c r="X49" s="182">
        <f t="shared" si="12"/>
        <v>0.0</v>
      </c>
      <c r="Y49" s="182">
        <f t="shared" si="12"/>
        <v>0.0</v>
      </c>
      <c r="Z49" s="182">
        <f t="shared" si="12"/>
        <v>0.0</v>
      </c>
      <c r="AA49" s="182">
        <f t="shared" si="12"/>
        <v>0.0</v>
      </c>
      <c r="AB49" s="182">
        <f t="shared" si="12"/>
        <v>0.0</v>
      </c>
      <c r="AC49" s="182">
        <f t="shared" si="12"/>
        <v>0.0</v>
      </c>
      <c r="AD49" s="182">
        <f t="shared" si="12"/>
        <v>0.0</v>
      </c>
      <c r="AE49" s="182">
        <f t="shared" si="12"/>
        <v>0.0</v>
      </c>
      <c r="AF49" s="182">
        <f t="shared" si="12"/>
        <v>0.0</v>
      </c>
      <c r="AG49" s="182">
        <f t="shared" si="12"/>
        <v>0.0</v>
      </c>
      <c r="AH49" s="182">
        <f t="shared" si="12"/>
        <v>0.0</v>
      </c>
      <c r="AI49" s="182">
        <f t="shared" si="12"/>
        <v>0.0</v>
      </c>
      <c r="AJ49" s="182">
        <f t="shared" si="12"/>
        <v>0.0</v>
      </c>
      <c r="AK49" s="182">
        <f t="shared" si="12"/>
        <v>0.0</v>
      </c>
      <c r="AL49" s="182">
        <f t="shared" si="12"/>
        <v>0.0</v>
      </c>
      <c r="AM49" s="182">
        <f t="shared" si="12"/>
        <v>0.0</v>
      </c>
      <c r="AN49" s="182">
        <f t="shared" si="12"/>
        <v>0.0</v>
      </c>
      <c r="AO49" s="182">
        <f t="shared" si="12"/>
        <v>0.0</v>
      </c>
      <c r="AP49" s="182">
        <f t="shared" si="12"/>
        <v>0.0</v>
      </c>
      <c r="AQ49" s="182">
        <f t="shared" si="12"/>
        <v>0.0</v>
      </c>
      <c r="AR49" s="182">
        <f t="shared" si="12"/>
        <v>0.0</v>
      </c>
      <c r="AS49" s="214">
        <f>SUM(N49:AR49)</f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182">
        <v>120921.0</v>
      </c>
      <c r="O50" s="182">
        <v>4024.0</v>
      </c>
      <c r="P50" s="182"/>
      <c r="Q50" s="182"/>
      <c r="R50" s="182"/>
      <c r="S50" s="182">
        <v>79480.0</v>
      </c>
      <c r="T50" s="182"/>
      <c r="U50" s="182"/>
      <c r="V50" s="182"/>
      <c r="W50" s="182"/>
      <c r="X50" s="182"/>
      <c r="Y50" s="182"/>
      <c r="Z50" s="182">
        <v>203340.0</v>
      </c>
      <c r="AA50" s="182">
        <v>131843.0</v>
      </c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4">
        <f>SUM(N50:AR50)</f>
        <v>539608.0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192">
        <v>0.0</v>
      </c>
      <c r="O51" s="192"/>
      <c r="P51" s="192"/>
      <c r="Q51" s="192"/>
      <c r="R51" s="192"/>
      <c r="S51" s="192">
        <v>0.0</v>
      </c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215">
        <f>SUM(N51:AR51)</f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183"/>
      <c r="O54" s="183"/>
      <c r="P54" s="183"/>
      <c r="Q54" s="183"/>
      <c r="R54" s="183"/>
      <c r="S54" s="183"/>
      <c r="T54" s="183"/>
      <c r="U54" s="183">
        <v>37614.0</v>
      </c>
      <c r="V54" s="183">
        <v>164375.0</v>
      </c>
      <c r="W54" s="183"/>
      <c r="X54" s="183"/>
      <c r="Y54" s="183"/>
      <c r="Z54" s="183"/>
      <c r="AA54" s="183">
        <v>226000.0</v>
      </c>
      <c r="AB54" s="183">
        <v>111619.0</v>
      </c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>SUM(N54:AR54)</f>
        <v>539608.0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20">
        <f>N54-N56-N57</f>
        <v>0.0</v>
      </c>
      <c r="O55" s="220">
        <f t="shared" si="13" ref="O55:AR55">O54-O56-O57</f>
        <v>0.0</v>
      </c>
      <c r="P55" s="220">
        <f t="shared" si="13"/>
        <v>0.0</v>
      </c>
      <c r="Q55" s="220">
        <f t="shared" si="13"/>
        <v>0.0</v>
      </c>
      <c r="R55" s="220">
        <f t="shared" si="13"/>
        <v>0.0</v>
      </c>
      <c r="S55" s="220">
        <f t="shared" si="13"/>
        <v>0.0</v>
      </c>
      <c r="T55" s="220">
        <f t="shared" si="13"/>
        <v>0.0</v>
      </c>
      <c r="U55" s="220">
        <f t="shared" si="13"/>
        <v>0.0</v>
      </c>
      <c r="V55" s="220">
        <f t="shared" si="13"/>
        <v>0.0</v>
      </c>
      <c r="W55" s="220">
        <f t="shared" si="13"/>
        <v>0.0</v>
      </c>
      <c r="X55" s="220">
        <f t="shared" si="13"/>
        <v>0.0</v>
      </c>
      <c r="Y55" s="220">
        <f t="shared" si="13"/>
        <v>0.0</v>
      </c>
      <c r="Z55" s="220">
        <f t="shared" si="13"/>
        <v>0.0</v>
      </c>
      <c r="AA55" s="220">
        <f t="shared" si="13"/>
        <v>0.0</v>
      </c>
      <c r="AB55" s="220">
        <f t="shared" si="13"/>
        <v>0.0</v>
      </c>
      <c r="AC55" s="220">
        <f t="shared" si="13"/>
        <v>0.0</v>
      </c>
      <c r="AD55" s="220">
        <f t="shared" si="13"/>
        <v>0.0</v>
      </c>
      <c r="AE55" s="220">
        <f t="shared" si="13"/>
        <v>0.0</v>
      </c>
      <c r="AF55" s="220">
        <f t="shared" si="13"/>
        <v>0.0</v>
      </c>
      <c r="AG55" s="220">
        <f t="shared" si="13"/>
        <v>0.0</v>
      </c>
      <c r="AH55" s="220">
        <f t="shared" si="13"/>
        <v>0.0</v>
      </c>
      <c r="AI55" s="220">
        <f t="shared" si="13"/>
        <v>0.0</v>
      </c>
      <c r="AJ55" s="220">
        <f t="shared" si="13"/>
        <v>0.0</v>
      </c>
      <c r="AK55" s="220">
        <f t="shared" si="13"/>
        <v>0.0</v>
      </c>
      <c r="AL55" s="220">
        <f t="shared" si="13"/>
        <v>0.0</v>
      </c>
      <c r="AM55" s="220">
        <f t="shared" si="13"/>
        <v>0.0</v>
      </c>
      <c r="AN55" s="220">
        <f t="shared" si="13"/>
        <v>0.0</v>
      </c>
      <c r="AO55" s="220">
        <f t="shared" si="13"/>
        <v>0.0</v>
      </c>
      <c r="AP55" s="220">
        <f t="shared" si="13"/>
        <v>0.0</v>
      </c>
      <c r="AQ55" s="220">
        <f t="shared" si="13"/>
        <v>0.0</v>
      </c>
      <c r="AR55" s="220">
        <f t="shared" si="13"/>
        <v>0.0</v>
      </c>
      <c r="AS55" s="214">
        <f>SUM(N55:AR55)</f>
        <v>0.0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182"/>
      <c r="O56" s="182"/>
      <c r="P56" s="182"/>
      <c r="Q56" s="182"/>
      <c r="R56" s="182"/>
      <c r="S56" s="182"/>
      <c r="T56" s="182"/>
      <c r="U56" s="183">
        <v>37614.0</v>
      </c>
      <c r="V56" s="182">
        <v>164375.0</v>
      </c>
      <c r="W56" s="183"/>
      <c r="X56" s="182"/>
      <c r="Y56" s="182"/>
      <c r="Z56" s="182"/>
      <c r="AA56" s="182">
        <v>226000.0</v>
      </c>
      <c r="AB56" s="182">
        <v>111619.0</v>
      </c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4">
        <f>SUM(N56:AR56)</f>
        <v>539608.0</v>
      </c>
      <c r="AT56" s="190">
        <f>(AS56/(AS54-AS55))*100%</f>
        <v>1.0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192"/>
      <c r="O57" s="192"/>
      <c r="P57" s="192"/>
      <c r="Q57" s="192"/>
      <c r="R57" s="192"/>
      <c r="S57" s="192"/>
      <c r="T57" s="192"/>
      <c r="U57" s="192">
        <v>0.0</v>
      </c>
      <c r="V57" s="192">
        <v>0.0</v>
      </c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215">
        <f>SUM(N57:AR57)</f>
        <v>0.0</v>
      </c>
      <c r="AT57" s="193">
        <f>(AS57/(AS54-AS55))*100%</f>
        <v>0.0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-369519.0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51"/>
      <c r="O58" s="251"/>
      <c r="P58" s="251"/>
      <c r="Q58" s="251"/>
      <c r="R58" s="251"/>
      <c r="S58" s="251"/>
      <c r="T58" s="251"/>
      <c r="U58" s="251"/>
      <c r="V58" s="251" t="s">
        <v>229</v>
      </c>
      <c r="W58" s="251"/>
      <c r="X58" s="251"/>
      <c r="Y58" s="251"/>
      <c r="Z58" s="251"/>
      <c r="AA58" s="251"/>
      <c r="AB58" s="251" t="s">
        <v>177</v>
      </c>
      <c r="AC58" s="251"/>
      <c r="AD58" s="251"/>
      <c r="AE58" s="251"/>
      <c r="AF58" s="251" t="s">
        <v>178</v>
      </c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61"/>
      <c r="O59" s="261"/>
      <c r="P59" s="261"/>
      <c r="Q59" s="261"/>
      <c r="R59" s="261"/>
      <c r="S59" s="261"/>
      <c r="T59" s="261"/>
      <c r="U59" s="261"/>
      <c r="V59" s="261">
        <v>201989.0</v>
      </c>
      <c r="W59" s="261"/>
      <c r="X59" s="261"/>
      <c r="Y59" s="261"/>
      <c r="Z59" s="261"/>
      <c r="AA59" s="261"/>
      <c r="AB59" s="261">
        <v>226000.0</v>
      </c>
      <c r="AC59" s="261"/>
      <c r="AD59" s="261"/>
      <c r="AE59" s="261"/>
      <c r="AF59" s="261">
        <v>111619.0</v>
      </c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2"/>
      <c r="AS59" s="263">
        <f>SUM(N59:AR59)</f>
        <v>539608.0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tabSelected="1" workbookViewId="0" zoomScale="40">
      <pane xSplit="13" ySplit="4" topLeftCell="Q25" state="frozen" activePane="bottomRight"/>
      <selection pane="bottomRight" activeCell="AJ45" sqref="AJ45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5703125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225" customWidth="0" width="8.707031" style="116"/>
    <col min="226" max="227" customWidth="1" width="18.28125" style="116"/>
    <col min="228" max="230" customWidth="1" width="13.5703125" style="116"/>
    <col min="231" max="231" customWidth="1" width="12.425781" style="116"/>
    <col min="232" max="232" customWidth="1" width="10.707031" style="116"/>
    <col min="233" max="233" customWidth="1" width="11.707031" style="116"/>
    <col min="234" max="234" customWidth="1" width="13.1328125" style="116"/>
    <col min="235" max="235" customWidth="1" width="13.425781" style="116"/>
    <col min="236" max="237" customWidth="1" width="9.28125" style="116"/>
    <col min="238" max="238" customWidth="1" width="12.425781" style="116"/>
    <col min="239" max="240" customWidth="1" width="9.28125" style="116"/>
    <col min="241" max="241" customWidth="1" width="17.707031" style="116"/>
    <col min="242" max="272" customWidth="1" width="11.0" style="116"/>
    <col min="273" max="273" customWidth="1" width="14.28125" style="116"/>
    <col min="274" max="274" customWidth="1" width="12.0" style="116"/>
    <col min="275" max="281" customWidth="1" width="9.8515625" style="116"/>
    <col min="282" max="282" customWidth="1" width="6.4257812" style="116"/>
    <col min="283" max="283" customWidth="1" width="2.5703125" style="116"/>
    <col min="284" max="287" customWidth="1" width="9.0" style="116"/>
    <col min="288" max="481" customWidth="0" width="8.707031" style="116"/>
    <col min="482" max="483" customWidth="1" width="18.28125" style="116"/>
    <col min="484" max="486" customWidth="1" width="13.5703125" style="116"/>
    <col min="487" max="487" customWidth="1" width="12.425781" style="116"/>
    <col min="488" max="488" customWidth="1" width="10.707031" style="116"/>
    <col min="489" max="489" customWidth="1" width="11.707031" style="116"/>
    <col min="490" max="490" customWidth="1" width="13.1328125" style="116"/>
    <col min="491" max="491" customWidth="1" width="13.425781" style="116"/>
    <col min="492" max="493" customWidth="1" width="9.28125" style="116"/>
    <col min="494" max="494" customWidth="1" width="12.425781" style="116"/>
    <col min="495" max="496" customWidth="1" width="9.28125" style="116"/>
    <col min="497" max="497" customWidth="1" width="17.707031" style="116"/>
    <col min="498" max="528" customWidth="1" width="11.0" style="116"/>
    <col min="529" max="529" customWidth="1" width="14.28125" style="116"/>
    <col min="530" max="530" customWidth="1" width="12.0" style="116"/>
    <col min="531" max="537" customWidth="1" width="9.8515625" style="116"/>
    <col min="538" max="538" customWidth="1" width="6.4257812" style="116"/>
    <col min="539" max="539" customWidth="1" width="2.5703125" style="116"/>
    <col min="540" max="543" customWidth="1" width="9.0" style="116"/>
    <col min="544" max="737" customWidth="0" width="8.707031" style="116"/>
    <col min="738" max="739" customWidth="1" width="18.28125" style="116"/>
    <col min="740" max="742" customWidth="1" width="13.5703125" style="116"/>
    <col min="743" max="743" customWidth="1" width="12.425781" style="116"/>
    <col min="744" max="744" customWidth="1" width="10.707031" style="116"/>
    <col min="745" max="745" customWidth="1" width="11.707031" style="116"/>
    <col min="746" max="746" customWidth="1" width="13.1328125" style="116"/>
    <col min="747" max="747" customWidth="1" width="13.425781" style="116"/>
    <col min="748" max="749" customWidth="1" width="9.28125" style="116"/>
    <col min="750" max="750" customWidth="1" width="12.425781" style="116"/>
    <col min="751" max="752" customWidth="1" width="9.28125" style="116"/>
    <col min="753" max="753" customWidth="1" width="17.707031" style="116"/>
    <col min="754" max="784" customWidth="1" width="11.0" style="116"/>
    <col min="785" max="785" customWidth="1" width="14.28125" style="116"/>
    <col min="786" max="786" customWidth="1" width="12.0" style="116"/>
    <col min="787" max="793" customWidth="1" width="9.8515625" style="116"/>
    <col min="794" max="794" customWidth="1" width="6.4257812" style="116"/>
    <col min="795" max="795" customWidth="1" width="2.5703125" style="116"/>
    <col min="796" max="799" customWidth="1" width="9.0" style="116"/>
    <col min="800" max="993" customWidth="0" width="8.707031" style="116"/>
    <col min="994" max="995" customWidth="1" width="18.28125" style="116"/>
    <col min="996" max="998" customWidth="1" width="13.5703125" style="116"/>
    <col min="999" max="999" customWidth="1" width="12.425781" style="116"/>
    <col min="1000" max="1000" customWidth="1" width="10.707031" style="116"/>
    <col min="1001" max="1001" customWidth="1" width="11.707031" style="116"/>
    <col min="1002" max="1002" customWidth="1" width="13.1328125" style="116"/>
    <col min="1003" max="1003" customWidth="1" width="13.425781" style="116"/>
    <col min="1004" max="1005" customWidth="1" width="9.28125" style="116"/>
    <col min="1006" max="1006" customWidth="1" width="12.425781" style="116"/>
    <col min="1007" max="1008" customWidth="1" width="9.28125" style="116"/>
    <col min="1009" max="1009" customWidth="1" width="17.707031" style="116"/>
    <col min="1010" max="1040" customWidth="1" width="11.0" style="116"/>
    <col min="1041" max="1041" customWidth="1" width="14.28125" style="116"/>
    <col min="1042" max="1042" customWidth="1" width="12.0" style="116"/>
    <col min="1043" max="1049" customWidth="1" width="9.8515625" style="116"/>
    <col min="1050" max="1050" customWidth="1" width="6.4257812" style="116"/>
    <col min="1051" max="1051" customWidth="1" width="2.5703125" style="116"/>
    <col min="1052" max="1055" customWidth="1" width="9.0" style="116"/>
    <col min="1056" max="1249" customWidth="0" width="8.707031" style="116"/>
    <col min="1250" max="1251" customWidth="1" width="18.28125" style="116"/>
    <col min="1252" max="1254" customWidth="1" width="13.5703125" style="116"/>
    <col min="1255" max="1255" customWidth="1" width="12.425781" style="116"/>
    <col min="1256" max="1256" customWidth="1" width="10.707031" style="116"/>
    <col min="1257" max="1257" customWidth="1" width="11.707031" style="116"/>
    <col min="1258" max="1258" customWidth="1" width="13.1328125" style="116"/>
    <col min="1259" max="1259" customWidth="1" width="13.425781" style="116"/>
    <col min="1260" max="1261" customWidth="1" width="9.28125" style="116"/>
    <col min="1262" max="1262" customWidth="1" width="12.425781" style="116"/>
    <col min="1263" max="1264" customWidth="1" width="9.28125" style="116"/>
    <col min="1265" max="1265" customWidth="1" width="17.707031" style="116"/>
    <col min="1266" max="1296" customWidth="1" width="11.0" style="116"/>
    <col min="1297" max="1297" customWidth="1" width="14.28125" style="116"/>
    <col min="1298" max="1298" customWidth="1" width="12.0" style="116"/>
    <col min="1299" max="1305" customWidth="1" width="9.8515625" style="116"/>
    <col min="1306" max="1306" customWidth="1" width="6.4257812" style="116"/>
    <col min="1307" max="1307" customWidth="1" width="2.5703125" style="116"/>
    <col min="1308" max="1311" customWidth="1" width="9.0" style="116"/>
    <col min="1312" max="1505" customWidth="0" width="8.707031" style="116"/>
    <col min="1506" max="1507" customWidth="1" width="18.28125" style="116"/>
    <col min="1508" max="1510" customWidth="1" width="13.5703125" style="116"/>
    <col min="1511" max="1511" customWidth="1" width="12.425781" style="116"/>
    <col min="1512" max="1512" customWidth="1" width="10.707031" style="116"/>
    <col min="1513" max="1513" customWidth="1" width="11.707031" style="116"/>
    <col min="1514" max="1514" customWidth="1" width="13.1328125" style="116"/>
    <col min="1515" max="1515" customWidth="1" width="13.425781" style="116"/>
    <col min="1516" max="1517" customWidth="1" width="9.28125" style="116"/>
    <col min="1518" max="1518" customWidth="1" width="12.425781" style="116"/>
    <col min="1519" max="1520" customWidth="1" width="9.28125" style="116"/>
    <col min="1521" max="1521" customWidth="1" width="17.707031" style="116"/>
    <col min="1522" max="1552" customWidth="1" width="11.0" style="116"/>
    <col min="1553" max="1553" customWidth="1" width="14.28125" style="116"/>
    <col min="1554" max="1554" customWidth="1" width="12.0" style="116"/>
    <col min="1555" max="1561" customWidth="1" width="9.8515625" style="116"/>
    <col min="1562" max="1562" customWidth="1" width="6.4257812" style="116"/>
    <col min="1563" max="1563" customWidth="1" width="2.5703125" style="116"/>
    <col min="1564" max="1567" customWidth="1" width="9.0" style="116"/>
    <col min="1568" max="1761" customWidth="0" width="8.707031" style="116"/>
    <col min="1762" max="1763" customWidth="1" width="18.28125" style="116"/>
    <col min="1764" max="1766" customWidth="1" width="13.5703125" style="116"/>
    <col min="1767" max="1767" customWidth="1" width="12.425781" style="116"/>
    <col min="1768" max="1768" customWidth="1" width="10.707031" style="116"/>
    <col min="1769" max="1769" customWidth="1" width="11.707031" style="116"/>
    <col min="1770" max="1770" customWidth="1" width="13.1328125" style="116"/>
    <col min="1771" max="1771" customWidth="1" width="13.425781" style="116"/>
    <col min="1772" max="1773" customWidth="1" width="9.28125" style="116"/>
    <col min="1774" max="1774" customWidth="1" width="12.425781" style="116"/>
    <col min="1775" max="1776" customWidth="1" width="9.28125" style="116"/>
    <col min="1777" max="1777" customWidth="1" width="17.707031" style="116"/>
    <col min="1778" max="1808" customWidth="1" width="11.0" style="116"/>
    <col min="1809" max="1809" customWidth="1" width="14.28125" style="116"/>
    <col min="1810" max="1810" customWidth="1" width="12.0" style="116"/>
    <col min="1811" max="1817" customWidth="1" width="9.8515625" style="116"/>
    <col min="1818" max="1818" customWidth="1" width="6.4257812" style="116"/>
    <col min="1819" max="1819" customWidth="1" width="2.5703125" style="116"/>
    <col min="1820" max="1823" customWidth="1" width="9.0" style="116"/>
    <col min="1824" max="2017" customWidth="0" width="8.707031" style="116"/>
    <col min="2018" max="2019" customWidth="1" width="18.28125" style="116"/>
    <col min="2020" max="2022" customWidth="1" width="13.5703125" style="116"/>
    <col min="2023" max="2023" customWidth="1" width="12.425781" style="116"/>
    <col min="2024" max="2024" customWidth="1" width="10.707031" style="116"/>
    <col min="2025" max="2025" customWidth="1" width="11.707031" style="116"/>
    <col min="2026" max="2026" customWidth="1" width="13.1328125" style="116"/>
    <col min="2027" max="2027" customWidth="1" width="13.425781" style="116"/>
    <col min="2028" max="2029" customWidth="1" width="9.28125" style="116"/>
    <col min="2030" max="2030" customWidth="1" width="12.425781" style="116"/>
    <col min="2031" max="2032" customWidth="1" width="9.28125" style="116"/>
    <col min="2033" max="2033" customWidth="1" width="17.707031" style="116"/>
    <col min="2034" max="2064" customWidth="1" width="11.0" style="116"/>
    <col min="2065" max="2065" customWidth="1" width="14.28125" style="116"/>
    <col min="2066" max="2066" customWidth="1" width="12.0" style="116"/>
    <col min="2067" max="2073" customWidth="1" width="9.8515625" style="116"/>
    <col min="2074" max="2074" customWidth="1" width="6.4257812" style="116"/>
    <col min="2075" max="2075" customWidth="1" width="2.5703125" style="116"/>
    <col min="2076" max="2079" customWidth="1" width="9.0" style="116"/>
    <col min="2080" max="2273" customWidth="0" width="8.707031" style="116"/>
    <col min="2274" max="2275" customWidth="1" width="18.28125" style="116"/>
    <col min="2276" max="2278" customWidth="1" width="13.5703125" style="116"/>
    <col min="2279" max="2279" customWidth="1" width="12.425781" style="116"/>
    <col min="2280" max="2280" customWidth="1" width="10.707031" style="116"/>
    <col min="2281" max="2281" customWidth="1" width="11.707031" style="116"/>
    <col min="2282" max="2282" customWidth="1" width="13.1328125" style="116"/>
    <col min="2283" max="2283" customWidth="1" width="13.425781" style="116"/>
    <col min="2284" max="2285" customWidth="1" width="9.28125" style="116"/>
    <col min="2286" max="2286" customWidth="1" width="12.425781" style="116"/>
    <col min="2287" max="2288" customWidth="1" width="9.28125" style="116"/>
    <col min="2289" max="2289" customWidth="1" width="17.707031" style="116"/>
    <col min="2290" max="2320" customWidth="1" width="11.0" style="116"/>
    <col min="2321" max="2321" customWidth="1" width="14.28125" style="116"/>
    <col min="2322" max="2322" customWidth="1" width="12.0" style="116"/>
    <col min="2323" max="2329" customWidth="1" width="9.8515625" style="116"/>
    <col min="2330" max="2330" customWidth="1" width="6.4257812" style="116"/>
    <col min="2331" max="2331" customWidth="1" width="2.5703125" style="116"/>
    <col min="2332" max="2335" customWidth="1" width="9.0" style="116"/>
    <col min="2336" max="2529" customWidth="0" width="8.707031" style="116"/>
    <col min="2530" max="2531" customWidth="1" width="18.28125" style="116"/>
    <col min="2532" max="2534" customWidth="1" width="13.5703125" style="116"/>
    <col min="2535" max="2535" customWidth="1" width="12.425781" style="116"/>
    <col min="2536" max="2536" customWidth="1" width="10.707031" style="116"/>
    <col min="2537" max="2537" customWidth="1" width="11.707031" style="116"/>
    <col min="2538" max="2538" customWidth="1" width="13.1328125" style="116"/>
    <col min="2539" max="2539" customWidth="1" width="13.425781" style="116"/>
    <col min="2540" max="2541" customWidth="1" width="9.28125" style="116"/>
    <col min="2542" max="2542" customWidth="1" width="12.425781" style="116"/>
    <col min="2543" max="2544" customWidth="1" width="9.28125" style="116"/>
    <col min="2545" max="2545" customWidth="1" width="17.707031" style="116"/>
    <col min="2546" max="2576" customWidth="1" width="11.0" style="116"/>
    <col min="2577" max="2577" customWidth="1" width="14.28125" style="116"/>
    <col min="2578" max="2578" customWidth="1" width="12.0" style="116"/>
    <col min="2579" max="2585" customWidth="1" width="9.8515625" style="116"/>
    <col min="2586" max="2586" customWidth="1" width="6.4257812" style="116"/>
    <col min="2587" max="2587" customWidth="1" width="2.5703125" style="116"/>
    <col min="2588" max="2591" customWidth="1" width="9.0" style="116"/>
    <col min="2592" max="2785" customWidth="0" width="8.707031" style="116"/>
    <col min="2786" max="2787" customWidth="1" width="18.28125" style="116"/>
    <col min="2788" max="2790" customWidth="1" width="13.5703125" style="116"/>
    <col min="2791" max="2791" customWidth="1" width="12.425781" style="116"/>
    <col min="2792" max="2792" customWidth="1" width="10.707031" style="116"/>
    <col min="2793" max="2793" customWidth="1" width="11.707031" style="116"/>
    <col min="2794" max="2794" customWidth="1" width="13.1328125" style="116"/>
    <col min="2795" max="2795" customWidth="1" width="13.425781" style="116"/>
    <col min="2796" max="2797" customWidth="1" width="9.28125" style="116"/>
    <col min="2798" max="2798" customWidth="1" width="12.425781" style="116"/>
    <col min="2799" max="2800" customWidth="1" width="9.28125" style="116"/>
    <col min="2801" max="2801" customWidth="1" width="17.707031" style="116"/>
    <col min="2802" max="2832" customWidth="1" width="11.0" style="116"/>
    <col min="2833" max="2833" customWidth="1" width="14.28125" style="116"/>
    <col min="2834" max="2834" customWidth="1" width="12.0" style="116"/>
    <col min="2835" max="2841" customWidth="1" width="9.8515625" style="116"/>
    <col min="2842" max="2842" customWidth="1" width="6.4257812" style="116"/>
    <col min="2843" max="2843" customWidth="1" width="2.5703125" style="116"/>
    <col min="2844" max="2847" customWidth="1" width="9.0" style="116"/>
    <col min="2848" max="3041" customWidth="0" width="8.707031" style="116"/>
    <col min="3042" max="3043" customWidth="1" width="18.28125" style="116"/>
    <col min="3044" max="3046" customWidth="1" width="13.5703125" style="116"/>
    <col min="3047" max="3047" customWidth="1" width="12.425781" style="116"/>
    <col min="3048" max="3048" customWidth="1" width="10.707031" style="116"/>
    <col min="3049" max="3049" customWidth="1" width="11.707031" style="116"/>
    <col min="3050" max="3050" customWidth="1" width="13.1328125" style="116"/>
    <col min="3051" max="3051" customWidth="1" width="13.425781" style="116"/>
    <col min="3052" max="3053" customWidth="1" width="9.28125" style="116"/>
    <col min="3054" max="3054" customWidth="1" width="12.425781" style="116"/>
    <col min="3055" max="3056" customWidth="1" width="9.28125" style="116"/>
    <col min="3057" max="3057" customWidth="1" width="17.707031" style="116"/>
    <col min="3058" max="3088" customWidth="1" width="11.0" style="116"/>
    <col min="3089" max="3089" customWidth="1" width="14.28125" style="116"/>
    <col min="3090" max="3090" customWidth="1" width="12.0" style="116"/>
    <col min="3091" max="3097" customWidth="1" width="9.8515625" style="116"/>
    <col min="3098" max="3098" customWidth="1" width="6.4257812" style="116"/>
    <col min="3099" max="3099" customWidth="1" width="2.5703125" style="116"/>
    <col min="3100" max="3103" customWidth="1" width="9.0" style="116"/>
    <col min="3104" max="3297" customWidth="0" width="8.707031" style="116"/>
    <col min="3298" max="3299" customWidth="1" width="18.28125" style="116"/>
    <col min="3300" max="3302" customWidth="1" width="13.5703125" style="116"/>
    <col min="3303" max="3303" customWidth="1" width="12.425781" style="116"/>
    <col min="3304" max="3304" customWidth="1" width="10.707031" style="116"/>
    <col min="3305" max="3305" customWidth="1" width="11.707031" style="116"/>
    <col min="3306" max="3306" customWidth="1" width="13.1328125" style="116"/>
    <col min="3307" max="3307" customWidth="1" width="13.425781" style="116"/>
    <col min="3308" max="3309" customWidth="1" width="9.28125" style="116"/>
    <col min="3310" max="3310" customWidth="1" width="12.425781" style="116"/>
    <col min="3311" max="3312" customWidth="1" width="9.28125" style="116"/>
    <col min="3313" max="3313" customWidth="1" width="17.707031" style="116"/>
    <col min="3314" max="3344" customWidth="1" width="11.0" style="116"/>
    <col min="3345" max="3345" customWidth="1" width="14.28125" style="116"/>
    <col min="3346" max="3346" customWidth="1" width="12.0" style="116"/>
    <col min="3347" max="3353" customWidth="1" width="9.8515625" style="116"/>
    <col min="3354" max="3354" customWidth="1" width="6.4257812" style="116"/>
    <col min="3355" max="3355" customWidth="1" width="2.5703125" style="116"/>
    <col min="3356" max="3359" customWidth="1" width="9.0" style="116"/>
    <col min="3360" max="3553" customWidth="0" width="8.707031" style="116"/>
    <col min="3554" max="3555" customWidth="1" width="18.28125" style="116"/>
    <col min="3556" max="3558" customWidth="1" width="13.5703125" style="116"/>
    <col min="3559" max="3559" customWidth="1" width="12.425781" style="116"/>
    <col min="3560" max="3560" customWidth="1" width="10.707031" style="116"/>
    <col min="3561" max="3561" customWidth="1" width="11.707031" style="116"/>
    <col min="3562" max="3562" customWidth="1" width="13.1328125" style="116"/>
    <col min="3563" max="3563" customWidth="1" width="13.425781" style="116"/>
    <col min="3564" max="3565" customWidth="1" width="9.28125" style="116"/>
    <col min="3566" max="3566" customWidth="1" width="12.425781" style="116"/>
    <col min="3567" max="3568" customWidth="1" width="9.28125" style="116"/>
    <col min="3569" max="3569" customWidth="1" width="17.707031" style="116"/>
    <col min="3570" max="3600" customWidth="1" width="11.0" style="116"/>
    <col min="3601" max="3601" customWidth="1" width="14.28125" style="116"/>
    <col min="3602" max="3602" customWidth="1" width="12.0" style="116"/>
    <col min="3603" max="3609" customWidth="1" width="9.8515625" style="116"/>
    <col min="3610" max="3610" customWidth="1" width="6.4257812" style="116"/>
    <col min="3611" max="3611" customWidth="1" width="2.5703125" style="116"/>
    <col min="3612" max="3615" customWidth="1" width="9.0" style="116"/>
    <col min="3616" max="3809" customWidth="0" width="8.707031" style="116"/>
    <col min="3810" max="3811" customWidth="1" width="18.28125" style="116"/>
    <col min="3812" max="3814" customWidth="1" width="13.5703125" style="116"/>
    <col min="3815" max="3815" customWidth="1" width="12.425781" style="116"/>
    <col min="3816" max="3816" customWidth="1" width="10.707031" style="116"/>
    <col min="3817" max="3817" customWidth="1" width="11.707031" style="116"/>
    <col min="3818" max="3818" customWidth="1" width="13.1328125" style="116"/>
    <col min="3819" max="3819" customWidth="1" width="13.425781" style="116"/>
    <col min="3820" max="3821" customWidth="1" width="9.28125" style="116"/>
    <col min="3822" max="3822" customWidth="1" width="12.425781" style="116"/>
    <col min="3823" max="3824" customWidth="1" width="9.28125" style="116"/>
    <col min="3825" max="3825" customWidth="1" width="17.707031" style="116"/>
    <col min="3826" max="3856" customWidth="1" width="11.0" style="116"/>
    <col min="3857" max="3857" customWidth="1" width="14.28125" style="116"/>
    <col min="3858" max="3858" customWidth="1" width="12.0" style="116"/>
    <col min="3859" max="3865" customWidth="1" width="9.8515625" style="116"/>
    <col min="3866" max="3866" customWidth="1" width="6.4257812" style="116"/>
    <col min="3867" max="3867" customWidth="1" width="2.5703125" style="116"/>
    <col min="3868" max="3871" customWidth="1" width="9.0" style="116"/>
    <col min="3872" max="4065" customWidth="0" width="8.707031" style="116"/>
    <col min="4066" max="4067" customWidth="1" width="18.28125" style="116"/>
    <col min="4068" max="4070" customWidth="1" width="13.5703125" style="116"/>
    <col min="4071" max="4071" customWidth="1" width="12.425781" style="116"/>
    <col min="4072" max="4072" customWidth="1" width="10.707031" style="116"/>
    <col min="4073" max="4073" customWidth="1" width="11.707031" style="116"/>
    <col min="4074" max="4074" customWidth="1" width="13.1328125" style="116"/>
    <col min="4075" max="4075" customWidth="1" width="13.425781" style="116"/>
    <col min="4076" max="4077" customWidth="1" width="9.28125" style="116"/>
    <col min="4078" max="4078" customWidth="1" width="12.425781" style="116"/>
    <col min="4079" max="4080" customWidth="1" width="9.28125" style="116"/>
    <col min="4081" max="4081" customWidth="1" width="17.707031" style="116"/>
    <col min="4082" max="4112" customWidth="1" width="11.0" style="116"/>
    <col min="4113" max="4113" customWidth="1" width="14.28125" style="116"/>
    <col min="4114" max="4114" customWidth="1" width="12.0" style="116"/>
    <col min="4115" max="4121" customWidth="1" width="9.8515625" style="116"/>
    <col min="4122" max="4122" customWidth="1" width="6.4257812" style="116"/>
    <col min="4123" max="4123" customWidth="1" width="2.5703125" style="116"/>
    <col min="4124" max="4127" customWidth="1" width="9.0" style="116"/>
    <col min="4128" max="4321" customWidth="0" width="8.707031" style="116"/>
    <col min="4322" max="4323" customWidth="1" width="18.28125" style="116"/>
    <col min="4324" max="4326" customWidth="1" width="13.5703125" style="116"/>
    <col min="4327" max="4327" customWidth="1" width="12.425781" style="116"/>
    <col min="4328" max="4328" customWidth="1" width="10.707031" style="116"/>
    <col min="4329" max="4329" customWidth="1" width="11.707031" style="116"/>
    <col min="4330" max="4330" customWidth="1" width="13.1328125" style="116"/>
    <col min="4331" max="4331" customWidth="1" width="13.425781" style="116"/>
    <col min="4332" max="4333" customWidth="1" width="9.28125" style="116"/>
    <col min="4334" max="4334" customWidth="1" width="12.425781" style="116"/>
    <col min="4335" max="4336" customWidth="1" width="9.28125" style="116"/>
    <col min="4337" max="4337" customWidth="1" width="17.707031" style="116"/>
    <col min="4338" max="4368" customWidth="1" width="11.0" style="116"/>
    <col min="4369" max="4369" customWidth="1" width="14.28125" style="116"/>
    <col min="4370" max="4370" customWidth="1" width="12.0" style="116"/>
    <col min="4371" max="4377" customWidth="1" width="9.8515625" style="116"/>
    <col min="4378" max="4378" customWidth="1" width="6.4257812" style="116"/>
    <col min="4379" max="4379" customWidth="1" width="2.5703125" style="116"/>
    <col min="4380" max="4383" customWidth="1" width="9.0" style="116"/>
    <col min="4384" max="4577" customWidth="0" width="8.707031" style="116"/>
    <col min="4578" max="4579" customWidth="1" width="18.28125" style="116"/>
    <col min="4580" max="4582" customWidth="1" width="13.5703125" style="116"/>
    <col min="4583" max="4583" customWidth="1" width="12.425781" style="116"/>
    <col min="4584" max="4584" customWidth="1" width="10.707031" style="116"/>
    <col min="4585" max="4585" customWidth="1" width="11.707031" style="116"/>
    <col min="4586" max="4586" customWidth="1" width="13.1328125" style="116"/>
    <col min="4587" max="4587" customWidth="1" width="13.425781" style="116"/>
    <col min="4588" max="4589" customWidth="1" width="9.28125" style="116"/>
    <col min="4590" max="4590" customWidth="1" width="12.425781" style="116"/>
    <col min="4591" max="4592" customWidth="1" width="9.28125" style="116"/>
    <col min="4593" max="4593" customWidth="1" width="17.707031" style="116"/>
    <col min="4594" max="4624" customWidth="1" width="11.0" style="116"/>
    <col min="4625" max="4625" customWidth="1" width="14.28125" style="116"/>
    <col min="4626" max="4626" customWidth="1" width="12.0" style="116"/>
    <col min="4627" max="4633" customWidth="1" width="9.8515625" style="116"/>
    <col min="4634" max="4634" customWidth="1" width="6.4257812" style="116"/>
    <col min="4635" max="4635" customWidth="1" width="2.5703125" style="116"/>
    <col min="4636" max="4639" customWidth="1" width="9.0" style="116"/>
    <col min="4640" max="4833" customWidth="0" width="8.707031" style="116"/>
    <col min="4834" max="4835" customWidth="1" width="18.28125" style="116"/>
    <col min="4836" max="4838" customWidth="1" width="13.5703125" style="116"/>
    <col min="4839" max="4839" customWidth="1" width="12.425781" style="116"/>
    <col min="4840" max="4840" customWidth="1" width="10.707031" style="116"/>
    <col min="4841" max="4841" customWidth="1" width="11.707031" style="116"/>
    <col min="4842" max="4842" customWidth="1" width="13.1328125" style="116"/>
    <col min="4843" max="4843" customWidth="1" width="13.425781" style="116"/>
    <col min="4844" max="4845" customWidth="1" width="9.28125" style="116"/>
    <col min="4846" max="4846" customWidth="1" width="12.425781" style="116"/>
    <col min="4847" max="4848" customWidth="1" width="9.28125" style="116"/>
    <col min="4849" max="4849" customWidth="1" width="17.707031" style="116"/>
    <col min="4850" max="4880" customWidth="1" width="11.0" style="116"/>
    <col min="4881" max="4881" customWidth="1" width="14.28125" style="116"/>
    <col min="4882" max="4882" customWidth="1" width="12.0" style="116"/>
    <col min="4883" max="4889" customWidth="1" width="9.8515625" style="116"/>
    <col min="4890" max="4890" customWidth="1" width="6.4257812" style="116"/>
    <col min="4891" max="4891" customWidth="1" width="2.5703125" style="116"/>
    <col min="4892" max="4895" customWidth="1" width="9.0" style="116"/>
    <col min="4896" max="5089" customWidth="0" width="8.707031" style="116"/>
    <col min="5090" max="5091" customWidth="1" width="18.28125" style="116"/>
    <col min="5092" max="5094" customWidth="1" width="13.5703125" style="116"/>
    <col min="5095" max="5095" customWidth="1" width="12.425781" style="116"/>
    <col min="5096" max="5096" customWidth="1" width="10.707031" style="116"/>
    <col min="5097" max="5097" customWidth="1" width="11.707031" style="116"/>
    <col min="5098" max="5098" customWidth="1" width="13.1328125" style="116"/>
    <col min="5099" max="5099" customWidth="1" width="13.425781" style="116"/>
    <col min="5100" max="5101" customWidth="1" width="9.28125" style="116"/>
    <col min="5102" max="5102" customWidth="1" width="12.425781" style="116"/>
    <col min="5103" max="5104" customWidth="1" width="9.28125" style="116"/>
    <col min="5105" max="5105" customWidth="1" width="17.707031" style="116"/>
    <col min="5106" max="5136" customWidth="1" width="11.0" style="116"/>
    <col min="5137" max="5137" customWidth="1" width="14.28125" style="116"/>
    <col min="5138" max="5138" customWidth="1" width="12.0" style="116"/>
    <col min="5139" max="5145" customWidth="1" width="9.8515625" style="116"/>
    <col min="5146" max="5146" customWidth="1" width="6.4257812" style="116"/>
    <col min="5147" max="5147" customWidth="1" width="2.5703125" style="116"/>
    <col min="5148" max="5151" customWidth="1" width="9.0" style="116"/>
    <col min="5152" max="5345" customWidth="0" width="8.707031" style="116"/>
    <col min="5346" max="5347" customWidth="1" width="18.28125" style="116"/>
    <col min="5348" max="5350" customWidth="1" width="13.5703125" style="116"/>
    <col min="5351" max="5351" customWidth="1" width="12.425781" style="116"/>
    <col min="5352" max="5352" customWidth="1" width="10.707031" style="116"/>
    <col min="5353" max="5353" customWidth="1" width="11.707031" style="116"/>
    <col min="5354" max="5354" customWidth="1" width="13.1328125" style="116"/>
    <col min="5355" max="5355" customWidth="1" width="13.425781" style="116"/>
    <col min="5356" max="5357" customWidth="1" width="9.28125" style="116"/>
    <col min="5358" max="5358" customWidth="1" width="12.425781" style="116"/>
    <col min="5359" max="5360" customWidth="1" width="9.28125" style="116"/>
    <col min="5361" max="5361" customWidth="1" width="17.707031" style="116"/>
    <col min="5362" max="5392" customWidth="1" width="11.0" style="116"/>
    <col min="5393" max="5393" customWidth="1" width="14.28125" style="116"/>
    <col min="5394" max="5394" customWidth="1" width="12.0" style="116"/>
    <col min="5395" max="5401" customWidth="1" width="9.8515625" style="116"/>
    <col min="5402" max="5402" customWidth="1" width="6.4257812" style="116"/>
    <col min="5403" max="5403" customWidth="1" width="2.5703125" style="116"/>
    <col min="5404" max="5407" customWidth="1" width="9.0" style="116"/>
    <col min="5408" max="5601" customWidth="0" width="8.707031" style="116"/>
    <col min="5602" max="5603" customWidth="1" width="18.28125" style="116"/>
    <col min="5604" max="5606" customWidth="1" width="13.5703125" style="116"/>
    <col min="5607" max="5607" customWidth="1" width="12.425781" style="116"/>
    <col min="5608" max="5608" customWidth="1" width="10.707031" style="116"/>
    <col min="5609" max="5609" customWidth="1" width="11.707031" style="116"/>
    <col min="5610" max="5610" customWidth="1" width="13.1328125" style="116"/>
    <col min="5611" max="5611" customWidth="1" width="13.425781" style="116"/>
    <col min="5612" max="5613" customWidth="1" width="9.28125" style="116"/>
    <col min="5614" max="5614" customWidth="1" width="12.425781" style="116"/>
    <col min="5615" max="5616" customWidth="1" width="9.28125" style="116"/>
    <col min="5617" max="5617" customWidth="1" width="17.707031" style="116"/>
    <col min="5618" max="5648" customWidth="1" width="11.0" style="116"/>
    <col min="5649" max="5649" customWidth="1" width="14.28125" style="116"/>
    <col min="5650" max="5650" customWidth="1" width="12.0" style="116"/>
    <col min="5651" max="5657" customWidth="1" width="9.8515625" style="116"/>
    <col min="5658" max="5658" customWidth="1" width="6.4257812" style="116"/>
    <col min="5659" max="5659" customWidth="1" width="2.5703125" style="116"/>
    <col min="5660" max="5663" customWidth="1" width="9.0" style="116"/>
    <col min="5664" max="5857" customWidth="0" width="8.707031" style="116"/>
    <col min="5858" max="5859" customWidth="1" width="18.28125" style="116"/>
    <col min="5860" max="5862" customWidth="1" width="13.5703125" style="116"/>
    <col min="5863" max="5863" customWidth="1" width="12.425781" style="116"/>
    <col min="5864" max="5864" customWidth="1" width="10.707031" style="116"/>
    <col min="5865" max="5865" customWidth="1" width="11.707031" style="116"/>
    <col min="5866" max="5866" customWidth="1" width="13.1328125" style="116"/>
    <col min="5867" max="5867" customWidth="1" width="13.425781" style="116"/>
    <col min="5868" max="5869" customWidth="1" width="9.28125" style="116"/>
    <col min="5870" max="5870" customWidth="1" width="12.425781" style="116"/>
    <col min="5871" max="5872" customWidth="1" width="9.28125" style="116"/>
    <col min="5873" max="5873" customWidth="1" width="17.707031" style="116"/>
    <col min="5874" max="5904" customWidth="1" width="11.0" style="116"/>
    <col min="5905" max="5905" customWidth="1" width="14.28125" style="116"/>
    <col min="5906" max="5906" customWidth="1" width="12.0" style="116"/>
    <col min="5907" max="5913" customWidth="1" width="9.8515625" style="116"/>
    <col min="5914" max="5914" customWidth="1" width="6.4257812" style="116"/>
    <col min="5915" max="5915" customWidth="1" width="2.5703125" style="116"/>
    <col min="5916" max="5919" customWidth="1" width="9.0" style="116"/>
    <col min="5920" max="6113" customWidth="0" width="8.707031" style="116"/>
    <col min="6114" max="6115" customWidth="1" width="18.28125" style="116"/>
    <col min="6116" max="6118" customWidth="1" width="13.5703125" style="116"/>
    <col min="6119" max="6119" customWidth="1" width="12.425781" style="116"/>
    <col min="6120" max="6120" customWidth="1" width="10.707031" style="116"/>
    <col min="6121" max="6121" customWidth="1" width="11.707031" style="116"/>
    <col min="6122" max="6122" customWidth="1" width="13.1328125" style="116"/>
    <col min="6123" max="6123" customWidth="1" width="13.425781" style="116"/>
    <col min="6124" max="6125" customWidth="1" width="9.28125" style="116"/>
    <col min="6126" max="6126" customWidth="1" width="12.425781" style="116"/>
    <col min="6127" max="6128" customWidth="1" width="9.28125" style="116"/>
    <col min="6129" max="6129" customWidth="1" width="17.707031" style="116"/>
    <col min="6130" max="6160" customWidth="1" width="11.0" style="116"/>
    <col min="6161" max="6161" customWidth="1" width="14.28125" style="116"/>
    <col min="6162" max="6162" customWidth="1" width="12.0" style="116"/>
    <col min="6163" max="6169" customWidth="1" width="9.8515625" style="116"/>
    <col min="6170" max="6170" customWidth="1" width="6.4257812" style="116"/>
    <col min="6171" max="6171" customWidth="1" width="2.5703125" style="116"/>
    <col min="6172" max="6175" customWidth="1" width="9.0" style="116"/>
    <col min="6176" max="6369" customWidth="0" width="8.707031" style="116"/>
    <col min="6370" max="6371" customWidth="1" width="18.28125" style="116"/>
    <col min="6372" max="6374" customWidth="1" width="13.5703125" style="116"/>
    <col min="6375" max="6375" customWidth="1" width="12.425781" style="116"/>
    <col min="6376" max="6376" customWidth="1" width="10.707031" style="116"/>
    <col min="6377" max="6377" customWidth="1" width="11.707031" style="116"/>
    <col min="6378" max="6378" customWidth="1" width="13.1328125" style="116"/>
    <col min="6379" max="6379" customWidth="1" width="13.425781" style="116"/>
    <col min="6380" max="6381" customWidth="1" width="9.28125" style="116"/>
    <col min="6382" max="6382" customWidth="1" width="12.425781" style="116"/>
    <col min="6383" max="6384" customWidth="1" width="9.28125" style="116"/>
    <col min="6385" max="6385" customWidth="1" width="17.707031" style="116"/>
    <col min="6386" max="6416" customWidth="1" width="11.0" style="116"/>
    <col min="6417" max="6417" customWidth="1" width="14.28125" style="116"/>
    <col min="6418" max="6418" customWidth="1" width="12.0" style="116"/>
    <col min="6419" max="6425" customWidth="1" width="9.8515625" style="116"/>
    <col min="6426" max="6426" customWidth="1" width="6.4257812" style="116"/>
    <col min="6427" max="6427" customWidth="1" width="2.5703125" style="116"/>
    <col min="6428" max="6431" customWidth="1" width="9.0" style="116"/>
    <col min="6432" max="6625" customWidth="0" width="8.707031" style="116"/>
    <col min="6626" max="6627" customWidth="1" width="18.28125" style="116"/>
    <col min="6628" max="6630" customWidth="1" width="13.5703125" style="116"/>
    <col min="6631" max="6631" customWidth="1" width="12.425781" style="116"/>
    <col min="6632" max="6632" customWidth="1" width="10.707031" style="116"/>
    <col min="6633" max="6633" customWidth="1" width="11.707031" style="116"/>
    <col min="6634" max="6634" customWidth="1" width="13.1328125" style="116"/>
    <col min="6635" max="6635" customWidth="1" width="13.425781" style="116"/>
    <col min="6636" max="6637" customWidth="1" width="9.28125" style="116"/>
    <col min="6638" max="6638" customWidth="1" width="12.425781" style="116"/>
    <col min="6639" max="6640" customWidth="1" width="9.28125" style="116"/>
    <col min="6641" max="6641" customWidth="1" width="17.707031" style="116"/>
    <col min="6642" max="6672" customWidth="1" width="11.0" style="116"/>
    <col min="6673" max="6673" customWidth="1" width="14.28125" style="116"/>
    <col min="6674" max="6674" customWidth="1" width="12.0" style="116"/>
    <col min="6675" max="6681" customWidth="1" width="9.8515625" style="116"/>
    <col min="6682" max="6682" customWidth="1" width="6.4257812" style="116"/>
    <col min="6683" max="6683" customWidth="1" width="2.5703125" style="116"/>
    <col min="6684" max="6687" customWidth="1" width="9.0" style="116"/>
    <col min="6688" max="6881" customWidth="0" width="8.707031" style="116"/>
    <col min="6882" max="6883" customWidth="1" width="18.28125" style="116"/>
    <col min="6884" max="6886" customWidth="1" width="13.5703125" style="116"/>
    <col min="6887" max="6887" customWidth="1" width="12.425781" style="116"/>
    <col min="6888" max="6888" customWidth="1" width="10.707031" style="116"/>
    <col min="6889" max="6889" customWidth="1" width="11.707031" style="116"/>
    <col min="6890" max="6890" customWidth="1" width="13.1328125" style="116"/>
    <col min="6891" max="6891" customWidth="1" width="13.425781" style="116"/>
    <col min="6892" max="6893" customWidth="1" width="9.28125" style="116"/>
    <col min="6894" max="6894" customWidth="1" width="12.425781" style="116"/>
    <col min="6895" max="6896" customWidth="1" width="9.28125" style="116"/>
    <col min="6897" max="6897" customWidth="1" width="17.707031" style="116"/>
    <col min="6898" max="6928" customWidth="1" width="11.0" style="116"/>
    <col min="6929" max="6929" customWidth="1" width="14.28125" style="116"/>
    <col min="6930" max="6930" customWidth="1" width="12.0" style="116"/>
    <col min="6931" max="6937" customWidth="1" width="9.8515625" style="116"/>
    <col min="6938" max="6938" customWidth="1" width="6.4257812" style="116"/>
    <col min="6939" max="6939" customWidth="1" width="2.5703125" style="116"/>
    <col min="6940" max="6943" customWidth="1" width="9.0" style="116"/>
    <col min="6944" max="7137" customWidth="0" width="8.707031" style="116"/>
    <col min="7138" max="7139" customWidth="1" width="18.28125" style="116"/>
    <col min="7140" max="7142" customWidth="1" width="13.5703125" style="116"/>
    <col min="7143" max="7143" customWidth="1" width="12.425781" style="116"/>
    <col min="7144" max="7144" customWidth="1" width="10.707031" style="116"/>
    <col min="7145" max="7145" customWidth="1" width="11.707031" style="116"/>
    <col min="7146" max="7146" customWidth="1" width="13.1328125" style="116"/>
    <col min="7147" max="7147" customWidth="1" width="13.425781" style="116"/>
    <col min="7148" max="7149" customWidth="1" width="9.28125" style="116"/>
    <col min="7150" max="7150" customWidth="1" width="12.425781" style="116"/>
    <col min="7151" max="7152" customWidth="1" width="9.28125" style="116"/>
    <col min="7153" max="7153" customWidth="1" width="17.707031" style="116"/>
    <col min="7154" max="7184" customWidth="1" width="11.0" style="116"/>
    <col min="7185" max="7185" customWidth="1" width="14.28125" style="116"/>
    <col min="7186" max="7186" customWidth="1" width="12.0" style="116"/>
    <col min="7187" max="7193" customWidth="1" width="9.8515625" style="116"/>
    <col min="7194" max="7194" customWidth="1" width="6.4257812" style="116"/>
    <col min="7195" max="7195" customWidth="1" width="2.5703125" style="116"/>
    <col min="7196" max="7199" customWidth="1" width="9.0" style="116"/>
    <col min="7200" max="7393" customWidth="0" width="8.707031" style="116"/>
    <col min="7394" max="7395" customWidth="1" width="18.28125" style="116"/>
    <col min="7396" max="7398" customWidth="1" width="13.5703125" style="116"/>
    <col min="7399" max="7399" customWidth="1" width="12.425781" style="116"/>
    <col min="7400" max="7400" customWidth="1" width="10.707031" style="116"/>
    <col min="7401" max="7401" customWidth="1" width="11.707031" style="116"/>
    <col min="7402" max="7402" customWidth="1" width="13.1328125" style="116"/>
    <col min="7403" max="7403" customWidth="1" width="13.425781" style="116"/>
    <col min="7404" max="7405" customWidth="1" width="9.28125" style="116"/>
    <col min="7406" max="7406" customWidth="1" width="12.425781" style="116"/>
    <col min="7407" max="7408" customWidth="1" width="9.28125" style="116"/>
    <col min="7409" max="7409" customWidth="1" width="17.707031" style="116"/>
    <col min="7410" max="7440" customWidth="1" width="11.0" style="116"/>
    <col min="7441" max="7441" customWidth="1" width="14.28125" style="116"/>
    <col min="7442" max="7442" customWidth="1" width="12.0" style="116"/>
    <col min="7443" max="7449" customWidth="1" width="9.8515625" style="116"/>
    <col min="7450" max="7450" customWidth="1" width="6.4257812" style="116"/>
    <col min="7451" max="7451" customWidth="1" width="2.5703125" style="116"/>
    <col min="7452" max="7455" customWidth="1" width="9.0" style="116"/>
    <col min="7456" max="7649" customWidth="0" width="8.707031" style="116"/>
    <col min="7650" max="7651" customWidth="1" width="18.28125" style="116"/>
    <col min="7652" max="7654" customWidth="1" width="13.5703125" style="116"/>
    <col min="7655" max="7655" customWidth="1" width="12.425781" style="116"/>
    <col min="7656" max="7656" customWidth="1" width="10.707031" style="116"/>
    <col min="7657" max="7657" customWidth="1" width="11.707031" style="116"/>
    <col min="7658" max="7658" customWidth="1" width="13.1328125" style="116"/>
    <col min="7659" max="7659" customWidth="1" width="13.425781" style="116"/>
    <col min="7660" max="7661" customWidth="1" width="9.28125" style="116"/>
    <col min="7662" max="7662" customWidth="1" width="12.425781" style="116"/>
    <col min="7663" max="7664" customWidth="1" width="9.28125" style="116"/>
    <col min="7665" max="7665" customWidth="1" width="17.707031" style="116"/>
    <col min="7666" max="7696" customWidth="1" width="11.0" style="116"/>
    <col min="7697" max="7697" customWidth="1" width="14.28125" style="116"/>
    <col min="7698" max="7698" customWidth="1" width="12.0" style="116"/>
    <col min="7699" max="7705" customWidth="1" width="9.8515625" style="116"/>
    <col min="7706" max="7706" customWidth="1" width="6.4257812" style="116"/>
    <col min="7707" max="7707" customWidth="1" width="2.5703125" style="116"/>
    <col min="7708" max="7711" customWidth="1" width="9.0" style="116"/>
    <col min="7712" max="7905" customWidth="0" width="8.707031" style="116"/>
    <col min="7906" max="7907" customWidth="1" width="18.28125" style="116"/>
    <col min="7908" max="7910" customWidth="1" width="13.5703125" style="116"/>
    <col min="7911" max="7911" customWidth="1" width="12.425781" style="116"/>
    <col min="7912" max="7912" customWidth="1" width="10.707031" style="116"/>
    <col min="7913" max="7913" customWidth="1" width="11.707031" style="116"/>
    <col min="7914" max="7914" customWidth="1" width="13.1328125" style="116"/>
    <col min="7915" max="7915" customWidth="1" width="13.425781" style="116"/>
    <col min="7916" max="7917" customWidth="1" width="9.28125" style="116"/>
    <col min="7918" max="7918" customWidth="1" width="12.425781" style="116"/>
    <col min="7919" max="7920" customWidth="1" width="9.28125" style="116"/>
    <col min="7921" max="7921" customWidth="1" width="17.707031" style="116"/>
    <col min="7922" max="7952" customWidth="1" width="11.0" style="116"/>
    <col min="7953" max="7953" customWidth="1" width="14.28125" style="116"/>
    <col min="7954" max="7954" customWidth="1" width="12.0" style="116"/>
    <col min="7955" max="7961" customWidth="1" width="9.8515625" style="116"/>
    <col min="7962" max="7962" customWidth="1" width="6.4257812" style="116"/>
    <col min="7963" max="7963" customWidth="1" width="2.5703125" style="116"/>
    <col min="7964" max="7967" customWidth="1" width="9.0" style="116"/>
    <col min="7968" max="8161" customWidth="0" width="8.707031" style="116"/>
    <col min="8162" max="8163" customWidth="1" width="18.28125" style="116"/>
    <col min="8164" max="8166" customWidth="1" width="13.5703125" style="116"/>
    <col min="8167" max="8167" customWidth="1" width="12.425781" style="116"/>
    <col min="8168" max="8168" customWidth="1" width="10.707031" style="116"/>
    <col min="8169" max="8169" customWidth="1" width="11.707031" style="116"/>
    <col min="8170" max="8170" customWidth="1" width="13.1328125" style="116"/>
    <col min="8171" max="8171" customWidth="1" width="13.425781" style="116"/>
    <col min="8172" max="8173" customWidth="1" width="9.28125" style="116"/>
    <col min="8174" max="8174" customWidth="1" width="12.425781" style="116"/>
    <col min="8175" max="8176" customWidth="1" width="9.28125" style="116"/>
    <col min="8177" max="8177" customWidth="1" width="17.707031" style="116"/>
    <col min="8178" max="8208" customWidth="1" width="11.0" style="116"/>
    <col min="8209" max="8209" customWidth="1" width="14.28125" style="116"/>
    <col min="8210" max="8210" customWidth="1" width="12.0" style="116"/>
    <col min="8211" max="8217" customWidth="1" width="9.8515625" style="116"/>
    <col min="8218" max="8218" customWidth="1" width="6.4257812" style="116"/>
    <col min="8219" max="8219" customWidth="1" width="2.5703125" style="116"/>
    <col min="8220" max="8223" customWidth="1" width="9.0" style="116"/>
    <col min="8224" max="8417" customWidth="0" width="8.707031" style="116"/>
    <col min="8418" max="8419" customWidth="1" width="18.28125" style="116"/>
    <col min="8420" max="8422" customWidth="1" width="13.5703125" style="116"/>
    <col min="8423" max="8423" customWidth="1" width="12.425781" style="116"/>
    <col min="8424" max="8424" customWidth="1" width="10.707031" style="116"/>
    <col min="8425" max="8425" customWidth="1" width="11.707031" style="116"/>
    <col min="8426" max="8426" customWidth="1" width="13.1328125" style="116"/>
    <col min="8427" max="8427" customWidth="1" width="13.425781" style="116"/>
    <col min="8428" max="8429" customWidth="1" width="9.28125" style="116"/>
    <col min="8430" max="8430" customWidth="1" width="12.425781" style="116"/>
    <col min="8431" max="8432" customWidth="1" width="9.28125" style="116"/>
    <col min="8433" max="8433" customWidth="1" width="17.707031" style="116"/>
    <col min="8434" max="8464" customWidth="1" width="11.0" style="116"/>
    <col min="8465" max="8465" customWidth="1" width="14.28125" style="116"/>
    <col min="8466" max="8466" customWidth="1" width="12.0" style="116"/>
    <col min="8467" max="8473" customWidth="1" width="9.8515625" style="116"/>
    <col min="8474" max="8474" customWidth="1" width="6.4257812" style="116"/>
    <col min="8475" max="8475" customWidth="1" width="2.5703125" style="116"/>
    <col min="8476" max="8479" customWidth="1" width="9.0" style="116"/>
    <col min="8480" max="8673" customWidth="0" width="8.707031" style="116"/>
    <col min="8674" max="8675" customWidth="1" width="18.28125" style="116"/>
    <col min="8676" max="8678" customWidth="1" width="13.5703125" style="116"/>
    <col min="8679" max="8679" customWidth="1" width="12.425781" style="116"/>
    <col min="8680" max="8680" customWidth="1" width="10.707031" style="116"/>
    <col min="8681" max="8681" customWidth="1" width="11.707031" style="116"/>
    <col min="8682" max="8682" customWidth="1" width="13.1328125" style="116"/>
    <col min="8683" max="8683" customWidth="1" width="13.425781" style="116"/>
    <col min="8684" max="8685" customWidth="1" width="9.28125" style="116"/>
    <col min="8686" max="8686" customWidth="1" width="12.425781" style="116"/>
    <col min="8687" max="8688" customWidth="1" width="9.28125" style="116"/>
    <col min="8689" max="8689" customWidth="1" width="17.707031" style="116"/>
    <col min="8690" max="8720" customWidth="1" width="11.0" style="116"/>
    <col min="8721" max="8721" customWidth="1" width="14.28125" style="116"/>
    <col min="8722" max="8722" customWidth="1" width="12.0" style="116"/>
    <col min="8723" max="8729" customWidth="1" width="9.8515625" style="116"/>
    <col min="8730" max="8730" customWidth="1" width="6.4257812" style="116"/>
    <col min="8731" max="8731" customWidth="1" width="2.5703125" style="116"/>
    <col min="8732" max="8735" customWidth="1" width="9.0" style="116"/>
    <col min="8736" max="8929" customWidth="0" width="8.707031" style="116"/>
    <col min="8930" max="8931" customWidth="1" width="18.28125" style="116"/>
    <col min="8932" max="8934" customWidth="1" width="13.5703125" style="116"/>
    <col min="8935" max="8935" customWidth="1" width="12.425781" style="116"/>
    <col min="8936" max="8936" customWidth="1" width="10.707031" style="116"/>
    <col min="8937" max="8937" customWidth="1" width="11.707031" style="116"/>
    <col min="8938" max="8938" customWidth="1" width="13.1328125" style="116"/>
    <col min="8939" max="8939" customWidth="1" width="13.425781" style="116"/>
    <col min="8940" max="8941" customWidth="1" width="9.28125" style="116"/>
    <col min="8942" max="8942" customWidth="1" width="12.425781" style="116"/>
    <col min="8943" max="8944" customWidth="1" width="9.28125" style="116"/>
    <col min="8945" max="8945" customWidth="1" width="17.707031" style="116"/>
    <col min="8946" max="8976" customWidth="1" width="11.0" style="116"/>
    <col min="8977" max="8977" customWidth="1" width="14.28125" style="116"/>
    <col min="8978" max="8978" customWidth="1" width="12.0" style="116"/>
    <col min="8979" max="8985" customWidth="1" width="9.8515625" style="116"/>
    <col min="8986" max="8986" customWidth="1" width="6.4257812" style="116"/>
    <col min="8987" max="8987" customWidth="1" width="2.5703125" style="116"/>
    <col min="8988" max="8991" customWidth="1" width="9.0" style="116"/>
    <col min="8992" max="9185" customWidth="0" width="8.707031" style="116"/>
    <col min="9186" max="9187" customWidth="1" width="18.28125" style="116"/>
    <col min="9188" max="9190" customWidth="1" width="13.5703125" style="116"/>
    <col min="9191" max="9191" customWidth="1" width="12.425781" style="116"/>
    <col min="9192" max="9192" customWidth="1" width="10.707031" style="116"/>
    <col min="9193" max="9193" customWidth="1" width="11.707031" style="116"/>
    <col min="9194" max="9194" customWidth="1" width="13.1328125" style="116"/>
    <col min="9195" max="9195" customWidth="1" width="13.425781" style="116"/>
    <col min="9196" max="9197" customWidth="1" width="9.28125" style="116"/>
    <col min="9198" max="9198" customWidth="1" width="12.425781" style="116"/>
    <col min="9199" max="9200" customWidth="1" width="9.28125" style="116"/>
    <col min="9201" max="9201" customWidth="1" width="17.707031" style="116"/>
    <col min="9202" max="9232" customWidth="1" width="11.0" style="116"/>
    <col min="9233" max="9233" customWidth="1" width="14.28125" style="116"/>
    <col min="9234" max="9234" customWidth="1" width="12.0" style="116"/>
    <col min="9235" max="9241" customWidth="1" width="9.8515625" style="116"/>
    <col min="9242" max="9242" customWidth="1" width="6.4257812" style="116"/>
    <col min="9243" max="9243" customWidth="1" width="2.5703125" style="116"/>
    <col min="9244" max="9247" customWidth="1" width="9.0" style="116"/>
    <col min="9248" max="9441" customWidth="0" width="8.707031" style="116"/>
    <col min="9442" max="9443" customWidth="1" width="18.28125" style="116"/>
    <col min="9444" max="9446" customWidth="1" width="13.5703125" style="116"/>
    <col min="9447" max="9447" customWidth="1" width="12.425781" style="116"/>
    <col min="9448" max="9448" customWidth="1" width="10.707031" style="116"/>
    <col min="9449" max="9449" customWidth="1" width="11.707031" style="116"/>
    <col min="9450" max="9450" customWidth="1" width="13.1328125" style="116"/>
    <col min="9451" max="9451" customWidth="1" width="13.425781" style="116"/>
    <col min="9452" max="9453" customWidth="1" width="9.28125" style="116"/>
    <col min="9454" max="9454" customWidth="1" width="12.425781" style="116"/>
    <col min="9455" max="9456" customWidth="1" width="9.28125" style="116"/>
    <col min="9457" max="9457" customWidth="1" width="17.707031" style="116"/>
    <col min="9458" max="9488" customWidth="1" width="11.0" style="116"/>
    <col min="9489" max="9489" customWidth="1" width="14.28125" style="116"/>
    <col min="9490" max="9490" customWidth="1" width="12.0" style="116"/>
    <col min="9491" max="9497" customWidth="1" width="9.8515625" style="116"/>
    <col min="9498" max="9498" customWidth="1" width="6.4257812" style="116"/>
    <col min="9499" max="9499" customWidth="1" width="2.5703125" style="116"/>
    <col min="9500" max="9503" customWidth="1" width="9.0" style="116"/>
    <col min="9504" max="9697" customWidth="0" width="8.707031" style="116"/>
    <col min="9698" max="9699" customWidth="1" width="18.28125" style="116"/>
    <col min="9700" max="9702" customWidth="1" width="13.5703125" style="116"/>
    <col min="9703" max="9703" customWidth="1" width="12.425781" style="116"/>
    <col min="9704" max="9704" customWidth="1" width="10.707031" style="116"/>
    <col min="9705" max="9705" customWidth="1" width="11.707031" style="116"/>
    <col min="9706" max="9706" customWidth="1" width="13.1328125" style="116"/>
    <col min="9707" max="9707" customWidth="1" width="13.425781" style="116"/>
    <col min="9708" max="9709" customWidth="1" width="9.28125" style="116"/>
    <col min="9710" max="9710" customWidth="1" width="12.425781" style="116"/>
    <col min="9711" max="9712" customWidth="1" width="9.28125" style="116"/>
    <col min="9713" max="9713" customWidth="1" width="17.707031" style="116"/>
    <col min="9714" max="9744" customWidth="1" width="11.0" style="116"/>
    <col min="9745" max="9745" customWidth="1" width="14.28125" style="116"/>
    <col min="9746" max="9746" customWidth="1" width="12.0" style="116"/>
    <col min="9747" max="9753" customWidth="1" width="9.8515625" style="116"/>
    <col min="9754" max="9754" customWidth="1" width="6.4257812" style="116"/>
    <col min="9755" max="9755" customWidth="1" width="2.5703125" style="116"/>
    <col min="9756" max="9759" customWidth="1" width="9.0" style="116"/>
    <col min="9760" max="9953" customWidth="0" width="8.707031" style="116"/>
    <col min="9954" max="9955" customWidth="1" width="18.28125" style="116"/>
    <col min="9956" max="9958" customWidth="1" width="13.5703125" style="116"/>
    <col min="9959" max="9959" customWidth="1" width="12.425781" style="116"/>
    <col min="9960" max="9960" customWidth="1" width="10.707031" style="116"/>
    <col min="9961" max="9961" customWidth="1" width="11.707031" style="116"/>
    <col min="9962" max="9962" customWidth="1" width="13.1328125" style="116"/>
    <col min="9963" max="9963" customWidth="1" width="13.425781" style="116"/>
    <col min="9964" max="9965" customWidth="1" width="9.28125" style="116"/>
    <col min="9966" max="9966" customWidth="1" width="12.425781" style="116"/>
    <col min="9967" max="9968" customWidth="1" width="9.28125" style="116"/>
    <col min="9969" max="9969" customWidth="1" width="17.707031" style="116"/>
    <col min="9970" max="10000" customWidth="1" width="11.0" style="116"/>
    <col min="10001" max="10001" customWidth="1" width="14.28125" style="116"/>
    <col min="10002" max="10002" customWidth="1" width="12.0" style="116"/>
    <col min="10003" max="10009" customWidth="1" width="9.8515625" style="116"/>
    <col min="10010" max="10010" customWidth="1" width="6.4257812" style="116"/>
    <col min="10011" max="10011" customWidth="1" width="2.5703125" style="116"/>
    <col min="10012" max="10015" customWidth="1" width="9.0" style="116"/>
    <col min="10016" max="10209" customWidth="0" width="8.707031" style="116"/>
    <col min="10210" max="10211" customWidth="1" width="18.28125" style="116"/>
    <col min="10212" max="10214" customWidth="1" width="13.5703125" style="116"/>
    <col min="10215" max="10215" customWidth="1" width="12.425781" style="116"/>
    <col min="10216" max="10216" customWidth="1" width="10.707031" style="116"/>
    <col min="10217" max="10217" customWidth="1" width="11.707031" style="116"/>
    <col min="10218" max="10218" customWidth="1" width="13.1328125" style="116"/>
    <col min="10219" max="10219" customWidth="1" width="13.425781" style="116"/>
    <col min="10220" max="10221" customWidth="1" width="9.28125" style="116"/>
    <col min="10222" max="10222" customWidth="1" width="12.425781" style="116"/>
    <col min="10223" max="10224" customWidth="1" width="9.28125" style="116"/>
    <col min="10225" max="10225" customWidth="1" width="17.707031" style="116"/>
    <col min="10226" max="10256" customWidth="1" width="11.0" style="116"/>
    <col min="10257" max="10257" customWidth="1" width="14.28125" style="116"/>
    <col min="10258" max="10258" customWidth="1" width="12.0" style="116"/>
    <col min="10259" max="10265" customWidth="1" width="9.8515625" style="116"/>
    <col min="10266" max="10266" customWidth="1" width="6.4257812" style="116"/>
    <col min="10267" max="10267" customWidth="1" width="2.5703125" style="116"/>
    <col min="10268" max="10271" customWidth="1" width="9.0" style="116"/>
    <col min="10272" max="10465" customWidth="0" width="8.707031" style="116"/>
    <col min="10466" max="10467" customWidth="1" width="18.28125" style="116"/>
    <col min="10468" max="10470" customWidth="1" width="13.5703125" style="116"/>
    <col min="10471" max="10471" customWidth="1" width="12.425781" style="116"/>
    <col min="10472" max="10472" customWidth="1" width="10.707031" style="116"/>
    <col min="10473" max="10473" customWidth="1" width="11.707031" style="116"/>
    <col min="10474" max="10474" customWidth="1" width="13.1328125" style="116"/>
    <col min="10475" max="10475" customWidth="1" width="13.425781" style="116"/>
    <col min="10476" max="10477" customWidth="1" width="9.28125" style="116"/>
    <col min="10478" max="10478" customWidth="1" width="12.425781" style="116"/>
    <col min="10479" max="10480" customWidth="1" width="9.28125" style="116"/>
    <col min="10481" max="10481" customWidth="1" width="17.707031" style="116"/>
    <col min="10482" max="10512" customWidth="1" width="11.0" style="116"/>
    <col min="10513" max="10513" customWidth="1" width="14.28125" style="116"/>
    <col min="10514" max="10514" customWidth="1" width="12.0" style="116"/>
    <col min="10515" max="10521" customWidth="1" width="9.8515625" style="116"/>
    <col min="10522" max="10522" customWidth="1" width="6.4257812" style="116"/>
    <col min="10523" max="10523" customWidth="1" width="2.5703125" style="116"/>
    <col min="10524" max="10527" customWidth="1" width="9.0" style="116"/>
    <col min="10528" max="10721" customWidth="0" width="8.707031" style="116"/>
    <col min="10722" max="10723" customWidth="1" width="18.28125" style="116"/>
    <col min="10724" max="10726" customWidth="1" width="13.5703125" style="116"/>
    <col min="10727" max="10727" customWidth="1" width="12.425781" style="116"/>
    <col min="10728" max="10728" customWidth="1" width="10.707031" style="116"/>
    <col min="10729" max="10729" customWidth="1" width="11.707031" style="116"/>
    <col min="10730" max="10730" customWidth="1" width="13.1328125" style="116"/>
    <col min="10731" max="10731" customWidth="1" width="13.425781" style="116"/>
    <col min="10732" max="10733" customWidth="1" width="9.28125" style="116"/>
    <col min="10734" max="10734" customWidth="1" width="12.425781" style="116"/>
    <col min="10735" max="10736" customWidth="1" width="9.28125" style="116"/>
    <col min="10737" max="10737" customWidth="1" width="17.707031" style="116"/>
    <col min="10738" max="10768" customWidth="1" width="11.0" style="116"/>
    <col min="10769" max="10769" customWidth="1" width="14.28125" style="116"/>
    <col min="10770" max="10770" customWidth="1" width="12.0" style="116"/>
    <col min="10771" max="10777" customWidth="1" width="9.8515625" style="116"/>
    <col min="10778" max="10778" customWidth="1" width="6.4257812" style="116"/>
    <col min="10779" max="10779" customWidth="1" width="2.5703125" style="116"/>
    <col min="10780" max="10783" customWidth="1" width="9.0" style="116"/>
    <col min="10784" max="10977" customWidth="0" width="8.707031" style="116"/>
    <col min="10978" max="10979" customWidth="1" width="18.28125" style="116"/>
    <col min="10980" max="10982" customWidth="1" width="13.5703125" style="116"/>
    <col min="10983" max="10983" customWidth="1" width="12.425781" style="116"/>
    <col min="10984" max="10984" customWidth="1" width="10.707031" style="116"/>
    <col min="10985" max="10985" customWidth="1" width="11.707031" style="116"/>
    <col min="10986" max="10986" customWidth="1" width="13.1328125" style="116"/>
    <col min="10987" max="10987" customWidth="1" width="13.425781" style="116"/>
    <col min="10988" max="10989" customWidth="1" width="9.28125" style="116"/>
    <col min="10990" max="10990" customWidth="1" width="12.425781" style="116"/>
    <col min="10991" max="10992" customWidth="1" width="9.28125" style="116"/>
    <col min="10993" max="10993" customWidth="1" width="17.707031" style="116"/>
    <col min="10994" max="11024" customWidth="1" width="11.0" style="116"/>
    <col min="11025" max="11025" customWidth="1" width="14.28125" style="116"/>
    <col min="11026" max="11026" customWidth="1" width="12.0" style="116"/>
    <col min="11027" max="11033" customWidth="1" width="9.8515625" style="116"/>
    <col min="11034" max="11034" customWidth="1" width="6.4257812" style="116"/>
    <col min="11035" max="11035" customWidth="1" width="2.5703125" style="116"/>
    <col min="11036" max="11039" customWidth="1" width="9.0" style="116"/>
    <col min="11040" max="11233" customWidth="0" width="8.707031" style="116"/>
    <col min="11234" max="11235" customWidth="1" width="18.28125" style="116"/>
    <col min="11236" max="11238" customWidth="1" width="13.5703125" style="116"/>
    <col min="11239" max="11239" customWidth="1" width="12.425781" style="116"/>
    <col min="11240" max="11240" customWidth="1" width="10.707031" style="116"/>
    <col min="11241" max="11241" customWidth="1" width="11.707031" style="116"/>
    <col min="11242" max="11242" customWidth="1" width="13.1328125" style="116"/>
    <col min="11243" max="11243" customWidth="1" width="13.425781" style="116"/>
    <col min="11244" max="11245" customWidth="1" width="9.28125" style="116"/>
    <col min="11246" max="11246" customWidth="1" width="12.425781" style="116"/>
    <col min="11247" max="11248" customWidth="1" width="9.28125" style="116"/>
    <col min="11249" max="11249" customWidth="1" width="17.707031" style="116"/>
    <col min="11250" max="11280" customWidth="1" width="11.0" style="116"/>
    <col min="11281" max="11281" customWidth="1" width="14.28125" style="116"/>
    <col min="11282" max="11282" customWidth="1" width="12.0" style="116"/>
    <col min="11283" max="11289" customWidth="1" width="9.8515625" style="116"/>
    <col min="11290" max="11290" customWidth="1" width="6.4257812" style="116"/>
    <col min="11291" max="11291" customWidth="1" width="2.5703125" style="116"/>
    <col min="11292" max="11295" customWidth="1" width="9.0" style="116"/>
    <col min="11296" max="11489" customWidth="0" width="8.707031" style="116"/>
    <col min="11490" max="11491" customWidth="1" width="18.28125" style="116"/>
    <col min="11492" max="11494" customWidth="1" width="13.5703125" style="116"/>
    <col min="11495" max="11495" customWidth="1" width="12.425781" style="116"/>
    <col min="11496" max="11496" customWidth="1" width="10.707031" style="116"/>
    <col min="11497" max="11497" customWidth="1" width="11.707031" style="116"/>
    <col min="11498" max="11498" customWidth="1" width="13.1328125" style="116"/>
    <col min="11499" max="11499" customWidth="1" width="13.425781" style="116"/>
    <col min="11500" max="11501" customWidth="1" width="9.28125" style="116"/>
    <col min="11502" max="11502" customWidth="1" width="12.425781" style="116"/>
    <col min="11503" max="11504" customWidth="1" width="9.28125" style="116"/>
    <col min="11505" max="11505" customWidth="1" width="17.707031" style="116"/>
    <col min="11506" max="11536" customWidth="1" width="11.0" style="116"/>
    <col min="11537" max="11537" customWidth="1" width="14.28125" style="116"/>
    <col min="11538" max="11538" customWidth="1" width="12.0" style="116"/>
    <col min="11539" max="11545" customWidth="1" width="9.8515625" style="116"/>
    <col min="11546" max="11546" customWidth="1" width="6.4257812" style="116"/>
    <col min="11547" max="11547" customWidth="1" width="2.5703125" style="116"/>
    <col min="11548" max="11551" customWidth="1" width="9.0" style="116"/>
    <col min="11552" max="11745" customWidth="0" width="8.707031" style="116"/>
    <col min="11746" max="11747" customWidth="1" width="18.28125" style="116"/>
    <col min="11748" max="11750" customWidth="1" width="13.5703125" style="116"/>
    <col min="11751" max="11751" customWidth="1" width="12.425781" style="116"/>
    <col min="11752" max="11752" customWidth="1" width="10.707031" style="116"/>
    <col min="11753" max="11753" customWidth="1" width="11.707031" style="116"/>
    <col min="11754" max="11754" customWidth="1" width="13.1328125" style="116"/>
    <col min="11755" max="11755" customWidth="1" width="13.425781" style="116"/>
    <col min="11756" max="11757" customWidth="1" width="9.28125" style="116"/>
    <col min="11758" max="11758" customWidth="1" width="12.425781" style="116"/>
    <col min="11759" max="11760" customWidth="1" width="9.28125" style="116"/>
    <col min="11761" max="11761" customWidth="1" width="17.707031" style="116"/>
    <col min="11762" max="11792" customWidth="1" width="11.0" style="116"/>
    <col min="11793" max="11793" customWidth="1" width="14.28125" style="116"/>
    <col min="11794" max="11794" customWidth="1" width="12.0" style="116"/>
    <col min="11795" max="11801" customWidth="1" width="9.8515625" style="116"/>
    <col min="11802" max="11802" customWidth="1" width="6.4257812" style="116"/>
    <col min="11803" max="11803" customWidth="1" width="2.5703125" style="116"/>
    <col min="11804" max="11807" customWidth="1" width="9.0" style="116"/>
    <col min="11808" max="12001" customWidth="0" width="8.707031" style="116"/>
    <col min="12002" max="12003" customWidth="1" width="18.28125" style="116"/>
    <col min="12004" max="12006" customWidth="1" width="13.5703125" style="116"/>
    <col min="12007" max="12007" customWidth="1" width="12.425781" style="116"/>
    <col min="12008" max="12008" customWidth="1" width="10.707031" style="116"/>
    <col min="12009" max="12009" customWidth="1" width="11.707031" style="116"/>
    <col min="12010" max="12010" customWidth="1" width="13.1328125" style="116"/>
    <col min="12011" max="12011" customWidth="1" width="13.425781" style="116"/>
    <col min="12012" max="12013" customWidth="1" width="9.28125" style="116"/>
    <col min="12014" max="12014" customWidth="1" width="12.425781" style="116"/>
    <col min="12015" max="12016" customWidth="1" width="9.28125" style="116"/>
    <col min="12017" max="12017" customWidth="1" width="17.707031" style="116"/>
    <col min="12018" max="12048" customWidth="1" width="11.0" style="116"/>
    <col min="12049" max="12049" customWidth="1" width="14.28125" style="116"/>
    <col min="12050" max="12050" customWidth="1" width="12.0" style="116"/>
    <col min="12051" max="12057" customWidth="1" width="9.8515625" style="116"/>
    <col min="12058" max="12058" customWidth="1" width="6.4257812" style="116"/>
    <col min="12059" max="12059" customWidth="1" width="2.5703125" style="116"/>
    <col min="12060" max="12063" customWidth="1" width="9.0" style="116"/>
    <col min="12064" max="12257" customWidth="0" width="8.707031" style="116"/>
    <col min="12258" max="12259" customWidth="1" width="18.28125" style="116"/>
    <col min="12260" max="12262" customWidth="1" width="13.5703125" style="116"/>
    <col min="12263" max="12263" customWidth="1" width="12.425781" style="116"/>
    <col min="12264" max="12264" customWidth="1" width="10.707031" style="116"/>
    <col min="12265" max="12265" customWidth="1" width="11.707031" style="116"/>
    <col min="12266" max="12266" customWidth="1" width="13.1328125" style="116"/>
    <col min="12267" max="12267" customWidth="1" width="13.425781" style="116"/>
    <col min="12268" max="12269" customWidth="1" width="9.28125" style="116"/>
    <col min="12270" max="12270" customWidth="1" width="12.425781" style="116"/>
    <col min="12271" max="12272" customWidth="1" width="9.28125" style="116"/>
    <col min="12273" max="12273" customWidth="1" width="17.707031" style="116"/>
    <col min="12274" max="12304" customWidth="1" width="11.0" style="116"/>
    <col min="12305" max="12305" customWidth="1" width="14.28125" style="116"/>
    <col min="12306" max="12306" customWidth="1" width="12.0" style="116"/>
    <col min="12307" max="12313" customWidth="1" width="9.8515625" style="116"/>
    <col min="12314" max="12314" customWidth="1" width="6.4257812" style="116"/>
    <col min="12315" max="12315" customWidth="1" width="2.5703125" style="116"/>
    <col min="12316" max="12319" customWidth="1" width="9.0" style="116"/>
    <col min="12320" max="12513" customWidth="0" width="8.707031" style="116"/>
    <col min="12514" max="12515" customWidth="1" width="18.28125" style="116"/>
    <col min="12516" max="12518" customWidth="1" width="13.5703125" style="116"/>
    <col min="12519" max="12519" customWidth="1" width="12.425781" style="116"/>
    <col min="12520" max="12520" customWidth="1" width="10.707031" style="116"/>
    <col min="12521" max="12521" customWidth="1" width="11.707031" style="116"/>
    <col min="12522" max="12522" customWidth="1" width="13.1328125" style="116"/>
    <col min="12523" max="12523" customWidth="1" width="13.425781" style="116"/>
    <col min="12524" max="12525" customWidth="1" width="9.28125" style="116"/>
    <col min="12526" max="12526" customWidth="1" width="12.425781" style="116"/>
    <col min="12527" max="12528" customWidth="1" width="9.28125" style="116"/>
    <col min="12529" max="12529" customWidth="1" width="17.707031" style="116"/>
    <col min="12530" max="12560" customWidth="1" width="11.0" style="116"/>
    <col min="12561" max="12561" customWidth="1" width="14.28125" style="116"/>
    <col min="12562" max="12562" customWidth="1" width="12.0" style="116"/>
    <col min="12563" max="12569" customWidth="1" width="9.8515625" style="116"/>
    <col min="12570" max="12570" customWidth="1" width="6.4257812" style="116"/>
    <col min="12571" max="12571" customWidth="1" width="2.5703125" style="116"/>
    <col min="12572" max="12575" customWidth="1" width="9.0" style="116"/>
    <col min="12576" max="12769" customWidth="0" width="8.707031" style="116"/>
    <col min="12770" max="12771" customWidth="1" width="18.28125" style="116"/>
    <col min="12772" max="12774" customWidth="1" width="13.5703125" style="116"/>
    <col min="12775" max="12775" customWidth="1" width="12.425781" style="116"/>
    <col min="12776" max="12776" customWidth="1" width="10.707031" style="116"/>
    <col min="12777" max="12777" customWidth="1" width="11.707031" style="116"/>
    <col min="12778" max="12778" customWidth="1" width="13.1328125" style="116"/>
    <col min="12779" max="12779" customWidth="1" width="13.425781" style="116"/>
    <col min="12780" max="12781" customWidth="1" width="9.28125" style="116"/>
    <col min="12782" max="12782" customWidth="1" width="12.425781" style="116"/>
    <col min="12783" max="12784" customWidth="1" width="9.28125" style="116"/>
    <col min="12785" max="12785" customWidth="1" width="17.707031" style="116"/>
    <col min="12786" max="12816" customWidth="1" width="11.0" style="116"/>
    <col min="12817" max="12817" customWidth="1" width="14.28125" style="116"/>
    <col min="12818" max="12818" customWidth="1" width="12.0" style="116"/>
    <col min="12819" max="12825" customWidth="1" width="9.8515625" style="116"/>
    <col min="12826" max="12826" customWidth="1" width="6.4257812" style="116"/>
    <col min="12827" max="12827" customWidth="1" width="2.5703125" style="116"/>
    <col min="12828" max="12831" customWidth="1" width="9.0" style="116"/>
    <col min="12832" max="13025" customWidth="0" width="8.707031" style="116"/>
    <col min="13026" max="13027" customWidth="1" width="18.28125" style="116"/>
    <col min="13028" max="13030" customWidth="1" width="13.5703125" style="116"/>
    <col min="13031" max="13031" customWidth="1" width="12.425781" style="116"/>
    <col min="13032" max="13032" customWidth="1" width="10.707031" style="116"/>
    <col min="13033" max="13033" customWidth="1" width="11.707031" style="116"/>
    <col min="13034" max="13034" customWidth="1" width="13.1328125" style="116"/>
    <col min="13035" max="13035" customWidth="1" width="13.425781" style="116"/>
    <col min="13036" max="13037" customWidth="1" width="9.28125" style="116"/>
    <col min="13038" max="13038" customWidth="1" width="12.425781" style="116"/>
    <col min="13039" max="13040" customWidth="1" width="9.28125" style="116"/>
    <col min="13041" max="13041" customWidth="1" width="17.707031" style="116"/>
    <col min="13042" max="13072" customWidth="1" width="11.0" style="116"/>
    <col min="13073" max="13073" customWidth="1" width="14.28125" style="116"/>
    <col min="13074" max="13074" customWidth="1" width="12.0" style="116"/>
    <col min="13075" max="13081" customWidth="1" width="9.8515625" style="116"/>
    <col min="13082" max="13082" customWidth="1" width="6.4257812" style="116"/>
    <col min="13083" max="13083" customWidth="1" width="2.5703125" style="116"/>
    <col min="13084" max="13087" customWidth="1" width="9.0" style="116"/>
    <col min="13088" max="13281" customWidth="0" width="8.707031" style="116"/>
    <col min="13282" max="13283" customWidth="1" width="18.28125" style="116"/>
    <col min="13284" max="13286" customWidth="1" width="13.5703125" style="116"/>
    <col min="13287" max="13287" customWidth="1" width="12.425781" style="116"/>
    <col min="13288" max="13288" customWidth="1" width="10.707031" style="116"/>
    <col min="13289" max="13289" customWidth="1" width="11.707031" style="116"/>
    <col min="13290" max="13290" customWidth="1" width="13.1328125" style="116"/>
    <col min="13291" max="13291" customWidth="1" width="13.425781" style="116"/>
    <col min="13292" max="13293" customWidth="1" width="9.28125" style="116"/>
    <col min="13294" max="13294" customWidth="1" width="12.425781" style="116"/>
    <col min="13295" max="13296" customWidth="1" width="9.28125" style="116"/>
    <col min="13297" max="13297" customWidth="1" width="17.707031" style="116"/>
    <col min="13298" max="13328" customWidth="1" width="11.0" style="116"/>
    <col min="13329" max="13329" customWidth="1" width="14.28125" style="116"/>
    <col min="13330" max="13330" customWidth="1" width="12.0" style="116"/>
    <col min="13331" max="13337" customWidth="1" width="9.8515625" style="116"/>
    <col min="13338" max="13338" customWidth="1" width="6.4257812" style="116"/>
    <col min="13339" max="13339" customWidth="1" width="2.5703125" style="116"/>
    <col min="13340" max="13343" customWidth="1" width="9.0" style="116"/>
    <col min="13344" max="13537" customWidth="0" width="8.707031" style="116"/>
    <col min="13538" max="13539" customWidth="1" width="18.28125" style="116"/>
    <col min="13540" max="13542" customWidth="1" width="13.5703125" style="116"/>
    <col min="13543" max="13543" customWidth="1" width="12.425781" style="116"/>
    <col min="13544" max="13544" customWidth="1" width="10.707031" style="116"/>
    <col min="13545" max="13545" customWidth="1" width="11.707031" style="116"/>
    <col min="13546" max="13546" customWidth="1" width="13.1328125" style="116"/>
    <col min="13547" max="13547" customWidth="1" width="13.425781" style="116"/>
    <col min="13548" max="13549" customWidth="1" width="9.28125" style="116"/>
    <col min="13550" max="13550" customWidth="1" width="12.425781" style="116"/>
    <col min="13551" max="13552" customWidth="1" width="9.28125" style="116"/>
    <col min="13553" max="13553" customWidth="1" width="17.707031" style="116"/>
    <col min="13554" max="13584" customWidth="1" width="11.0" style="116"/>
    <col min="13585" max="13585" customWidth="1" width="14.28125" style="116"/>
    <col min="13586" max="13586" customWidth="1" width="12.0" style="116"/>
    <col min="13587" max="13593" customWidth="1" width="9.8515625" style="116"/>
    <col min="13594" max="13594" customWidth="1" width="6.4257812" style="116"/>
    <col min="13595" max="13595" customWidth="1" width="2.5703125" style="116"/>
    <col min="13596" max="13599" customWidth="1" width="9.0" style="116"/>
    <col min="13600" max="13793" customWidth="0" width="8.707031" style="116"/>
    <col min="13794" max="13795" customWidth="1" width="18.28125" style="116"/>
    <col min="13796" max="13798" customWidth="1" width="13.5703125" style="116"/>
    <col min="13799" max="13799" customWidth="1" width="12.425781" style="116"/>
    <col min="13800" max="13800" customWidth="1" width="10.707031" style="116"/>
    <col min="13801" max="13801" customWidth="1" width="11.707031" style="116"/>
    <col min="13802" max="13802" customWidth="1" width="13.1328125" style="116"/>
    <col min="13803" max="13803" customWidth="1" width="13.425781" style="116"/>
    <col min="13804" max="13805" customWidth="1" width="9.28125" style="116"/>
    <col min="13806" max="13806" customWidth="1" width="12.425781" style="116"/>
    <col min="13807" max="13808" customWidth="1" width="9.28125" style="116"/>
    <col min="13809" max="13809" customWidth="1" width="17.707031" style="116"/>
    <col min="13810" max="13840" customWidth="1" width="11.0" style="116"/>
    <col min="13841" max="13841" customWidth="1" width="14.28125" style="116"/>
    <col min="13842" max="13842" customWidth="1" width="12.0" style="116"/>
    <col min="13843" max="13849" customWidth="1" width="9.8515625" style="116"/>
    <col min="13850" max="13850" customWidth="1" width="6.4257812" style="116"/>
    <col min="13851" max="13851" customWidth="1" width="2.5703125" style="116"/>
    <col min="13852" max="13855" customWidth="1" width="9.0" style="116"/>
    <col min="13856" max="14049" customWidth="0" width="8.707031" style="116"/>
    <col min="14050" max="14051" customWidth="1" width="18.28125" style="116"/>
    <col min="14052" max="14054" customWidth="1" width="13.5703125" style="116"/>
    <col min="14055" max="14055" customWidth="1" width="12.425781" style="116"/>
    <col min="14056" max="14056" customWidth="1" width="10.707031" style="116"/>
    <col min="14057" max="14057" customWidth="1" width="11.707031" style="116"/>
    <col min="14058" max="14058" customWidth="1" width="13.1328125" style="116"/>
    <col min="14059" max="14059" customWidth="1" width="13.425781" style="116"/>
    <col min="14060" max="14061" customWidth="1" width="9.28125" style="116"/>
    <col min="14062" max="14062" customWidth="1" width="12.425781" style="116"/>
    <col min="14063" max="14064" customWidth="1" width="9.28125" style="116"/>
    <col min="14065" max="14065" customWidth="1" width="17.707031" style="116"/>
    <col min="14066" max="14096" customWidth="1" width="11.0" style="116"/>
    <col min="14097" max="14097" customWidth="1" width="14.28125" style="116"/>
    <col min="14098" max="14098" customWidth="1" width="12.0" style="116"/>
    <col min="14099" max="14105" customWidth="1" width="9.8515625" style="116"/>
    <col min="14106" max="14106" customWidth="1" width="6.4257812" style="116"/>
    <col min="14107" max="14107" customWidth="1" width="2.5703125" style="116"/>
    <col min="14108" max="14111" customWidth="1" width="9.0" style="116"/>
    <col min="14112" max="14305" customWidth="0" width="8.707031" style="116"/>
    <col min="14306" max="14307" customWidth="1" width="18.28125" style="116"/>
    <col min="14308" max="14310" customWidth="1" width="13.5703125" style="116"/>
    <col min="14311" max="14311" customWidth="1" width="12.425781" style="116"/>
    <col min="14312" max="14312" customWidth="1" width="10.707031" style="116"/>
    <col min="14313" max="14313" customWidth="1" width="11.707031" style="116"/>
    <col min="14314" max="14314" customWidth="1" width="13.1328125" style="116"/>
    <col min="14315" max="14315" customWidth="1" width="13.425781" style="116"/>
    <col min="14316" max="14317" customWidth="1" width="9.28125" style="116"/>
    <col min="14318" max="14318" customWidth="1" width="12.425781" style="116"/>
    <col min="14319" max="14320" customWidth="1" width="9.28125" style="116"/>
    <col min="14321" max="14321" customWidth="1" width="17.707031" style="116"/>
    <col min="14322" max="14352" customWidth="1" width="11.0" style="116"/>
    <col min="14353" max="14353" customWidth="1" width="14.28125" style="116"/>
    <col min="14354" max="14354" customWidth="1" width="12.0" style="116"/>
    <col min="14355" max="14361" customWidth="1" width="9.8515625" style="116"/>
    <col min="14362" max="14362" customWidth="1" width="6.4257812" style="116"/>
    <col min="14363" max="14363" customWidth="1" width="2.5703125" style="116"/>
    <col min="14364" max="14367" customWidth="1" width="9.0" style="116"/>
    <col min="14368" max="14561" customWidth="0" width="8.707031" style="116"/>
    <col min="14562" max="14563" customWidth="1" width="18.28125" style="116"/>
    <col min="14564" max="14566" customWidth="1" width="13.5703125" style="116"/>
    <col min="14567" max="14567" customWidth="1" width="12.425781" style="116"/>
    <col min="14568" max="14568" customWidth="1" width="10.707031" style="116"/>
    <col min="14569" max="14569" customWidth="1" width="11.707031" style="116"/>
    <col min="14570" max="14570" customWidth="1" width="13.1328125" style="116"/>
    <col min="14571" max="14571" customWidth="1" width="13.425781" style="116"/>
    <col min="14572" max="14573" customWidth="1" width="9.28125" style="116"/>
    <col min="14574" max="14574" customWidth="1" width="12.425781" style="116"/>
    <col min="14575" max="14576" customWidth="1" width="9.28125" style="116"/>
    <col min="14577" max="14577" customWidth="1" width="17.707031" style="116"/>
    <col min="14578" max="14608" customWidth="1" width="11.0" style="116"/>
    <col min="14609" max="14609" customWidth="1" width="14.28125" style="116"/>
    <col min="14610" max="14610" customWidth="1" width="12.0" style="116"/>
    <col min="14611" max="14617" customWidth="1" width="9.8515625" style="116"/>
    <col min="14618" max="14618" customWidth="1" width="6.4257812" style="116"/>
    <col min="14619" max="14619" customWidth="1" width="2.5703125" style="116"/>
    <col min="14620" max="14623" customWidth="1" width="9.0" style="116"/>
    <col min="14624" max="14817" customWidth="0" width="8.707031" style="116"/>
    <col min="14818" max="14819" customWidth="1" width="18.28125" style="116"/>
    <col min="14820" max="14822" customWidth="1" width="13.5703125" style="116"/>
    <col min="14823" max="14823" customWidth="1" width="12.425781" style="116"/>
    <col min="14824" max="14824" customWidth="1" width="10.707031" style="116"/>
    <col min="14825" max="14825" customWidth="1" width="11.707031" style="116"/>
    <col min="14826" max="14826" customWidth="1" width="13.1328125" style="116"/>
    <col min="14827" max="14827" customWidth="1" width="13.425781" style="116"/>
    <col min="14828" max="14829" customWidth="1" width="9.28125" style="116"/>
    <col min="14830" max="14830" customWidth="1" width="12.425781" style="116"/>
    <col min="14831" max="14832" customWidth="1" width="9.28125" style="116"/>
    <col min="14833" max="14833" customWidth="1" width="17.707031" style="116"/>
    <col min="14834" max="14864" customWidth="1" width="11.0" style="116"/>
    <col min="14865" max="14865" customWidth="1" width="14.28125" style="116"/>
    <col min="14866" max="14866" customWidth="1" width="12.0" style="116"/>
    <col min="14867" max="14873" customWidth="1" width="9.8515625" style="116"/>
    <col min="14874" max="14874" customWidth="1" width="6.4257812" style="116"/>
    <col min="14875" max="14875" customWidth="1" width="2.5703125" style="116"/>
    <col min="14876" max="14879" customWidth="1" width="9.0" style="116"/>
    <col min="14880" max="15073" customWidth="0" width="8.707031" style="116"/>
    <col min="15074" max="15075" customWidth="1" width="18.28125" style="116"/>
    <col min="15076" max="15078" customWidth="1" width="13.5703125" style="116"/>
    <col min="15079" max="15079" customWidth="1" width="12.425781" style="116"/>
    <col min="15080" max="15080" customWidth="1" width="10.707031" style="116"/>
    <col min="15081" max="15081" customWidth="1" width="11.707031" style="116"/>
    <col min="15082" max="15082" customWidth="1" width="13.1328125" style="116"/>
    <col min="15083" max="15083" customWidth="1" width="13.425781" style="116"/>
    <col min="15084" max="15085" customWidth="1" width="9.28125" style="116"/>
    <col min="15086" max="15086" customWidth="1" width="12.425781" style="116"/>
    <col min="15087" max="15088" customWidth="1" width="9.28125" style="116"/>
    <col min="15089" max="15089" customWidth="1" width="17.707031" style="116"/>
    <col min="15090" max="15120" customWidth="1" width="11.0" style="116"/>
    <col min="15121" max="15121" customWidth="1" width="14.28125" style="116"/>
    <col min="15122" max="15122" customWidth="1" width="12.0" style="116"/>
    <col min="15123" max="15129" customWidth="1" width="9.8515625" style="116"/>
    <col min="15130" max="15130" customWidth="1" width="6.4257812" style="116"/>
    <col min="15131" max="15131" customWidth="1" width="2.5703125" style="116"/>
    <col min="15132" max="15135" customWidth="1" width="9.0" style="116"/>
    <col min="15136" max="15329" customWidth="0" width="8.707031" style="116"/>
    <col min="15330" max="15331" customWidth="1" width="18.28125" style="116"/>
    <col min="15332" max="15334" customWidth="1" width="13.5703125" style="116"/>
    <col min="15335" max="15335" customWidth="1" width="12.425781" style="116"/>
    <col min="15336" max="15336" customWidth="1" width="10.707031" style="116"/>
    <col min="15337" max="15337" customWidth="1" width="11.707031" style="116"/>
    <col min="15338" max="15338" customWidth="1" width="13.1328125" style="116"/>
    <col min="15339" max="15339" customWidth="1" width="13.425781" style="116"/>
    <col min="15340" max="15341" customWidth="1" width="9.28125" style="116"/>
    <col min="15342" max="15342" customWidth="1" width="12.425781" style="116"/>
    <col min="15343" max="15344" customWidth="1" width="9.28125" style="116"/>
    <col min="15345" max="15345" customWidth="1" width="17.707031" style="116"/>
    <col min="15346" max="15376" customWidth="1" width="11.0" style="116"/>
    <col min="15377" max="15377" customWidth="1" width="14.28125" style="116"/>
    <col min="15378" max="15378" customWidth="1" width="12.0" style="116"/>
    <col min="15379" max="15385" customWidth="1" width="9.8515625" style="116"/>
    <col min="15386" max="15386" customWidth="1" width="6.4257812" style="116"/>
    <col min="15387" max="15387" customWidth="1" width="2.5703125" style="116"/>
    <col min="15388" max="15391" customWidth="1" width="9.0" style="116"/>
    <col min="15392" max="15585" customWidth="0" width="8.707031" style="116"/>
    <col min="15586" max="15587" customWidth="1" width="18.28125" style="116"/>
    <col min="15588" max="15590" customWidth="1" width="13.5703125" style="116"/>
    <col min="15591" max="15591" customWidth="1" width="12.425781" style="116"/>
    <col min="15592" max="15592" customWidth="1" width="10.707031" style="116"/>
    <col min="15593" max="15593" customWidth="1" width="11.707031" style="116"/>
    <col min="15594" max="15594" customWidth="1" width="13.1328125" style="116"/>
    <col min="15595" max="15595" customWidth="1" width="13.425781" style="116"/>
    <col min="15596" max="15597" customWidth="1" width="9.28125" style="116"/>
    <col min="15598" max="15598" customWidth="1" width="12.425781" style="116"/>
    <col min="15599" max="15600" customWidth="1" width="9.28125" style="116"/>
    <col min="15601" max="15601" customWidth="1" width="17.707031" style="116"/>
    <col min="15602" max="15632" customWidth="1" width="11.0" style="116"/>
    <col min="15633" max="15633" customWidth="1" width="14.28125" style="116"/>
    <col min="15634" max="15634" customWidth="1" width="12.0" style="116"/>
    <col min="15635" max="15641" customWidth="1" width="9.8515625" style="116"/>
    <col min="15642" max="15642" customWidth="1" width="6.4257812" style="116"/>
    <col min="15643" max="15643" customWidth="1" width="2.5703125" style="116"/>
    <col min="15644" max="15647" customWidth="1" width="9.0" style="116"/>
    <col min="15648" max="15841" customWidth="0" width="8.707031" style="116"/>
    <col min="15842" max="15843" customWidth="1" width="18.28125" style="116"/>
    <col min="15844" max="15846" customWidth="1" width="13.5703125" style="116"/>
    <col min="15847" max="15847" customWidth="1" width="12.425781" style="116"/>
    <col min="15848" max="15848" customWidth="1" width="10.707031" style="116"/>
    <col min="15849" max="15849" customWidth="1" width="11.707031" style="116"/>
    <col min="15850" max="15850" customWidth="1" width="13.1328125" style="116"/>
    <col min="15851" max="15851" customWidth="1" width="13.425781" style="116"/>
    <col min="15852" max="15853" customWidth="1" width="9.28125" style="116"/>
    <col min="15854" max="15854" customWidth="1" width="12.425781" style="116"/>
    <col min="15855" max="15856" customWidth="1" width="9.28125" style="116"/>
    <col min="15857" max="15857" customWidth="1" width="17.707031" style="116"/>
    <col min="15858" max="15888" customWidth="1" width="11.0" style="116"/>
    <col min="15889" max="15889" customWidth="1" width="14.28125" style="116"/>
    <col min="15890" max="15890" customWidth="1" width="12.0" style="116"/>
    <col min="15891" max="15897" customWidth="1" width="9.8515625" style="116"/>
    <col min="15898" max="15898" customWidth="1" width="6.4257812" style="116"/>
    <col min="15899" max="15899" customWidth="1" width="2.5703125" style="116"/>
    <col min="15900" max="15903" customWidth="1" width="9.0" style="116"/>
    <col min="15904" max="16097" customWidth="0" width="8.707031" style="116"/>
    <col min="16098" max="16099" customWidth="1" width="18.28125" style="116"/>
    <col min="16100" max="16102" customWidth="1" width="13.5703125" style="116"/>
    <col min="16103" max="16103" customWidth="1" width="12.425781" style="116"/>
    <col min="16104" max="16104" customWidth="1" width="10.707031" style="116"/>
    <col min="16105" max="16105" customWidth="1" width="11.707031" style="116"/>
    <col min="16106" max="16106" customWidth="1" width="13.1328125" style="116"/>
    <col min="16107" max="16107" customWidth="1" width="13.425781" style="116"/>
    <col min="16108" max="16109" customWidth="1" width="9.28125" style="116"/>
    <col min="16110" max="16110" customWidth="1" width="12.425781" style="116"/>
    <col min="16111" max="16112" customWidth="1" width="9.28125" style="116"/>
    <col min="16113" max="16113" customWidth="1" width="17.707031" style="116"/>
    <col min="16114" max="16144" customWidth="1" width="11.0" style="116"/>
    <col min="16145" max="16145" customWidth="1" width="14.28125" style="116"/>
    <col min="16146" max="16146" customWidth="1" width="12.0" style="116"/>
    <col min="16147" max="16153" customWidth="1" width="9.8515625" style="116"/>
    <col min="16154" max="16154" customWidth="1" width="6.4257812" style="116"/>
    <col min="16155" max="16155" customWidth="1" width="2.5703125" style="116"/>
    <col min="16156" max="16159" customWidth="1" width="9.0" style="116"/>
    <col min="16160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515639-07-12 
SUP11C, PH3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231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5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78"/>
      <c r="O6" s="278"/>
      <c r="P6" s="182"/>
      <c r="Q6" s="278"/>
      <c r="R6" s="182"/>
      <c r="S6" s="182"/>
      <c r="T6" s="182"/>
      <c r="U6" s="278"/>
      <c r="V6" s="182"/>
      <c r="W6" s="182"/>
      <c r="X6" s="182"/>
      <c r="Y6" s="182"/>
      <c r="Z6" s="220"/>
      <c r="AA6" s="278"/>
      <c r="AB6" s="278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182">
        <f t="shared" si="0" ref="N7:AR7">N6-N8-N9</f>
        <v>0.0</v>
      </c>
      <c r="O7" s="182">
        <f t="shared" si="0"/>
        <v>0.0</v>
      </c>
      <c r="P7" s="182">
        <f t="shared" si="0"/>
        <v>0.0</v>
      </c>
      <c r="Q7" s="182">
        <f t="shared" si="0"/>
        <v>0.0</v>
      </c>
      <c r="R7" s="182">
        <f t="shared" si="0"/>
        <v>0.0</v>
      </c>
      <c r="S7" s="182">
        <f t="shared" si="0"/>
        <v>0.0</v>
      </c>
      <c r="T7" s="182">
        <f t="shared" si="0"/>
        <v>0.0</v>
      </c>
      <c r="U7" s="182">
        <f t="shared" si="0"/>
        <v>0.0</v>
      </c>
      <c r="V7" s="182">
        <f t="shared" si="0"/>
        <v>0.0</v>
      </c>
      <c r="W7" s="182">
        <f t="shared" si="0"/>
        <v>0.0</v>
      </c>
      <c r="X7" s="182">
        <f t="shared" si="0"/>
        <v>0.0</v>
      </c>
      <c r="Y7" s="182">
        <f t="shared" si="0"/>
        <v>0.0</v>
      </c>
      <c r="Z7" s="182">
        <f t="shared" si="0"/>
        <v>0.0</v>
      </c>
      <c r="AA7" s="182">
        <f t="shared" si="0"/>
        <v>0.0</v>
      </c>
      <c r="AB7" s="182">
        <f t="shared" si="0"/>
        <v>0.0</v>
      </c>
      <c r="AC7" s="182">
        <f t="shared" si="0"/>
        <v>0.0</v>
      </c>
      <c r="AD7" s="182">
        <f t="shared" si="0"/>
        <v>0.0</v>
      </c>
      <c r="AE7" s="182">
        <f t="shared" si="0"/>
        <v>0.0</v>
      </c>
      <c r="AF7" s="182">
        <f t="shared" si="0"/>
        <v>0.0</v>
      </c>
      <c r="AG7" s="182">
        <f t="shared" si="0"/>
        <v>0.0</v>
      </c>
      <c r="AH7" s="182">
        <f t="shared" si="0"/>
        <v>0.0</v>
      </c>
      <c r="AI7" s="182">
        <f t="shared" si="0"/>
        <v>0.0</v>
      </c>
      <c r="AJ7" s="182">
        <f t="shared" si="0"/>
        <v>0.0</v>
      </c>
      <c r="AK7" s="182">
        <f t="shared" si="0"/>
        <v>0.0</v>
      </c>
      <c r="AL7" s="182">
        <f t="shared" si="0"/>
        <v>0.0</v>
      </c>
      <c r="AM7" s="182">
        <f t="shared" si="0"/>
        <v>0.0</v>
      </c>
      <c r="AN7" s="182">
        <f t="shared" si="0"/>
        <v>0.0</v>
      </c>
      <c r="AO7" s="182">
        <f t="shared" si="0"/>
        <v>0.0</v>
      </c>
      <c r="AP7" s="182">
        <f t="shared" si="0"/>
        <v>0.0</v>
      </c>
      <c r="AQ7" s="182">
        <f t="shared" si="0"/>
        <v>0.0</v>
      </c>
      <c r="AR7" s="182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9">
        <f t="shared" si="1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84">
        <f t="shared" si="1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79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-12878.0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6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12">
        <f t="shared" si="1"/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182">
        <f t="shared" si="2" ref="N13:AR13">N12-N14-N15</f>
        <v>0.0</v>
      </c>
      <c r="O13" s="182">
        <f t="shared" si="2"/>
        <v>0.0</v>
      </c>
      <c r="P13" s="182">
        <f t="shared" si="2"/>
        <v>0.0</v>
      </c>
      <c r="Q13" s="182">
        <f t="shared" si="2"/>
        <v>0.0</v>
      </c>
      <c r="R13" s="182">
        <f t="shared" si="2"/>
        <v>0.0</v>
      </c>
      <c r="S13" s="182">
        <f t="shared" si="2"/>
        <v>0.0</v>
      </c>
      <c r="T13" s="182">
        <f t="shared" si="2"/>
        <v>0.0</v>
      </c>
      <c r="U13" s="182">
        <f t="shared" si="2"/>
        <v>0.0</v>
      </c>
      <c r="V13" s="182">
        <f t="shared" si="2"/>
        <v>0.0</v>
      </c>
      <c r="W13" s="182">
        <f t="shared" si="2"/>
        <v>0.0</v>
      </c>
      <c r="X13" s="182">
        <f t="shared" si="2"/>
        <v>0.0</v>
      </c>
      <c r="Y13" s="182">
        <f t="shared" si="2"/>
        <v>0.0</v>
      </c>
      <c r="Z13" s="182">
        <f t="shared" si="2"/>
        <v>0.0</v>
      </c>
      <c r="AA13" s="182">
        <f t="shared" si="2"/>
        <v>0.0</v>
      </c>
      <c r="AB13" s="182">
        <f t="shared" si="2"/>
        <v>0.0</v>
      </c>
      <c r="AC13" s="182">
        <f t="shared" si="2"/>
        <v>0.0</v>
      </c>
      <c r="AD13" s="182">
        <f t="shared" si="2"/>
        <v>0.0</v>
      </c>
      <c r="AE13" s="182">
        <f t="shared" si="2"/>
        <v>0.0</v>
      </c>
      <c r="AF13" s="182">
        <f t="shared" si="2"/>
        <v>0.0</v>
      </c>
      <c r="AG13" s="182">
        <f t="shared" si="2"/>
        <v>0.0</v>
      </c>
      <c r="AH13" s="182">
        <f t="shared" si="2"/>
        <v>0.0</v>
      </c>
      <c r="AI13" s="182">
        <f t="shared" si="2"/>
        <v>0.0</v>
      </c>
      <c r="AJ13" s="182">
        <f t="shared" si="2"/>
        <v>0.0</v>
      </c>
      <c r="AK13" s="182">
        <f t="shared" si="2"/>
        <v>0.0</v>
      </c>
      <c r="AL13" s="182">
        <f t="shared" si="2"/>
        <v>0.0</v>
      </c>
      <c r="AM13" s="182">
        <f t="shared" si="2"/>
        <v>0.0</v>
      </c>
      <c r="AN13" s="182">
        <f t="shared" si="2"/>
        <v>0.0</v>
      </c>
      <c r="AO13" s="182">
        <f t="shared" si="2"/>
        <v>0.0</v>
      </c>
      <c r="AP13" s="182">
        <f t="shared" si="2"/>
        <v>0.0</v>
      </c>
      <c r="AQ13" s="182">
        <f t="shared" si="2"/>
        <v>0.0</v>
      </c>
      <c r="AR13" s="182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4">
        <f t="shared" si="1"/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215">
        <f t="shared" si="1"/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79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42193.0</v>
      </c>
      <c r="G17" s="157">
        <v>44197.0</v>
      </c>
      <c r="H17" s="158"/>
      <c r="I17" s="159"/>
      <c r="J17" s="160"/>
      <c r="K17" s="161"/>
      <c r="L17" s="162"/>
      <c r="M17" s="163" t="s">
        <v>130</v>
      </c>
      <c r="N17" s="165"/>
      <c r="O17" s="165"/>
      <c r="P17" s="165"/>
      <c r="Q17" s="165"/>
      <c r="R17" s="165"/>
      <c r="S17" s="165"/>
      <c r="T17" s="165" t="s">
        <v>159</v>
      </c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3"/>
      <c r="O18" s="183"/>
      <c r="P18" s="183"/>
      <c r="Q18" s="182">
        <v>-1265.0</v>
      </c>
      <c r="R18" s="183"/>
      <c r="S18" s="183"/>
      <c r="T18" s="183">
        <f>5827+6517+1799</f>
        <v>14143.0</v>
      </c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212">
        <f t="shared" si="3" ref="AS18:AS21">SUM(N18:AR18)</f>
        <v>12878.0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2">
        <f t="shared" si="4" ref="N19:AR19">N18-N20-N21</f>
        <v>0.0</v>
      </c>
      <c r="O19" s="182">
        <f t="shared" si="4"/>
        <v>0.0</v>
      </c>
      <c r="P19" s="182">
        <f t="shared" si="4"/>
        <v>0.0</v>
      </c>
      <c r="Q19" s="182">
        <f t="shared" si="4"/>
        <v>0.0</v>
      </c>
      <c r="R19" s="182">
        <f t="shared" si="4"/>
        <v>0.0</v>
      </c>
      <c r="S19" s="182">
        <f t="shared" si="4"/>
        <v>0.0</v>
      </c>
      <c r="T19" s="182">
        <f t="shared" si="4"/>
        <v>0.0</v>
      </c>
      <c r="U19" s="182">
        <f t="shared" si="4"/>
        <v>0.0</v>
      </c>
      <c r="V19" s="182">
        <f t="shared" si="4"/>
        <v>0.0</v>
      </c>
      <c r="W19" s="182">
        <f t="shared" si="4"/>
        <v>0.0</v>
      </c>
      <c r="X19" s="182">
        <f t="shared" si="4"/>
        <v>0.0</v>
      </c>
      <c r="Y19" s="182">
        <f t="shared" si="4"/>
        <v>0.0</v>
      </c>
      <c r="Z19" s="182">
        <f t="shared" si="4"/>
        <v>0.0</v>
      </c>
      <c r="AA19" s="182">
        <f t="shared" si="4"/>
        <v>0.0</v>
      </c>
      <c r="AB19" s="182">
        <f t="shared" si="4"/>
        <v>0.0</v>
      </c>
      <c r="AC19" s="182">
        <f t="shared" si="4"/>
        <v>0.0</v>
      </c>
      <c r="AD19" s="182">
        <f t="shared" si="4"/>
        <v>0.0</v>
      </c>
      <c r="AE19" s="182">
        <f t="shared" si="4"/>
        <v>0.0</v>
      </c>
      <c r="AF19" s="182">
        <f t="shared" si="4"/>
        <v>0.0</v>
      </c>
      <c r="AG19" s="182">
        <f t="shared" si="4"/>
        <v>0.0</v>
      </c>
      <c r="AH19" s="182">
        <f t="shared" si="4"/>
        <v>0.0</v>
      </c>
      <c r="AI19" s="182">
        <f t="shared" si="4"/>
        <v>0.0</v>
      </c>
      <c r="AJ19" s="182">
        <f t="shared" si="4"/>
        <v>0.0</v>
      </c>
      <c r="AK19" s="182">
        <f t="shared" si="4"/>
        <v>0.0</v>
      </c>
      <c r="AL19" s="182">
        <f t="shared" si="4"/>
        <v>0.0</v>
      </c>
      <c r="AM19" s="182">
        <f t="shared" si="4"/>
        <v>0.0</v>
      </c>
      <c r="AN19" s="182">
        <f t="shared" si="4"/>
        <v>0.0</v>
      </c>
      <c r="AO19" s="182">
        <f t="shared" si="4"/>
        <v>0.0</v>
      </c>
      <c r="AP19" s="182">
        <f t="shared" si="4"/>
        <v>0.0</v>
      </c>
      <c r="AQ19" s="182">
        <f t="shared" si="4"/>
        <v>0.0</v>
      </c>
      <c r="AR19" s="182">
        <f t="shared" si="4"/>
        <v>0.0</v>
      </c>
      <c r="AS19" s="214">
        <f t="shared" si="3"/>
        <v>0.0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2"/>
      <c r="O20" s="182"/>
      <c r="P20" s="182"/>
      <c r="Q20" s="182">
        <v>-1265.0</v>
      </c>
      <c r="R20" s="182"/>
      <c r="S20" s="182"/>
      <c r="T20" s="183">
        <f>5827+6517+1799</f>
        <v>14143.0</v>
      </c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4">
        <f t="shared" si="3"/>
        <v>12878.0</v>
      </c>
      <c r="AT20" s="190">
        <f>(AS20/(AS18-AS19))*100%</f>
        <v>1.0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192"/>
      <c r="O21" s="192"/>
      <c r="P21" s="192"/>
      <c r="Q21" s="192"/>
      <c r="R21" s="192"/>
      <c r="S21" s="192"/>
      <c r="T21" s="192">
        <v>0.0</v>
      </c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215">
        <f t="shared" si="3"/>
        <v>0.0</v>
      </c>
      <c r="AT21" s="193">
        <f>(AS21/(AS18-AS19))*100%</f>
        <v>0.0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79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0.0</v>
      </c>
      <c r="E23" s="155"/>
      <c r="F23" s="156">
        <v>60123.0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164"/>
      <c r="O23" s="164"/>
      <c r="P23" s="164"/>
      <c r="Q23" s="164"/>
      <c r="R23" s="164"/>
      <c r="S23" s="164"/>
      <c r="T23" s="164" t="s">
        <v>201</v>
      </c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6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278"/>
      <c r="O24" s="278"/>
      <c r="P24" s="278"/>
      <c r="Q24" s="278">
        <f>6517+1799-1265</f>
        <v>7051.0</v>
      </c>
      <c r="R24" s="278"/>
      <c r="S24" s="278"/>
      <c r="T24" s="278">
        <v>50000.0</v>
      </c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12">
        <f t="shared" si="5" ref="AS24:AS27">SUM(N24:AR24)</f>
        <v>57051.0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182">
        <f t="shared" si="6" ref="N25:AR25">N24-N26-N27</f>
        <v>0.0</v>
      </c>
      <c r="O25" s="182">
        <f t="shared" si="6"/>
        <v>0.0</v>
      </c>
      <c r="P25" s="182">
        <f t="shared" si="6"/>
        <v>0.0</v>
      </c>
      <c r="Q25" s="182">
        <f t="shared" si="6"/>
        <v>0.0</v>
      </c>
      <c r="R25" s="182">
        <f t="shared" si="6"/>
        <v>0.0</v>
      </c>
      <c r="S25" s="182">
        <f t="shared" si="6"/>
        <v>0.0</v>
      </c>
      <c r="T25" s="182">
        <f t="shared" si="6"/>
        <v>1980.0</v>
      </c>
      <c r="U25" s="182">
        <f t="shared" si="6"/>
        <v>0.0</v>
      </c>
      <c r="V25" s="182">
        <f t="shared" si="6"/>
        <v>0.0</v>
      </c>
      <c r="W25" s="182">
        <f t="shared" si="6"/>
        <v>0.0</v>
      </c>
      <c r="X25" s="182">
        <f t="shared" si="6"/>
        <v>0.0</v>
      </c>
      <c r="Y25" s="182">
        <f t="shared" si="6"/>
        <v>0.0</v>
      </c>
      <c r="Z25" s="182">
        <f t="shared" si="6"/>
        <v>0.0</v>
      </c>
      <c r="AA25" s="182">
        <f t="shared" si="6"/>
        <v>0.0</v>
      </c>
      <c r="AB25" s="182">
        <f t="shared" si="6"/>
        <v>0.0</v>
      </c>
      <c r="AC25" s="182">
        <f t="shared" si="6"/>
        <v>0.0</v>
      </c>
      <c r="AD25" s="182">
        <f t="shared" si="6"/>
        <v>0.0</v>
      </c>
      <c r="AE25" s="182">
        <f t="shared" si="6"/>
        <v>0.0</v>
      </c>
      <c r="AF25" s="182">
        <f t="shared" si="6"/>
        <v>0.0</v>
      </c>
      <c r="AG25" s="182">
        <f t="shared" si="6"/>
        <v>0.0</v>
      </c>
      <c r="AH25" s="182">
        <f t="shared" si="6"/>
        <v>0.0</v>
      </c>
      <c r="AI25" s="182">
        <f t="shared" si="6"/>
        <v>0.0</v>
      </c>
      <c r="AJ25" s="182">
        <f t="shared" si="6"/>
        <v>0.0</v>
      </c>
      <c r="AK25" s="182">
        <f t="shared" si="6"/>
        <v>0.0</v>
      </c>
      <c r="AL25" s="182">
        <f t="shared" si="6"/>
        <v>0.0</v>
      </c>
      <c r="AM25" s="182">
        <f t="shared" si="6"/>
        <v>0.0</v>
      </c>
      <c r="AN25" s="182">
        <f t="shared" si="6"/>
        <v>0.0</v>
      </c>
      <c r="AO25" s="182">
        <f t="shared" si="6"/>
        <v>0.0</v>
      </c>
      <c r="AP25" s="182">
        <f t="shared" si="6"/>
        <v>0.0</v>
      </c>
      <c r="AQ25" s="182">
        <f t="shared" si="6"/>
        <v>0.0</v>
      </c>
      <c r="AR25" s="182">
        <f t="shared" si="6"/>
        <v>0.0</v>
      </c>
      <c r="AS25" s="214">
        <f t="shared" si="5"/>
        <v>1980.0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182"/>
      <c r="O26" s="182"/>
      <c r="P26" s="182"/>
      <c r="Q26" s="278">
        <f>6517+1799-1265</f>
        <v>7051.0</v>
      </c>
      <c r="R26" s="182"/>
      <c r="S26" s="182"/>
      <c r="T26" s="182">
        <v>47648.0</v>
      </c>
      <c r="U26" s="182"/>
      <c r="V26" s="182"/>
      <c r="W26" s="182"/>
      <c r="X26" s="182"/>
      <c r="Y26" s="182"/>
      <c r="Z26" s="182"/>
      <c r="AA26" s="182"/>
      <c r="AB26" s="182"/>
      <c r="AC26" s="280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4">
        <f t="shared" si="5"/>
        <v>54699.0</v>
      </c>
      <c r="AT26" s="190">
        <f>(AS26/(AS24-AS25))*100%</f>
        <v>0.9932450836193277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192"/>
      <c r="O27" s="192"/>
      <c r="P27" s="192"/>
      <c r="Q27" s="192"/>
      <c r="R27" s="192"/>
      <c r="S27" s="192"/>
      <c r="T27" s="192">
        <v>372.0</v>
      </c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215">
        <f t="shared" si="5"/>
        <v>372.0</v>
      </c>
      <c r="AT27" s="193">
        <f>(AS27/(AS24-AS25))*100%</f>
        <v>0.0067549163806722235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79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157"/>
      <c r="H29" s="158"/>
      <c r="I29" s="159"/>
      <c r="J29" s="160"/>
      <c r="K29" s="161"/>
      <c r="L29" s="162"/>
      <c r="M29" s="163" t="s">
        <v>130</v>
      </c>
      <c r="N29" s="165"/>
      <c r="O29" s="165"/>
      <c r="P29" s="165"/>
      <c r="Q29" s="165"/>
      <c r="R29" s="165"/>
      <c r="S29" s="165" t="s">
        <v>232</v>
      </c>
      <c r="T29" s="165" t="s">
        <v>233</v>
      </c>
      <c r="U29" s="165" t="s">
        <v>234</v>
      </c>
      <c r="V29" s="165" t="s">
        <v>235</v>
      </c>
      <c r="W29" s="165"/>
      <c r="X29" s="165" t="s">
        <v>236</v>
      </c>
      <c r="Y29" s="165" t="s">
        <v>237</v>
      </c>
      <c r="Z29" s="165"/>
      <c r="AA29" s="165"/>
      <c r="AB29" s="165"/>
      <c r="AC29" s="165"/>
      <c r="AD29" s="165"/>
      <c r="AE29" s="165"/>
      <c r="AF29" s="165"/>
      <c r="AG29" s="165"/>
      <c r="AH29" s="281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183"/>
      <c r="O30" s="183"/>
      <c r="P30" s="183"/>
      <c r="Q30" s="183">
        <f>1265-541-100</f>
        <v>624.0</v>
      </c>
      <c r="R30" s="183">
        <f t="shared" si="7" ref="R30:V30">8000*2</f>
        <v>16000.0</v>
      </c>
      <c r="S30" s="183">
        <f>10000*2</f>
        <v>20000.0</v>
      </c>
      <c r="T30" s="183">
        <f>10000*2</f>
        <v>20000.0</v>
      </c>
      <c r="U30" s="183">
        <f t="shared" si="7"/>
        <v>16000.0</v>
      </c>
      <c r="V30" s="183">
        <f t="shared" si="7"/>
        <v>16000.0</v>
      </c>
      <c r="W30" s="183"/>
      <c r="X30" s="183">
        <f>8000*2</f>
        <v>16000.0</v>
      </c>
      <c r="Y30" s="183">
        <f>8000*2</f>
        <v>16000.0</v>
      </c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212">
        <f t="shared" si="8" ref="AS30:AS33">SUM(N30:AR30)</f>
        <v>120624.0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182">
        <f t="shared" si="9" ref="N31:AR31">N30-N32-N33</f>
        <v>0.0</v>
      </c>
      <c r="O31" s="182">
        <f t="shared" si="9"/>
        <v>0.0</v>
      </c>
      <c r="P31" s="182">
        <f t="shared" si="9"/>
        <v>0.0</v>
      </c>
      <c r="Q31" s="182">
        <f t="shared" si="9"/>
        <v>0.0</v>
      </c>
      <c r="R31" s="182">
        <f t="shared" si="9"/>
        <v>5829.0</v>
      </c>
      <c r="S31" s="182">
        <f t="shared" si="9"/>
        <v>1672.0</v>
      </c>
      <c r="T31" s="182">
        <f t="shared" si="9"/>
        <v>1494.0</v>
      </c>
      <c r="U31" s="182">
        <f t="shared" si="9"/>
        <v>-2305.0</v>
      </c>
      <c r="V31" s="182">
        <f t="shared" si="9"/>
        <v>789.0</v>
      </c>
      <c r="W31" s="182">
        <f t="shared" si="9"/>
        <v>0.0</v>
      </c>
      <c r="X31" s="182">
        <f t="shared" si="9"/>
        <v>-2051.0</v>
      </c>
      <c r="Y31" s="182">
        <f t="shared" si="9"/>
        <v>374.0</v>
      </c>
      <c r="Z31" s="182">
        <f t="shared" si="9"/>
        <v>0.0</v>
      </c>
      <c r="AA31" s="182">
        <f t="shared" si="9"/>
        <v>0.0</v>
      </c>
      <c r="AB31" s="182">
        <f t="shared" si="9"/>
        <v>0.0</v>
      </c>
      <c r="AC31" s="182">
        <f t="shared" si="9"/>
        <v>0.0</v>
      </c>
      <c r="AD31" s="182">
        <f t="shared" si="9"/>
        <v>0.0</v>
      </c>
      <c r="AE31" s="182">
        <f t="shared" si="9"/>
        <v>0.0</v>
      </c>
      <c r="AF31" s="182">
        <f t="shared" si="9"/>
        <v>0.0</v>
      </c>
      <c r="AG31" s="182">
        <f t="shared" si="9"/>
        <v>0.0</v>
      </c>
      <c r="AH31" s="182">
        <f t="shared" si="9"/>
        <v>0.0</v>
      </c>
      <c r="AI31" s="182">
        <f t="shared" si="9"/>
        <v>0.0</v>
      </c>
      <c r="AJ31" s="182">
        <f t="shared" si="9"/>
        <v>0.0</v>
      </c>
      <c r="AK31" s="182">
        <f t="shared" si="9"/>
        <v>0.0</v>
      </c>
      <c r="AL31" s="182">
        <f t="shared" si="9"/>
        <v>0.0</v>
      </c>
      <c r="AM31" s="182">
        <f t="shared" si="9"/>
        <v>0.0</v>
      </c>
      <c r="AN31" s="182">
        <f t="shared" si="9"/>
        <v>0.0</v>
      </c>
      <c r="AO31" s="182">
        <f t="shared" si="9"/>
        <v>0.0</v>
      </c>
      <c r="AP31" s="182">
        <f t="shared" si="9"/>
        <v>0.0</v>
      </c>
      <c r="AQ31" s="182">
        <f t="shared" si="9"/>
        <v>0.0</v>
      </c>
      <c r="AR31" s="182">
        <f t="shared" si="9"/>
        <v>0.0</v>
      </c>
      <c r="AS31" s="214">
        <f t="shared" si="8"/>
        <v>5802.0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182"/>
      <c r="O32" s="182"/>
      <c r="P32" s="182"/>
      <c r="Q32" s="183">
        <f>1265-541-100</f>
        <v>624.0</v>
      </c>
      <c r="R32" s="182">
        <f>1131+9030</f>
        <v>10161.0</v>
      </c>
      <c r="S32" s="182">
        <f>9060+9265</f>
        <v>18325.0</v>
      </c>
      <c r="T32" s="182">
        <f>9360+9140</f>
        <v>18500.0</v>
      </c>
      <c r="U32" s="182">
        <f>8820+9478</f>
        <v>18298.0</v>
      </c>
      <c r="V32" s="182">
        <f>7560+7645</f>
        <v>15205.0</v>
      </c>
      <c r="W32" s="182"/>
      <c r="X32" s="182">
        <f>9204+8840</f>
        <v>18044.0</v>
      </c>
      <c r="Y32" s="182">
        <f>9190+6433</f>
        <v>15623.0</v>
      </c>
      <c r="Z32" s="182"/>
      <c r="AA32" s="182"/>
      <c r="AB32" s="182"/>
      <c r="AC32" s="280"/>
      <c r="AD32" s="182"/>
      <c r="AE32" s="280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4">
        <f t="shared" si="8"/>
        <v>114780.0</v>
      </c>
      <c r="AT32" s="190">
        <f>(AS32/(AS30-AS31))*100%</f>
        <v>0.9996342164393583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192"/>
      <c r="O33" s="192"/>
      <c r="P33" s="192"/>
      <c r="Q33" s="192"/>
      <c r="R33" s="192">
        <v>10.0</v>
      </c>
      <c r="S33" s="192">
        <v>3.0</v>
      </c>
      <c r="T33" s="192">
        <f>4+2</f>
        <v>6.0</v>
      </c>
      <c r="U33" s="192">
        <f>3+4</f>
        <v>7.0</v>
      </c>
      <c r="V33" s="192">
        <f>3+3</f>
        <v>6.0</v>
      </c>
      <c r="W33" s="192"/>
      <c r="X33" s="192">
        <f>4+3</f>
        <v>7.0</v>
      </c>
      <c r="Y33" s="192">
        <f>3</f>
        <v>3.0</v>
      </c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215">
        <f t="shared" si="8"/>
        <v>42.0</v>
      </c>
      <c r="AT33" s="193">
        <f>(AS33/(AS30-AS31))*100%</f>
        <v>3.657835606416889E-4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79"/>
      <c r="AS34" s="207"/>
      <c r="AT34" s="208"/>
    </row>
    <row r="35" spans="8:8" s="150" ht="23.25" customFormat="1" customHeight="1">
      <c r="A35" s="169"/>
      <c r="B35" s="228" t="s">
        <v>226</v>
      </c>
      <c r="C35" s="153"/>
      <c r="D35" s="154">
        <f>F35+AS38-AS42+AS43</f>
        <v>0.0</v>
      </c>
      <c r="E35" s="155"/>
      <c r="F35" s="156">
        <v>0.0</v>
      </c>
      <c r="G35" s="218"/>
      <c r="H35" s="158"/>
      <c r="I35" s="159"/>
      <c r="J35" s="160"/>
      <c r="K35" s="161"/>
      <c r="L35" s="162"/>
      <c r="M35" s="163" t="s">
        <v>130</v>
      </c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183"/>
      <c r="O36" s="183"/>
      <c r="P36" s="183"/>
      <c r="Q36" s="183">
        <v>-1797.0</v>
      </c>
      <c r="R36" s="183">
        <v>10161.0</v>
      </c>
      <c r="S36" s="183">
        <v>18325.0</v>
      </c>
      <c r="T36" s="183">
        <v>18500.0</v>
      </c>
      <c r="U36" s="183">
        <v>18298.0</v>
      </c>
      <c r="V36" s="183">
        <v>15205.0</v>
      </c>
      <c r="W36" s="183"/>
      <c r="X36" s="183">
        <v>18044.0</v>
      </c>
      <c r="Y36" s="282">
        <v>18044.0</v>
      </c>
      <c r="Z36" s="183"/>
      <c r="AA36" s="183"/>
      <c r="AB36" s="251"/>
      <c r="AC36" s="251"/>
      <c r="AD36" s="251"/>
      <c r="AE36" s="251"/>
      <c r="AF36" s="251"/>
      <c r="AG36" s="183"/>
      <c r="AH36" s="183"/>
      <c r="AI36" s="251"/>
      <c r="AJ36" s="183"/>
      <c r="AK36" s="183"/>
      <c r="AL36" s="183"/>
      <c r="AM36" s="183"/>
      <c r="AN36" s="183"/>
      <c r="AO36" s="183"/>
      <c r="AP36" s="183"/>
      <c r="AQ36" s="183"/>
      <c r="AR36" s="183"/>
      <c r="AS36" s="212">
        <f t="shared" si="10" ref="AS36:AS39">SUM(N36:AR36)</f>
        <v>114780.0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182">
        <f t="shared" si="11" ref="N37:AT37">N36-N38-N39</f>
        <v>0.0</v>
      </c>
      <c r="O37" s="182">
        <f t="shared" si="11"/>
        <v>0.0</v>
      </c>
      <c r="P37" s="182">
        <f t="shared" si="11"/>
        <v>0.0</v>
      </c>
      <c r="Q37" s="182">
        <f t="shared" si="11"/>
        <v>0.0</v>
      </c>
      <c r="R37" s="182">
        <f t="shared" si="11"/>
        <v>0.0</v>
      </c>
      <c r="S37" s="182">
        <f t="shared" si="11"/>
        <v>0.0</v>
      </c>
      <c r="T37" s="182">
        <f t="shared" si="11"/>
        <v>0.0</v>
      </c>
      <c r="U37" s="182">
        <f t="shared" si="11"/>
        <v>0.0</v>
      </c>
      <c r="V37" s="182">
        <f t="shared" si="11"/>
        <v>0.0</v>
      </c>
      <c r="W37" s="182">
        <f t="shared" si="11"/>
        <v>0.0</v>
      </c>
      <c r="X37" s="182">
        <f t="shared" si="11"/>
        <v>0.0</v>
      </c>
      <c r="Y37" s="182">
        <f t="shared" si="11"/>
        <v>0.0</v>
      </c>
      <c r="Z37" s="182">
        <f t="shared" si="11"/>
        <v>0.0</v>
      </c>
      <c r="AA37" s="182">
        <f t="shared" si="11"/>
        <v>0.0</v>
      </c>
      <c r="AB37" s="182">
        <f t="shared" si="11"/>
        <v>0.0</v>
      </c>
      <c r="AC37" s="182">
        <f t="shared" si="11"/>
        <v>0.0</v>
      </c>
      <c r="AD37" s="182">
        <f t="shared" si="11"/>
        <v>0.0</v>
      </c>
      <c r="AE37" s="182">
        <f t="shared" si="11"/>
        <v>0.0</v>
      </c>
      <c r="AF37" s="182">
        <f t="shared" si="11"/>
        <v>0.0</v>
      </c>
      <c r="AG37" s="182">
        <f t="shared" si="11"/>
        <v>0.0</v>
      </c>
      <c r="AH37" s="182">
        <f t="shared" si="11"/>
        <v>0.0</v>
      </c>
      <c r="AI37" s="182">
        <f t="shared" si="11"/>
        <v>0.0</v>
      </c>
      <c r="AJ37" s="182">
        <f t="shared" si="11"/>
        <v>0.0</v>
      </c>
      <c r="AK37" s="182">
        <f t="shared" si="11"/>
        <v>0.0</v>
      </c>
      <c r="AL37" s="182">
        <f t="shared" si="11"/>
        <v>0.0</v>
      </c>
      <c r="AM37" s="182">
        <f t="shared" si="11"/>
        <v>0.0</v>
      </c>
      <c r="AN37" s="182">
        <f t="shared" si="11"/>
        <v>0.0</v>
      </c>
      <c r="AO37" s="182">
        <f t="shared" si="11"/>
        <v>0.0</v>
      </c>
      <c r="AP37" s="182">
        <f t="shared" si="11"/>
        <v>0.0</v>
      </c>
      <c r="AQ37" s="182">
        <f t="shared" si="11"/>
        <v>0.0</v>
      </c>
      <c r="AR37" s="182">
        <f t="shared" si="11"/>
        <v>0.0</v>
      </c>
      <c r="AS37" s="283">
        <f t="shared" si="11"/>
        <v>0.0</v>
      </c>
      <c r="AT37" s="283">
        <f t="shared" si="11"/>
        <v>-1.0</v>
      </c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182"/>
      <c r="O38" s="182"/>
      <c r="P38" s="182"/>
      <c r="Q38" s="182">
        <v>-1797.0</v>
      </c>
      <c r="R38" s="182">
        <v>10161.0</v>
      </c>
      <c r="S38" s="182">
        <v>18325.0</v>
      </c>
      <c r="T38" s="182">
        <v>18431.0</v>
      </c>
      <c r="U38" s="182">
        <v>18298.0</v>
      </c>
      <c r="V38" s="182">
        <v>15205.0</v>
      </c>
      <c r="W38" s="182"/>
      <c r="X38" s="182">
        <v>17422.0</v>
      </c>
      <c r="Y38" s="282">
        <v>17422.0</v>
      </c>
      <c r="Z38" s="182"/>
      <c r="AA38" s="182"/>
      <c r="AB38" s="280"/>
      <c r="AC38" s="280"/>
      <c r="AD38" s="280"/>
      <c r="AE38" s="280"/>
      <c r="AF38" s="280"/>
      <c r="AG38" s="182"/>
      <c r="AH38" s="182"/>
      <c r="AI38" s="280"/>
      <c r="AJ38" s="182"/>
      <c r="AK38" s="182"/>
      <c r="AL38" s="182"/>
      <c r="AM38" s="182"/>
      <c r="AN38" s="182"/>
      <c r="AO38" s="182"/>
      <c r="AP38" s="182"/>
      <c r="AQ38" s="182"/>
      <c r="AR38" s="182"/>
      <c r="AS38" s="184">
        <f t="shared" si="10"/>
        <v>113467.0</v>
      </c>
      <c r="AT38" s="190">
        <f>(AS38/(AS36-AS37))*100%</f>
        <v>0.988560724864959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192"/>
      <c r="O39" s="192"/>
      <c r="P39" s="192"/>
      <c r="Q39" s="192"/>
      <c r="R39" s="192">
        <v>0.0</v>
      </c>
      <c r="S39" s="192">
        <v>0.0</v>
      </c>
      <c r="T39" s="192">
        <v>69.0</v>
      </c>
      <c r="U39" s="192">
        <v>0.0</v>
      </c>
      <c r="V39" s="192"/>
      <c r="W39" s="192"/>
      <c r="X39" s="192">
        <v>622.0</v>
      </c>
      <c r="Y39" s="192">
        <v>622.0</v>
      </c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215">
        <f t="shared" si="10"/>
        <v>1313.0</v>
      </c>
      <c r="AT39" s="193">
        <f>(AS39/(AS36-AS37))*100%</f>
        <v>0.011439275135040948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79"/>
      <c r="AS40" s="207"/>
      <c r="AT40" s="208"/>
    </row>
    <row r="41" spans="8:8" s="150" ht="23.25" customFormat="1" customHeight="1">
      <c r="A41" s="169"/>
      <c r="B41" s="152" t="s">
        <v>171</v>
      </c>
      <c r="C41" s="153"/>
      <c r="D41" s="154">
        <f>F41+AS44-AS48+AS49</f>
        <v>32957.0</v>
      </c>
      <c r="E41" s="155"/>
      <c r="F41" s="156">
        <v>5807.0</v>
      </c>
      <c r="G41" s="218">
        <v>44197.0</v>
      </c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6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/>
      <c r="O42" s="183"/>
      <c r="P42" s="183"/>
      <c r="Q42" s="183"/>
      <c r="R42" s="183"/>
      <c r="S42" s="183"/>
      <c r="T42" s="183"/>
      <c r="U42" s="183"/>
      <c r="V42" s="183">
        <v>80510.0</v>
      </c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32957.0</v>
      </c>
      <c r="AK42" s="183"/>
      <c r="AL42" s="183"/>
      <c r="AM42" s="183"/>
      <c r="AN42" s="183"/>
      <c r="AO42" s="183"/>
      <c r="AP42" s="183"/>
      <c r="AQ42" s="183"/>
      <c r="AR42" s="183"/>
      <c r="AS42" s="212">
        <f t="shared" si="12" ref="AS42:AS45">SUM(N42:AR42)</f>
        <v>113467.0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182">
        <f t="shared" si="13" ref="N43:AT43">N42-N44-N45</f>
        <v>0.0</v>
      </c>
      <c r="O43" s="182">
        <f t="shared" si="13"/>
        <v>0.0</v>
      </c>
      <c r="P43" s="182">
        <f t="shared" si="13"/>
        <v>0.0</v>
      </c>
      <c r="Q43" s="182">
        <f t="shared" si="13"/>
        <v>0.0</v>
      </c>
      <c r="R43" s="182">
        <f t="shared" si="13"/>
        <v>0.0</v>
      </c>
      <c r="S43" s="182">
        <f t="shared" si="13"/>
        <v>0.0</v>
      </c>
      <c r="T43" s="182">
        <f t="shared" si="13"/>
        <v>0.0</v>
      </c>
      <c r="U43" s="182">
        <f t="shared" si="13"/>
        <v>0.0</v>
      </c>
      <c r="V43" s="182">
        <f t="shared" si="13"/>
        <v>0.0</v>
      </c>
      <c r="W43" s="182">
        <f t="shared" si="13"/>
        <v>0.0</v>
      </c>
      <c r="X43" s="182">
        <f t="shared" si="13"/>
        <v>0.0</v>
      </c>
      <c r="Y43" s="182">
        <f t="shared" si="13"/>
        <v>0.0</v>
      </c>
      <c r="Z43" s="182">
        <f t="shared" si="13"/>
        <v>0.0</v>
      </c>
      <c r="AA43" s="182">
        <f t="shared" si="13"/>
        <v>0.0</v>
      </c>
      <c r="AB43" s="182">
        <f t="shared" si="13"/>
        <v>0.0</v>
      </c>
      <c r="AC43" s="182">
        <f t="shared" si="13"/>
        <v>0.0</v>
      </c>
      <c r="AD43" s="182">
        <f t="shared" si="13"/>
        <v>0.0</v>
      </c>
      <c r="AE43" s="182">
        <f t="shared" si="13"/>
        <v>0.0</v>
      </c>
      <c r="AF43" s="182">
        <f t="shared" si="13"/>
        <v>0.0</v>
      </c>
      <c r="AG43" s="182">
        <f t="shared" si="13"/>
        <v>0.0</v>
      </c>
      <c r="AH43" s="182">
        <f t="shared" si="13"/>
        <v>0.0</v>
      </c>
      <c r="AI43" s="182">
        <f t="shared" si="13"/>
        <v>0.0</v>
      </c>
      <c r="AJ43" s="182">
        <f t="shared" si="13"/>
        <v>0.0</v>
      </c>
      <c r="AK43" s="182">
        <f t="shared" si="13"/>
        <v>0.0</v>
      </c>
      <c r="AL43" s="182">
        <f t="shared" si="13"/>
        <v>0.0</v>
      </c>
      <c r="AM43" s="182">
        <f t="shared" si="13"/>
        <v>0.0</v>
      </c>
      <c r="AN43" s="182">
        <f t="shared" si="13"/>
        <v>0.0</v>
      </c>
      <c r="AO43" s="182">
        <f t="shared" si="13"/>
        <v>0.0</v>
      </c>
      <c r="AP43" s="182">
        <f t="shared" si="13"/>
        <v>0.0</v>
      </c>
      <c r="AQ43" s="182">
        <f t="shared" si="13"/>
        <v>0.0</v>
      </c>
      <c r="AR43" s="182">
        <f t="shared" si="13"/>
        <v>0.0</v>
      </c>
      <c r="AS43" s="283">
        <f t="shared" si="13"/>
        <v>0.0</v>
      </c>
      <c r="AT43" s="283">
        <f t="shared" si="13"/>
        <v>-1.0</v>
      </c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182"/>
      <c r="O44" s="182"/>
      <c r="P44" s="182"/>
      <c r="Q44" s="182"/>
      <c r="R44" s="182"/>
      <c r="S44" s="182"/>
      <c r="T44" s="182"/>
      <c r="U44" s="182"/>
      <c r="V44" s="182">
        <v>80510.0</v>
      </c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>
        <v>32957.0</v>
      </c>
      <c r="AK44" s="182"/>
      <c r="AL44" s="182"/>
      <c r="AM44" s="182"/>
      <c r="AN44" s="182"/>
      <c r="AO44" s="182"/>
      <c r="AP44" s="182"/>
      <c r="AQ44" s="182"/>
      <c r="AR44" s="182"/>
      <c r="AS44" s="184">
        <f t="shared" si="12"/>
        <v>113467.0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215">
        <f t="shared" si="12"/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79"/>
      <c r="AS46" s="207"/>
      <c r="AT46" s="208"/>
    </row>
    <row r="47" spans="8:8" s="150" ht="23.25" customFormat="1" customHeight="1">
      <c r="A47" s="169"/>
      <c r="B47" s="228" t="s">
        <v>227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6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183"/>
      <c r="O48" s="183"/>
      <c r="P48" s="183"/>
      <c r="Q48" s="183">
        <v>5807.0</v>
      </c>
      <c r="R48" s="183"/>
      <c r="S48" s="183"/>
      <c r="T48" s="183"/>
      <c r="U48" s="183"/>
      <c r="V48" s="183"/>
      <c r="W48" s="183"/>
      <c r="X48" s="183"/>
      <c r="Y48" s="183"/>
      <c r="Z48" s="183">
        <v>80510.0</v>
      </c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 t="shared" si="14" ref="AS48:AS51">SUM(N48:AR48)</f>
        <v>86317.0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182">
        <f t="shared" si="15" ref="N49:AT49">N48-N50-N51</f>
        <v>0.0</v>
      </c>
      <c r="O49" s="182">
        <f t="shared" si="15"/>
        <v>0.0</v>
      </c>
      <c r="P49" s="182">
        <f t="shared" si="15"/>
        <v>0.0</v>
      </c>
      <c r="Q49" s="182">
        <f t="shared" si="15"/>
        <v>0.0</v>
      </c>
      <c r="R49" s="182">
        <f t="shared" si="15"/>
        <v>0.0</v>
      </c>
      <c r="S49" s="182">
        <f t="shared" si="15"/>
        <v>0.0</v>
      </c>
      <c r="T49" s="182">
        <f t="shared" si="15"/>
        <v>0.0</v>
      </c>
      <c r="U49" s="182">
        <f t="shared" si="15"/>
        <v>0.0</v>
      </c>
      <c r="V49" s="182">
        <f t="shared" si="15"/>
        <v>0.0</v>
      </c>
      <c r="W49" s="182">
        <f t="shared" si="15"/>
        <v>0.0</v>
      </c>
      <c r="X49" s="182">
        <f t="shared" si="15"/>
        <v>0.0</v>
      </c>
      <c r="Y49" s="182">
        <f t="shared" si="15"/>
        <v>0.0</v>
      </c>
      <c r="Z49" s="182">
        <f t="shared" si="15"/>
        <v>0.0</v>
      </c>
      <c r="AA49" s="182">
        <f t="shared" si="15"/>
        <v>0.0</v>
      </c>
      <c r="AB49" s="182">
        <f t="shared" si="15"/>
        <v>0.0</v>
      </c>
      <c r="AC49" s="182">
        <f t="shared" si="15"/>
        <v>0.0</v>
      </c>
      <c r="AD49" s="182">
        <f t="shared" si="15"/>
        <v>0.0</v>
      </c>
      <c r="AE49" s="182">
        <f t="shared" si="15"/>
        <v>0.0</v>
      </c>
      <c r="AF49" s="182">
        <f t="shared" si="15"/>
        <v>0.0</v>
      </c>
      <c r="AG49" s="182">
        <f t="shared" si="15"/>
        <v>0.0</v>
      </c>
      <c r="AH49" s="182">
        <f t="shared" si="15"/>
        <v>0.0</v>
      </c>
      <c r="AI49" s="182">
        <f t="shared" si="15"/>
        <v>0.0</v>
      </c>
      <c r="AJ49" s="182">
        <f t="shared" si="15"/>
        <v>0.0</v>
      </c>
      <c r="AK49" s="182">
        <f t="shared" si="15"/>
        <v>0.0</v>
      </c>
      <c r="AL49" s="182">
        <f t="shared" si="15"/>
        <v>0.0</v>
      </c>
      <c r="AM49" s="182">
        <f t="shared" si="15"/>
        <v>0.0</v>
      </c>
      <c r="AN49" s="182">
        <f t="shared" si="15"/>
        <v>0.0</v>
      </c>
      <c r="AO49" s="182">
        <f t="shared" si="15"/>
        <v>0.0</v>
      </c>
      <c r="AP49" s="182">
        <f t="shared" si="15"/>
        <v>0.0</v>
      </c>
      <c r="AQ49" s="182">
        <f t="shared" si="15"/>
        <v>0.0</v>
      </c>
      <c r="AR49" s="182">
        <f t="shared" si="15"/>
        <v>0.0</v>
      </c>
      <c r="AS49" s="283">
        <f t="shared" si="15"/>
        <v>0.0</v>
      </c>
      <c r="AT49" s="283">
        <f t="shared" si="15"/>
        <v>-1.0</v>
      </c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182"/>
      <c r="O50" s="182"/>
      <c r="P50" s="182"/>
      <c r="Q50" s="182">
        <v>5807.0</v>
      </c>
      <c r="R50" s="182"/>
      <c r="S50" s="182"/>
      <c r="T50" s="182"/>
      <c r="U50" s="182"/>
      <c r="V50" s="182"/>
      <c r="W50" s="182"/>
      <c r="X50" s="182"/>
      <c r="Y50" s="182"/>
      <c r="Z50" s="182">
        <v>80510.0</v>
      </c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4">
        <f t="shared" si="14"/>
        <v>86317.0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192"/>
      <c r="O51" s="192"/>
      <c r="P51" s="192"/>
      <c r="Q51" s="192">
        <v>0.0</v>
      </c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215">
        <f t="shared" si="14"/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79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129.0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6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183"/>
      <c r="O54" s="183"/>
      <c r="P54" s="183"/>
      <c r="Q54" s="183"/>
      <c r="R54" s="183"/>
      <c r="S54" s="183"/>
      <c r="T54" s="183"/>
      <c r="U54" s="183">
        <v>5807.0</v>
      </c>
      <c r="V54" s="183"/>
      <c r="W54" s="183"/>
      <c r="X54" s="183"/>
      <c r="Y54" s="183"/>
      <c r="Z54" s="183"/>
      <c r="AA54" s="183"/>
      <c r="AB54" s="183"/>
      <c r="AC54" s="183"/>
      <c r="AD54" s="183"/>
      <c r="AE54" s="183">
        <v>80510.0</v>
      </c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 t="shared" si="16" ref="AS54:AS57">SUM(N54:AR54)</f>
        <v>86317.0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20">
        <f t="shared" si="17" ref="N55:AT55">N54-N56-N57</f>
        <v>0.0</v>
      </c>
      <c r="O55" s="220">
        <f t="shared" si="17"/>
        <v>0.0</v>
      </c>
      <c r="P55" s="220">
        <f t="shared" si="17"/>
        <v>0.0</v>
      </c>
      <c r="Q55" s="220">
        <f t="shared" si="17"/>
        <v>0.0</v>
      </c>
      <c r="R55" s="220">
        <f t="shared" si="17"/>
        <v>0.0</v>
      </c>
      <c r="S55" s="220">
        <f t="shared" si="17"/>
        <v>0.0</v>
      </c>
      <c r="T55" s="220">
        <f t="shared" si="17"/>
        <v>0.0</v>
      </c>
      <c r="U55" s="220">
        <f t="shared" si="17"/>
        <v>0.0</v>
      </c>
      <c r="V55" s="220">
        <f t="shared" si="17"/>
        <v>0.0</v>
      </c>
      <c r="W55" s="220">
        <f t="shared" si="17"/>
        <v>0.0</v>
      </c>
      <c r="X55" s="220">
        <f t="shared" si="17"/>
        <v>0.0</v>
      </c>
      <c r="Y55" s="220">
        <f t="shared" si="17"/>
        <v>0.0</v>
      </c>
      <c r="Z55" s="220">
        <f t="shared" si="17"/>
        <v>0.0</v>
      </c>
      <c r="AA55" s="220">
        <f t="shared" si="17"/>
        <v>0.0</v>
      </c>
      <c r="AB55" s="220">
        <f t="shared" si="17"/>
        <v>0.0</v>
      </c>
      <c r="AC55" s="220">
        <f t="shared" si="17"/>
        <v>0.0</v>
      </c>
      <c r="AD55" s="220">
        <f t="shared" si="17"/>
        <v>0.0</v>
      </c>
      <c r="AE55" s="220">
        <f t="shared" si="17"/>
        <v>0.0</v>
      </c>
      <c r="AF55" s="220">
        <f t="shared" si="17"/>
        <v>0.0</v>
      </c>
      <c r="AG55" s="220">
        <f t="shared" si="17"/>
        <v>0.0</v>
      </c>
      <c r="AH55" s="220">
        <f t="shared" si="17"/>
        <v>0.0</v>
      </c>
      <c r="AI55" s="220">
        <f t="shared" si="17"/>
        <v>0.0</v>
      </c>
      <c r="AJ55" s="220">
        <f t="shared" si="17"/>
        <v>0.0</v>
      </c>
      <c r="AK55" s="220">
        <f t="shared" si="17"/>
        <v>0.0</v>
      </c>
      <c r="AL55" s="220">
        <f t="shared" si="17"/>
        <v>0.0</v>
      </c>
      <c r="AM55" s="220">
        <f t="shared" si="17"/>
        <v>0.0</v>
      </c>
      <c r="AN55" s="220">
        <f t="shared" si="17"/>
        <v>0.0</v>
      </c>
      <c r="AO55" s="220">
        <f t="shared" si="17"/>
        <v>0.0</v>
      </c>
      <c r="AP55" s="220">
        <f t="shared" si="17"/>
        <v>0.0</v>
      </c>
      <c r="AQ55" s="220">
        <f t="shared" si="17"/>
        <v>0.0</v>
      </c>
      <c r="AR55" s="220">
        <f t="shared" si="17"/>
        <v>0.0</v>
      </c>
      <c r="AS55" s="283">
        <f t="shared" si="17"/>
        <v>0.0</v>
      </c>
      <c r="AT55" s="283">
        <f t="shared" si="17"/>
        <v>-1.0000000000000004</v>
      </c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182"/>
      <c r="O56" s="182"/>
      <c r="P56" s="182"/>
      <c r="Q56" s="182"/>
      <c r="R56" s="182"/>
      <c r="S56" s="182"/>
      <c r="T56" s="182"/>
      <c r="U56" s="183">
        <v>5783.0</v>
      </c>
      <c r="V56" s="182"/>
      <c r="W56" s="182"/>
      <c r="X56" s="182"/>
      <c r="Y56" s="182"/>
      <c r="Z56" s="182"/>
      <c r="AA56" s="182"/>
      <c r="AB56" s="182"/>
      <c r="AC56" s="182"/>
      <c r="AD56" s="182"/>
      <c r="AE56" s="182">
        <v>80129.0</v>
      </c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4">
        <f t="shared" si="16"/>
        <v>85912.0</v>
      </c>
      <c r="AT56" s="190">
        <f>(AS56/(AS54-AS55))*100%</f>
        <v>0.9953079926318107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192"/>
      <c r="O57" s="192"/>
      <c r="P57" s="192"/>
      <c r="Q57" s="192"/>
      <c r="R57" s="192"/>
      <c r="S57" s="192"/>
      <c r="T57" s="192"/>
      <c r="U57" s="192">
        <v>24.0</v>
      </c>
      <c r="V57" s="192"/>
      <c r="W57" s="192"/>
      <c r="X57" s="192"/>
      <c r="Y57" s="192"/>
      <c r="Z57" s="192"/>
      <c r="AA57" s="192"/>
      <c r="AB57" s="192"/>
      <c r="AC57" s="192"/>
      <c r="AD57" s="192"/>
      <c r="AE57" s="192">
        <v>381.0</v>
      </c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215">
        <f t="shared" si="16"/>
        <v>405.0</v>
      </c>
      <c r="AT57" s="193">
        <f>(AS57/(AS54-AS55))*100%</f>
        <v>0.004692007368189349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20208.0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51"/>
      <c r="O58" s="251"/>
      <c r="P58" s="251"/>
      <c r="Q58" s="251"/>
      <c r="R58" s="251"/>
      <c r="S58" s="251"/>
      <c r="T58" s="251"/>
      <c r="U58" s="284"/>
      <c r="V58" s="251" t="s">
        <v>238</v>
      </c>
      <c r="W58" s="251"/>
      <c r="X58" s="251"/>
      <c r="Y58" s="251"/>
      <c r="Z58" s="251"/>
      <c r="AA58" s="251"/>
      <c r="AB58" s="251"/>
      <c r="AC58" s="251"/>
      <c r="AD58" s="251"/>
      <c r="AE58" s="251"/>
      <c r="AF58" s="251" t="s">
        <v>239</v>
      </c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61"/>
      <c r="O59" s="261"/>
      <c r="P59" s="261"/>
      <c r="Q59" s="261"/>
      <c r="R59" s="261"/>
      <c r="S59" s="261"/>
      <c r="T59" s="261"/>
      <c r="U59" s="261"/>
      <c r="V59" s="261">
        <f>3081+2702</f>
        <v>5783.0</v>
      </c>
      <c r="W59" s="261"/>
      <c r="X59" s="261"/>
      <c r="Y59" s="261"/>
      <c r="Z59" s="261"/>
      <c r="AA59" s="261"/>
      <c r="AB59" s="261"/>
      <c r="AC59" s="261"/>
      <c r="AD59" s="261"/>
      <c r="AE59" s="261"/>
      <c r="AF59" s="261">
        <v>80000.0</v>
      </c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2"/>
      <c r="AS59" s="263">
        <f>SUM(N59:AR59)</f>
        <v>85783.0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1"/>
  <sheetViews>
    <sheetView workbookViewId="0" zoomScale="40">
      <pane xSplit="13" ySplit="4" topLeftCell="R25" state="frozen" activePane="bottomRight"/>
      <selection pane="bottomRight" activeCell="N33" sqref="N33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8515625" style="116"/>
    <col min="5" max="5" customWidth="1" width="13.0" style="116"/>
    <col min="6" max="6" customWidth="1" width="18.425781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15" customWidth="1" width="11.0" style="116"/>
    <col min="16" max="16" customWidth="1" width="13.425781" style="116"/>
    <col min="17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515641-07-12 
SUP11C, T10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240</v>
      </c>
      <c r="B5" s="152" t="s">
        <v>129</v>
      </c>
      <c r="C5" s="153"/>
      <c r="D5" s="154">
        <f>F5+AS8-AS12+AS13</f>
        <v>-13800.0</v>
      </c>
      <c r="E5" s="155"/>
      <c r="F5" s="156">
        <v>0.0</v>
      </c>
      <c r="G5" s="218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5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78"/>
      <c r="O6" s="278"/>
      <c r="P6" s="278"/>
      <c r="Q6" s="278"/>
      <c r="R6" s="182"/>
      <c r="S6" s="182"/>
      <c r="T6" s="182"/>
      <c r="U6" s="182"/>
      <c r="V6" s="182"/>
      <c r="W6" s="182"/>
      <c r="X6" s="182"/>
      <c r="Y6" s="182"/>
      <c r="Z6" s="220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182">
        <f t="shared" si="0" ref="N7:AR7">N6-N8-N9</f>
        <v>0.0</v>
      </c>
      <c r="O7" s="182">
        <f t="shared" si="0"/>
        <v>0.0</v>
      </c>
      <c r="P7" s="182">
        <f t="shared" si="0"/>
        <v>0.0</v>
      </c>
      <c r="Q7" s="182">
        <f t="shared" si="0"/>
        <v>0.0</v>
      </c>
      <c r="R7" s="182">
        <f t="shared" si="0"/>
        <v>0.0</v>
      </c>
      <c r="S7" s="182">
        <f t="shared" si="0"/>
        <v>0.0</v>
      </c>
      <c r="T7" s="182">
        <f t="shared" si="0"/>
        <v>0.0</v>
      </c>
      <c r="U7" s="182">
        <f t="shared" si="0"/>
        <v>0.0</v>
      </c>
      <c r="V7" s="182">
        <f t="shared" si="0"/>
        <v>0.0</v>
      </c>
      <c r="W7" s="182">
        <f t="shared" si="0"/>
        <v>0.0</v>
      </c>
      <c r="X7" s="182">
        <f t="shared" si="0"/>
        <v>0.0</v>
      </c>
      <c r="Y7" s="182">
        <f t="shared" si="0"/>
        <v>0.0</v>
      </c>
      <c r="Z7" s="182">
        <f t="shared" si="0"/>
        <v>0.0</v>
      </c>
      <c r="AA7" s="182">
        <f t="shared" si="0"/>
        <v>0.0</v>
      </c>
      <c r="AB7" s="182">
        <f t="shared" si="0"/>
        <v>0.0</v>
      </c>
      <c r="AC7" s="182">
        <f t="shared" si="0"/>
        <v>0.0</v>
      </c>
      <c r="AD7" s="182">
        <f t="shared" si="0"/>
        <v>0.0</v>
      </c>
      <c r="AE7" s="182">
        <f t="shared" si="0"/>
        <v>0.0</v>
      </c>
      <c r="AF7" s="182">
        <f t="shared" si="0"/>
        <v>0.0</v>
      </c>
      <c r="AG7" s="182">
        <f t="shared" si="0"/>
        <v>0.0</v>
      </c>
      <c r="AH7" s="182">
        <f t="shared" si="0"/>
        <v>0.0</v>
      </c>
      <c r="AI7" s="182">
        <f t="shared" si="0"/>
        <v>0.0</v>
      </c>
      <c r="AJ7" s="182">
        <f t="shared" si="0"/>
        <v>0.0</v>
      </c>
      <c r="AK7" s="182">
        <f t="shared" si="0"/>
        <v>0.0</v>
      </c>
      <c r="AL7" s="182">
        <f t="shared" si="0"/>
        <v>0.0</v>
      </c>
      <c r="AM7" s="182">
        <f t="shared" si="0"/>
        <v>0.0</v>
      </c>
      <c r="AN7" s="182">
        <f t="shared" si="0"/>
        <v>0.0</v>
      </c>
      <c r="AO7" s="182">
        <f t="shared" si="0"/>
        <v>0.0</v>
      </c>
      <c r="AP7" s="182">
        <f t="shared" si="0"/>
        <v>0.0</v>
      </c>
      <c r="AQ7" s="182">
        <f t="shared" si="0"/>
        <v>0.0</v>
      </c>
      <c r="AR7" s="182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9">
        <f t="shared" si="1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84">
        <f t="shared" si="1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79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0.0</v>
      </c>
      <c r="E11" s="155"/>
      <c r="F11" s="156">
        <v>0.0</v>
      </c>
      <c r="G11" s="218"/>
      <c r="H11" s="158"/>
      <c r="I11" s="159"/>
      <c r="J11" s="160"/>
      <c r="K11" s="161"/>
      <c r="L11" s="162"/>
      <c r="M11" s="163" t="s">
        <v>130</v>
      </c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183">
        <f>6088+677+7035</f>
        <v>13800.0</v>
      </c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12">
        <f t="shared" si="1"/>
        <v>13800.0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182">
        <f>N12-N14-N15</f>
        <v>0.0</v>
      </c>
      <c r="O13" s="182">
        <f t="shared" si="2" ref="N13:AR13">O12-O14-O15</f>
        <v>0.0</v>
      </c>
      <c r="P13" s="182">
        <f t="shared" si="2"/>
        <v>0.0</v>
      </c>
      <c r="Q13" s="182">
        <f t="shared" si="2"/>
        <v>0.0</v>
      </c>
      <c r="R13" s="182">
        <f t="shared" si="2"/>
        <v>0.0</v>
      </c>
      <c r="S13" s="182">
        <f t="shared" si="2"/>
        <v>0.0</v>
      </c>
      <c r="T13" s="182">
        <f t="shared" si="2"/>
        <v>0.0</v>
      </c>
      <c r="U13" s="182">
        <f t="shared" si="2"/>
        <v>0.0</v>
      </c>
      <c r="V13" s="182">
        <f t="shared" si="2"/>
        <v>0.0</v>
      </c>
      <c r="W13" s="182">
        <f t="shared" si="2"/>
        <v>0.0</v>
      </c>
      <c r="X13" s="182">
        <f t="shared" si="2"/>
        <v>0.0</v>
      </c>
      <c r="Y13" s="182">
        <f t="shared" si="2"/>
        <v>0.0</v>
      </c>
      <c r="Z13" s="182">
        <f t="shared" si="2"/>
        <v>0.0</v>
      </c>
      <c r="AA13" s="182">
        <f t="shared" si="2"/>
        <v>0.0</v>
      </c>
      <c r="AB13" s="182">
        <f t="shared" si="2"/>
        <v>0.0</v>
      </c>
      <c r="AC13" s="182">
        <f t="shared" si="2"/>
        <v>0.0</v>
      </c>
      <c r="AD13" s="182">
        <f t="shared" si="2"/>
        <v>0.0</v>
      </c>
      <c r="AE13" s="182">
        <f t="shared" si="2"/>
        <v>0.0</v>
      </c>
      <c r="AF13" s="182">
        <f t="shared" si="2"/>
        <v>0.0</v>
      </c>
      <c r="AG13" s="182">
        <f t="shared" si="2"/>
        <v>0.0</v>
      </c>
      <c r="AH13" s="182">
        <f t="shared" si="2"/>
        <v>0.0</v>
      </c>
      <c r="AI13" s="182">
        <f t="shared" si="2"/>
        <v>0.0</v>
      </c>
      <c r="AJ13" s="182">
        <f t="shared" si="2"/>
        <v>0.0</v>
      </c>
      <c r="AK13" s="182">
        <f t="shared" si="2"/>
        <v>0.0</v>
      </c>
      <c r="AL13" s="182">
        <f t="shared" si="2"/>
        <v>0.0</v>
      </c>
      <c r="AM13" s="182">
        <f t="shared" si="2"/>
        <v>0.0</v>
      </c>
      <c r="AN13" s="182">
        <f t="shared" si="2"/>
        <v>0.0</v>
      </c>
      <c r="AO13" s="182">
        <f t="shared" si="2"/>
        <v>0.0</v>
      </c>
      <c r="AP13" s="182">
        <f t="shared" si="2"/>
        <v>0.0</v>
      </c>
      <c r="AQ13" s="182">
        <f t="shared" si="2"/>
        <v>0.0</v>
      </c>
      <c r="AR13" s="182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183">
        <f>6088+677+7035</f>
        <v>13800.0</v>
      </c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4">
        <f t="shared" si="1"/>
        <v>13800.0</v>
      </c>
      <c r="AT14" s="190">
        <f>(AS14/(AS12-AS13))*100%</f>
        <v>1.0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215">
        <f t="shared" si="1"/>
        <v>0.0</v>
      </c>
      <c r="AT15" s="193">
        <f>(AS15/(AS12-AS13))*100%</f>
        <v>0.0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79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6128.0</v>
      </c>
      <c r="G17" s="218">
        <v>44197.0</v>
      </c>
      <c r="H17" s="158"/>
      <c r="I17" s="159"/>
      <c r="J17" s="160"/>
      <c r="K17" s="161"/>
      <c r="L17" s="162"/>
      <c r="M17" s="163" t="s">
        <v>130</v>
      </c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3">
        <f>6088+677+7035</f>
        <v>13800.0</v>
      </c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212">
        <f>SUM(N18:AR18)</f>
        <v>13800.0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2">
        <f t="shared" si="3" ref="N19:AR19">N18-N20-N21</f>
        <v>0.0</v>
      </c>
      <c r="O19" s="182">
        <f t="shared" si="3"/>
        <v>0.0</v>
      </c>
      <c r="P19" s="182">
        <f t="shared" si="3"/>
        <v>0.0</v>
      </c>
      <c r="Q19" s="182">
        <f t="shared" si="3"/>
        <v>0.0</v>
      </c>
      <c r="R19" s="182">
        <f t="shared" si="3"/>
        <v>0.0</v>
      </c>
      <c r="S19" s="182">
        <f t="shared" si="3"/>
        <v>0.0</v>
      </c>
      <c r="T19" s="182">
        <f t="shared" si="3"/>
        <v>0.0</v>
      </c>
      <c r="U19" s="182">
        <f t="shared" si="3"/>
        <v>0.0</v>
      </c>
      <c r="V19" s="182">
        <f t="shared" si="3"/>
        <v>0.0</v>
      </c>
      <c r="W19" s="182">
        <f t="shared" si="3"/>
        <v>0.0</v>
      </c>
      <c r="X19" s="182">
        <f t="shared" si="3"/>
        <v>0.0</v>
      </c>
      <c r="Y19" s="182">
        <f t="shared" si="3"/>
        <v>0.0</v>
      </c>
      <c r="Z19" s="182">
        <f t="shared" si="3"/>
        <v>0.0</v>
      </c>
      <c r="AA19" s="182">
        <f t="shared" si="3"/>
        <v>0.0</v>
      </c>
      <c r="AB19" s="182">
        <f t="shared" si="3"/>
        <v>0.0</v>
      </c>
      <c r="AC19" s="182">
        <f t="shared" si="3"/>
        <v>0.0</v>
      </c>
      <c r="AD19" s="182">
        <f t="shared" si="3"/>
        <v>0.0</v>
      </c>
      <c r="AE19" s="182">
        <f t="shared" si="3"/>
        <v>0.0</v>
      </c>
      <c r="AF19" s="182">
        <f t="shared" si="3"/>
        <v>0.0</v>
      </c>
      <c r="AG19" s="182">
        <f t="shared" si="3"/>
        <v>0.0</v>
      </c>
      <c r="AH19" s="182">
        <f t="shared" si="3"/>
        <v>0.0</v>
      </c>
      <c r="AI19" s="182">
        <f t="shared" si="3"/>
        <v>0.0</v>
      </c>
      <c r="AJ19" s="182">
        <f t="shared" si="3"/>
        <v>0.0</v>
      </c>
      <c r="AK19" s="182">
        <f t="shared" si="3"/>
        <v>0.0</v>
      </c>
      <c r="AL19" s="182">
        <f t="shared" si="3"/>
        <v>0.0</v>
      </c>
      <c r="AM19" s="182">
        <f t="shared" si="3"/>
        <v>0.0</v>
      </c>
      <c r="AN19" s="182">
        <f t="shared" si="3"/>
        <v>0.0</v>
      </c>
      <c r="AO19" s="182">
        <f t="shared" si="3"/>
        <v>0.0</v>
      </c>
      <c r="AP19" s="182">
        <f t="shared" si="3"/>
        <v>0.0</v>
      </c>
      <c r="AQ19" s="182">
        <f t="shared" si="3"/>
        <v>0.0</v>
      </c>
      <c r="AR19" s="182">
        <f t="shared" si="3"/>
        <v>0.0</v>
      </c>
      <c r="AS19" s="214">
        <f>SUM(N19:AR19)</f>
        <v>0.0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3">
        <f>6088+677+7035</f>
        <v>13800.0</v>
      </c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4">
        <f>SUM(N20:AR20)</f>
        <v>13800.0</v>
      </c>
      <c r="AT20" s="190">
        <f>(AS20/(AS18-AS19))*100%</f>
        <v>1.0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215">
        <f>SUM(N21:AR21)</f>
        <v>0.0</v>
      </c>
      <c r="AT21" s="193">
        <f>(AS21/(AS18-AS19))*100%</f>
        <v>0.0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79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29259.0</v>
      </c>
      <c r="E23" s="155"/>
      <c r="F23" s="156">
        <v>205798.0</v>
      </c>
      <c r="G23" s="218">
        <v>44197.0</v>
      </c>
      <c r="H23" s="158"/>
      <c r="I23" s="159"/>
      <c r="J23" s="160"/>
      <c r="K23" s="161"/>
      <c r="L23" s="162"/>
      <c r="M23" s="163" t="s">
        <v>130</v>
      </c>
      <c r="N23" s="285" t="s">
        <v>159</v>
      </c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251">
        <f>193+346+9072+116+2489+677+7035</f>
        <v>19928.0</v>
      </c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12">
        <f t="shared" si="4" ref="AS24:AS27">SUM(N24:AR24)</f>
        <v>19928.0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278">
        <f>N24-N26-N27</f>
        <v>0.0</v>
      </c>
      <c r="O25" s="182">
        <f t="shared" si="5" ref="N25:AR25">O24-O26-O27</f>
        <v>0.0</v>
      </c>
      <c r="P25" s="182">
        <f t="shared" si="5"/>
        <v>0.0</v>
      </c>
      <c r="Q25" s="182">
        <f t="shared" si="5"/>
        <v>0.0</v>
      </c>
      <c r="R25" s="182">
        <f t="shared" si="5"/>
        <v>0.0</v>
      </c>
      <c r="S25" s="182">
        <f t="shared" si="5"/>
        <v>0.0</v>
      </c>
      <c r="T25" s="182">
        <f t="shared" si="5"/>
        <v>0.0</v>
      </c>
      <c r="U25" s="182">
        <f t="shared" si="5"/>
        <v>0.0</v>
      </c>
      <c r="V25" s="182">
        <f t="shared" si="5"/>
        <v>0.0</v>
      </c>
      <c r="W25" s="182">
        <f t="shared" si="5"/>
        <v>0.0</v>
      </c>
      <c r="X25" s="182">
        <f t="shared" si="5"/>
        <v>0.0</v>
      </c>
      <c r="Y25" s="182">
        <f t="shared" si="5"/>
        <v>0.0</v>
      </c>
      <c r="Z25" s="182">
        <f t="shared" si="5"/>
        <v>0.0</v>
      </c>
      <c r="AA25" s="182">
        <f t="shared" si="5"/>
        <v>0.0</v>
      </c>
      <c r="AB25" s="182">
        <f t="shared" si="5"/>
        <v>0.0</v>
      </c>
      <c r="AC25" s="182">
        <f t="shared" si="5"/>
        <v>0.0</v>
      </c>
      <c r="AD25" s="182">
        <f t="shared" si="5"/>
        <v>0.0</v>
      </c>
      <c r="AE25" s="182">
        <f t="shared" si="5"/>
        <v>0.0</v>
      </c>
      <c r="AF25" s="182">
        <f t="shared" si="5"/>
        <v>0.0</v>
      </c>
      <c r="AG25" s="182">
        <f t="shared" si="5"/>
        <v>0.0</v>
      </c>
      <c r="AH25" s="182">
        <f t="shared" si="5"/>
        <v>0.0</v>
      </c>
      <c r="AI25" s="182">
        <f t="shared" si="5"/>
        <v>0.0</v>
      </c>
      <c r="AJ25" s="182">
        <f t="shared" si="5"/>
        <v>0.0</v>
      </c>
      <c r="AK25" s="182">
        <f t="shared" si="5"/>
        <v>0.0</v>
      </c>
      <c r="AL25" s="182">
        <f t="shared" si="5"/>
        <v>0.0</v>
      </c>
      <c r="AM25" s="182">
        <f t="shared" si="5"/>
        <v>0.0</v>
      </c>
      <c r="AN25" s="182">
        <f t="shared" si="5"/>
        <v>0.0</v>
      </c>
      <c r="AO25" s="182">
        <f t="shared" si="5"/>
        <v>0.0</v>
      </c>
      <c r="AP25" s="182">
        <f t="shared" si="5"/>
        <v>0.0</v>
      </c>
      <c r="AQ25" s="182">
        <f t="shared" si="5"/>
        <v>0.0</v>
      </c>
      <c r="AR25" s="182">
        <f t="shared" si="5"/>
        <v>0.0</v>
      </c>
      <c r="AS25" s="214">
        <f t="shared" si="4"/>
        <v>0.0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251">
        <f>193+346+9072+116+2489+677+7035</f>
        <v>19928.0</v>
      </c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4">
        <f t="shared" si="4"/>
        <v>19928.0</v>
      </c>
      <c r="AT26" s="190">
        <f>(AS26/(AS24-AS25))*100%</f>
        <v>1.0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215">
        <f t="shared" si="4"/>
        <v>0.0</v>
      </c>
      <c r="AT27" s="193">
        <f>(AS27/(AS24-AS25))*100%</f>
        <v>0.0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79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218"/>
      <c r="H29" s="158"/>
      <c r="I29" s="159"/>
      <c r="J29" s="160"/>
      <c r="K29" s="161"/>
      <c r="L29" s="162"/>
      <c r="M29" s="163" t="s">
        <v>130</v>
      </c>
      <c r="N29" s="285" t="s">
        <v>159</v>
      </c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 t="s">
        <v>241</v>
      </c>
      <c r="AD29" s="165"/>
      <c r="AE29" s="165" t="s">
        <v>242</v>
      </c>
      <c r="AF29" s="165" t="s">
        <v>243</v>
      </c>
      <c r="AG29" s="165" t="s">
        <v>244</v>
      </c>
      <c r="AH29" s="165" t="s">
        <v>245</v>
      </c>
      <c r="AI29" s="165" t="s">
        <v>246</v>
      </c>
      <c r="AJ29" s="165" t="s">
        <v>247</v>
      </c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251">
        <f>34135-193+346+9072+116+677+3</f>
        <v>44156.0</v>
      </c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>
        <f t="shared" si="6" ref="AC30:AH30">5000*4</f>
        <v>20000.0</v>
      </c>
      <c r="AD30" s="183"/>
      <c r="AE30" s="183">
        <f t="shared" si="6"/>
        <v>20000.0</v>
      </c>
      <c r="AF30" s="183">
        <f t="shared" si="6"/>
        <v>20000.0</v>
      </c>
      <c r="AG30" s="183">
        <f t="shared" si="6"/>
        <v>20000.0</v>
      </c>
      <c r="AH30" s="183">
        <f t="shared" si="7" ref="AH30:AJ30">5000*6</f>
        <v>30000.0</v>
      </c>
      <c r="AI30" s="183">
        <f t="shared" si="7"/>
        <v>30000.0</v>
      </c>
      <c r="AJ30" s="183">
        <f t="shared" si="7"/>
        <v>30000.0</v>
      </c>
      <c r="AK30" s="183"/>
      <c r="AL30" s="183"/>
      <c r="AM30" s="183"/>
      <c r="AN30" s="183"/>
      <c r="AO30" s="183"/>
      <c r="AP30" s="183"/>
      <c r="AQ30" s="183"/>
      <c r="AR30" s="183"/>
      <c r="AS30" s="212">
        <f t="shared" si="8" ref="AS30:AS33">SUM(N30:AR30)</f>
        <v>214156.0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278">
        <f>N30-N32-N33</f>
        <v>0.0</v>
      </c>
      <c r="O31" s="182">
        <f t="shared" si="9" ref="N31:AR31">O30-O32-O33</f>
        <v>0.0</v>
      </c>
      <c r="P31" s="182">
        <f t="shared" si="9"/>
        <v>0.0</v>
      </c>
      <c r="Q31" s="182">
        <f t="shared" si="9"/>
        <v>0.0</v>
      </c>
      <c r="R31" s="182">
        <f t="shared" si="9"/>
        <v>0.0</v>
      </c>
      <c r="S31" s="182">
        <f t="shared" si="9"/>
        <v>0.0</v>
      </c>
      <c r="T31" s="182">
        <f t="shared" si="9"/>
        <v>0.0</v>
      </c>
      <c r="U31" s="182">
        <f t="shared" si="9"/>
        <v>0.0</v>
      </c>
      <c r="V31" s="182">
        <f t="shared" si="9"/>
        <v>0.0</v>
      </c>
      <c r="W31" s="182">
        <f t="shared" si="9"/>
        <v>0.0</v>
      </c>
      <c r="X31" s="182">
        <f t="shared" si="9"/>
        <v>0.0</v>
      </c>
      <c r="Y31" s="182">
        <f t="shared" si="9"/>
        <v>0.0</v>
      </c>
      <c r="Z31" s="182">
        <f t="shared" si="9"/>
        <v>0.0</v>
      </c>
      <c r="AA31" s="182">
        <f t="shared" si="9"/>
        <v>0.0</v>
      </c>
      <c r="AB31" s="182">
        <f t="shared" si="9"/>
        <v>0.0</v>
      </c>
      <c r="AC31" s="182">
        <f t="shared" si="9"/>
        <v>9276.0</v>
      </c>
      <c r="AD31" s="182">
        <f t="shared" si="9"/>
        <v>0.0</v>
      </c>
      <c r="AE31" s="182">
        <f t="shared" si="9"/>
        <v>-779.0</v>
      </c>
      <c r="AF31" s="182">
        <f t="shared" si="9"/>
        <v>-5529.0</v>
      </c>
      <c r="AG31" s="182">
        <f t="shared" si="9"/>
        <v>1687.0</v>
      </c>
      <c r="AH31" s="182">
        <f t="shared" si="9"/>
        <v>3237.0</v>
      </c>
      <c r="AI31" s="182">
        <f t="shared" si="9"/>
        <v>958.0</v>
      </c>
      <c r="AJ31" s="182">
        <f t="shared" si="9"/>
        <v>8839.0</v>
      </c>
      <c r="AK31" s="182">
        <f t="shared" si="9"/>
        <v>0.0</v>
      </c>
      <c r="AL31" s="182">
        <f t="shared" si="9"/>
        <v>0.0</v>
      </c>
      <c r="AM31" s="182">
        <f t="shared" si="9"/>
        <v>0.0</v>
      </c>
      <c r="AN31" s="182">
        <f t="shared" si="9"/>
        <v>0.0</v>
      </c>
      <c r="AO31" s="182">
        <f t="shared" si="9"/>
        <v>0.0</v>
      </c>
      <c r="AP31" s="182">
        <f t="shared" si="9"/>
        <v>0.0</v>
      </c>
      <c r="AQ31" s="182">
        <f t="shared" si="9"/>
        <v>0.0</v>
      </c>
      <c r="AR31" s="182">
        <f t="shared" si="9"/>
        <v>0.0</v>
      </c>
      <c r="AS31" s="214">
        <f t="shared" si="8"/>
        <v>17689.0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251">
        <f>34135-193+346+9072+116+677+3</f>
        <v>44156.0</v>
      </c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>
        <f>1305+618+2188+3495+3095</f>
        <v>10701.0</v>
      </c>
      <c r="AD32" s="182"/>
      <c r="AE32" s="182">
        <f>4220+196+3869+3259+4605+4608</f>
        <v>20757.0</v>
      </c>
      <c r="AF32" s="182">
        <f>4767+4967+5205+4818+1017+4735</f>
        <v>25509.0</v>
      </c>
      <c r="AG32" s="182">
        <f>4433+4325+4873+4669</f>
        <v>18300.0</v>
      </c>
      <c r="AH32" s="182">
        <f>4536+4015+3797+4571+5046+4783</f>
        <v>26748.0</v>
      </c>
      <c r="AI32" s="182">
        <f>4753+4350+4676+5093+5295+4852</f>
        <v>29019.0</v>
      </c>
      <c r="AJ32" s="182">
        <f>3965+3870+3733+4125+2595+2859</f>
        <v>21147.0</v>
      </c>
      <c r="AK32" s="182"/>
      <c r="AL32" s="182"/>
      <c r="AM32" s="182"/>
      <c r="AN32" s="182"/>
      <c r="AO32" s="182"/>
      <c r="AP32" s="182"/>
      <c r="AQ32" s="182"/>
      <c r="AR32" s="182"/>
      <c r="AS32" s="184">
        <f t="shared" si="8"/>
        <v>196337.0</v>
      </c>
      <c r="AT32" s="190">
        <f>(AS32/(AS30-AS31))*100%</f>
        <v>0.9993383112685591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18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>
        <f>11+4+4+4</f>
        <v>23.0</v>
      </c>
      <c r="AD33" s="192"/>
      <c r="AE33" s="192">
        <f>11+11</f>
        <v>22.0</v>
      </c>
      <c r="AF33" s="192">
        <f>10+10</f>
        <v>20.0</v>
      </c>
      <c r="AG33" s="192">
        <f>6+7</f>
        <v>13.0</v>
      </c>
      <c r="AH33" s="192">
        <f>11+4</f>
        <v>15.0</v>
      </c>
      <c r="AI33" s="192">
        <f>11+8+4</f>
        <v>23.0</v>
      </c>
      <c r="AJ33" s="192">
        <f>7+7</f>
        <v>14.0</v>
      </c>
      <c r="AK33" s="192"/>
      <c r="AL33" s="192"/>
      <c r="AM33" s="192"/>
      <c r="AN33" s="192"/>
      <c r="AO33" s="192"/>
      <c r="AP33" s="192"/>
      <c r="AQ33" s="192"/>
      <c r="AR33" s="192"/>
      <c r="AS33" s="215">
        <f t="shared" si="8"/>
        <v>130.0</v>
      </c>
      <c r="AT33" s="193">
        <f>(AS33/(AS30-AS31))*100%</f>
        <v>6.616887314409035E-4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79"/>
      <c r="AS34" s="207"/>
      <c r="AT34" s="208"/>
    </row>
    <row r="35" spans="8:8" s="150" ht="23.25" customFormat="1" customHeight="1">
      <c r="A35" s="169"/>
      <c r="B35" s="228" t="s">
        <v>226</v>
      </c>
      <c r="C35" s="153"/>
      <c r="D35" s="154">
        <f>F35+AS38-AS42+AS43</f>
        <v>0.0</v>
      </c>
      <c r="E35" s="155"/>
      <c r="F35" s="156">
        <v>0.0</v>
      </c>
      <c r="G35" s="218"/>
      <c r="H35" s="158"/>
      <c r="I35" s="159"/>
      <c r="J35" s="160"/>
      <c r="K35" s="161"/>
      <c r="L35" s="162"/>
      <c r="M35" s="163" t="s">
        <v>130</v>
      </c>
      <c r="N35" s="285" t="s">
        <v>159</v>
      </c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251">
        <f>2870+31265</f>
        <v>34135.0</v>
      </c>
      <c r="O36" s="183"/>
      <c r="P36" s="220"/>
      <c r="Q36" s="220"/>
      <c r="R36" s="183"/>
      <c r="S36" s="183"/>
      <c r="T36" s="220"/>
      <c r="U36" s="220"/>
      <c r="V36" s="183"/>
      <c r="W36" s="220"/>
      <c r="X36" s="183"/>
      <c r="Y36" s="220"/>
      <c r="Z36" s="220"/>
      <c r="AA36" s="220"/>
      <c r="AB36" s="220"/>
      <c r="AC36" s="220">
        <v>10889.0</v>
      </c>
      <c r="AD36" s="220"/>
      <c r="AE36" s="220">
        <v>20376.0</v>
      </c>
      <c r="AF36" s="220">
        <v>25855.0</v>
      </c>
      <c r="AG36" s="220">
        <v>27488.0</v>
      </c>
      <c r="AH36" s="220">
        <v>27425.0</v>
      </c>
      <c r="AI36" s="220">
        <f>13779+15240</f>
        <v>29019.0</v>
      </c>
      <c r="AJ36" s="220">
        <v>21150.0</v>
      </c>
      <c r="AK36" s="220"/>
      <c r="AL36" s="220"/>
      <c r="AM36" s="220"/>
      <c r="AN36" s="220"/>
      <c r="AO36" s="220"/>
      <c r="AP36" s="220"/>
      <c r="AQ36" s="220"/>
      <c r="AR36" s="220"/>
      <c r="AS36" s="212">
        <f t="shared" si="10" ref="AS36:AS39">SUM(N36:AR36)</f>
        <v>196337.0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278">
        <f>N36-N38-N39</f>
        <v>0.0</v>
      </c>
      <c r="O37" s="182">
        <f t="shared" si="11" ref="N37:AR37">O36-O38-O39</f>
        <v>0.0</v>
      </c>
      <c r="P37" s="182">
        <f t="shared" si="11"/>
        <v>0.0</v>
      </c>
      <c r="Q37" s="182">
        <f t="shared" si="11"/>
        <v>0.0</v>
      </c>
      <c r="R37" s="182">
        <f t="shared" si="11"/>
        <v>0.0</v>
      </c>
      <c r="S37" s="182">
        <f t="shared" si="11"/>
        <v>0.0</v>
      </c>
      <c r="T37" s="182">
        <f t="shared" si="11"/>
        <v>0.0</v>
      </c>
      <c r="U37" s="182">
        <f t="shared" si="11"/>
        <v>0.0</v>
      </c>
      <c r="V37" s="182">
        <f t="shared" si="11"/>
        <v>0.0</v>
      </c>
      <c r="W37" s="182">
        <f t="shared" si="11"/>
        <v>0.0</v>
      </c>
      <c r="X37" s="182">
        <f t="shared" si="11"/>
        <v>0.0</v>
      </c>
      <c r="Y37" s="182">
        <f t="shared" si="11"/>
        <v>0.0</v>
      </c>
      <c r="Z37" s="182">
        <f t="shared" si="11"/>
        <v>0.0</v>
      </c>
      <c r="AA37" s="182">
        <f t="shared" si="11"/>
        <v>0.0</v>
      </c>
      <c r="AB37" s="182">
        <f t="shared" si="11"/>
        <v>0.0</v>
      </c>
      <c r="AC37" s="182">
        <f t="shared" si="11"/>
        <v>0.0</v>
      </c>
      <c r="AD37" s="182">
        <f t="shared" si="11"/>
        <v>0.0</v>
      </c>
      <c r="AE37" s="182">
        <f t="shared" si="11"/>
        <v>0.0</v>
      </c>
      <c r="AF37" s="182">
        <f t="shared" si="11"/>
        <v>0.0</v>
      </c>
      <c r="AG37" s="182">
        <f t="shared" si="11"/>
        <v>0.0</v>
      </c>
      <c r="AH37" s="182">
        <f t="shared" si="11"/>
        <v>0.0</v>
      </c>
      <c r="AI37" s="182">
        <f t="shared" si="11"/>
        <v>0.0</v>
      </c>
      <c r="AJ37" s="182">
        <f t="shared" si="11"/>
        <v>0.0</v>
      </c>
      <c r="AK37" s="182">
        <f t="shared" si="11"/>
        <v>0.0</v>
      </c>
      <c r="AL37" s="182">
        <f t="shared" si="11"/>
        <v>0.0</v>
      </c>
      <c r="AM37" s="182">
        <f t="shared" si="11"/>
        <v>0.0</v>
      </c>
      <c r="AN37" s="182">
        <f t="shared" si="11"/>
        <v>0.0</v>
      </c>
      <c r="AO37" s="182">
        <f t="shared" si="11"/>
        <v>0.0</v>
      </c>
      <c r="AP37" s="182">
        <f t="shared" si="11"/>
        <v>0.0</v>
      </c>
      <c r="AQ37" s="182">
        <f t="shared" si="11"/>
        <v>0.0</v>
      </c>
      <c r="AR37" s="182">
        <f t="shared" si="11"/>
        <v>0.0</v>
      </c>
      <c r="AS37" s="214">
        <f t="shared" si="10"/>
        <v>0.0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51">
        <f>2870+31265</f>
        <v>34135.0</v>
      </c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92"/>
      <c r="Z38" s="192"/>
      <c r="AA38" s="192"/>
      <c r="AB38" s="192"/>
      <c r="AC38" s="192">
        <v>10889.0</v>
      </c>
      <c r="AD38" s="192"/>
      <c r="AE38" s="192">
        <v>20376.0</v>
      </c>
      <c r="AF38" s="220">
        <v>25855.0</v>
      </c>
      <c r="AG38" s="220">
        <v>27488.0</v>
      </c>
      <c r="AH38" s="220">
        <v>27425.0</v>
      </c>
      <c r="AI38" s="220">
        <v>28970.0</v>
      </c>
      <c r="AJ38" s="220">
        <v>21150.0</v>
      </c>
      <c r="AK38" s="192"/>
      <c r="AL38" s="192"/>
      <c r="AM38" s="192"/>
      <c r="AN38" s="192"/>
      <c r="AO38" s="192"/>
      <c r="AP38" s="192"/>
      <c r="AQ38" s="192"/>
      <c r="AR38" s="192"/>
      <c r="AS38" s="184">
        <f t="shared" si="10"/>
        <v>196288.0</v>
      </c>
      <c r="AT38" s="190">
        <f>(AS38/(AS36-AS37))*100%</f>
        <v>0.9997504291091338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18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>
        <v>49.0</v>
      </c>
      <c r="AJ39" s="223"/>
      <c r="AK39" s="223"/>
      <c r="AL39" s="223"/>
      <c r="AM39" s="223"/>
      <c r="AN39" s="223"/>
      <c r="AO39" s="223"/>
      <c r="AP39" s="223"/>
      <c r="AQ39" s="223"/>
      <c r="AR39" s="224"/>
      <c r="AS39" s="215">
        <f t="shared" si="10"/>
        <v>49.0</v>
      </c>
      <c r="AT39" s="193">
        <f>(AS39/(AS36-AS37))*100%</f>
        <v>2.4957089086621474E-4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79"/>
      <c r="AS40" s="207"/>
      <c r="AT40" s="208"/>
    </row>
    <row r="41" spans="8:8" s="150" ht="23.25" customFormat="1" customHeight="1">
      <c r="A41" s="169"/>
      <c r="B41" s="152" t="s">
        <v>171</v>
      </c>
      <c r="C41" s="153"/>
      <c r="D41" s="154">
        <f>F41+AS44-AS48+AS49</f>
        <v>162153.0</v>
      </c>
      <c r="E41" s="155"/>
      <c r="F41" s="156">
        <v>0.0</v>
      </c>
      <c r="G41" s="218"/>
      <c r="H41" s="158"/>
      <c r="I41" s="159"/>
      <c r="J41" s="160"/>
      <c r="K41" s="161"/>
      <c r="L41" s="162"/>
      <c r="M41" s="163" t="s">
        <v>130</v>
      </c>
      <c r="N41" s="285" t="s">
        <v>159</v>
      </c>
      <c r="O41" s="164"/>
      <c r="P41" s="164"/>
      <c r="Q41" s="164"/>
      <c r="R41" s="285"/>
      <c r="S41" s="285"/>
      <c r="T41" s="285"/>
      <c r="U41" s="285"/>
      <c r="V41" s="285"/>
      <c r="W41" s="285"/>
      <c r="X41" s="285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6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251">
        <v>34135.0</v>
      </c>
      <c r="O42" s="183"/>
      <c r="P42" s="183"/>
      <c r="Q42" s="183"/>
      <c r="R42" s="251"/>
      <c r="S42" s="251"/>
      <c r="T42" s="251"/>
      <c r="U42" s="251"/>
      <c r="V42" s="251"/>
      <c r="W42" s="251"/>
      <c r="X42" s="251"/>
      <c r="Y42" s="183"/>
      <c r="Z42" s="183"/>
      <c r="AA42" s="183"/>
      <c r="AB42" s="183"/>
      <c r="AC42" s="183"/>
      <c r="AD42" s="183"/>
      <c r="AE42" s="251"/>
      <c r="AF42" s="183"/>
      <c r="AG42" s="183"/>
      <c r="AH42" s="183"/>
      <c r="AI42" s="183"/>
      <c r="AJ42" s="183">
        <v>112033.0</v>
      </c>
      <c r="AK42" s="183"/>
      <c r="AL42" s="183">
        <v>50120.0</v>
      </c>
      <c r="AM42" s="183"/>
      <c r="AN42" s="183"/>
      <c r="AO42" s="183"/>
      <c r="AP42" s="183"/>
      <c r="AQ42" s="183"/>
      <c r="AR42" s="183"/>
      <c r="AS42" s="212">
        <f t="shared" si="12" ref="AS42:AS45">SUM(N42:AR42)</f>
        <v>196288.0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78">
        <f t="shared" si="13" ref="N43:AR43">N42-N44-N45</f>
        <v>0.0</v>
      </c>
      <c r="O43" s="182">
        <f t="shared" si="13"/>
        <v>0.0</v>
      </c>
      <c r="P43" s="182">
        <f t="shared" si="13"/>
        <v>0.0</v>
      </c>
      <c r="Q43" s="182">
        <f t="shared" si="13"/>
        <v>0.0</v>
      </c>
      <c r="R43" s="278">
        <f t="shared" si="13"/>
        <v>0.0</v>
      </c>
      <c r="S43" s="278">
        <f t="shared" si="13"/>
        <v>0.0</v>
      </c>
      <c r="T43" s="278">
        <f t="shared" si="13"/>
        <v>0.0</v>
      </c>
      <c r="U43" s="278">
        <f t="shared" si="13"/>
        <v>0.0</v>
      </c>
      <c r="V43" s="278">
        <f t="shared" si="13"/>
        <v>0.0</v>
      </c>
      <c r="W43" s="278">
        <f t="shared" si="13"/>
        <v>0.0</v>
      </c>
      <c r="X43" s="278">
        <f t="shared" si="13"/>
        <v>0.0</v>
      </c>
      <c r="Y43" s="182">
        <f t="shared" si="13"/>
        <v>0.0</v>
      </c>
      <c r="Z43" s="182">
        <f t="shared" si="13"/>
        <v>0.0</v>
      </c>
      <c r="AA43" s="182">
        <f t="shared" si="13"/>
        <v>0.0</v>
      </c>
      <c r="AB43" s="182">
        <f t="shared" si="13"/>
        <v>0.0</v>
      </c>
      <c r="AC43" s="182">
        <f t="shared" si="13"/>
        <v>0.0</v>
      </c>
      <c r="AD43" s="182">
        <f t="shared" si="13"/>
        <v>0.0</v>
      </c>
      <c r="AE43" s="278">
        <f t="shared" si="13"/>
        <v>0.0</v>
      </c>
      <c r="AF43" s="182">
        <f t="shared" si="13"/>
        <v>0.0</v>
      </c>
      <c r="AG43" s="182">
        <f t="shared" si="13"/>
        <v>0.0</v>
      </c>
      <c r="AH43" s="182">
        <f t="shared" si="13"/>
        <v>0.0</v>
      </c>
      <c r="AI43" s="182">
        <f t="shared" si="13"/>
        <v>0.0</v>
      </c>
      <c r="AJ43" s="182">
        <f t="shared" si="13"/>
        <v>0.0</v>
      </c>
      <c r="AK43" s="182">
        <f t="shared" si="13"/>
        <v>0.0</v>
      </c>
      <c r="AL43" s="182">
        <f t="shared" si="13"/>
        <v>0.0</v>
      </c>
      <c r="AM43" s="182">
        <f t="shared" si="13"/>
        <v>0.0</v>
      </c>
      <c r="AN43" s="182">
        <f t="shared" si="13"/>
        <v>0.0</v>
      </c>
      <c r="AO43" s="182">
        <f t="shared" si="13"/>
        <v>0.0</v>
      </c>
      <c r="AP43" s="182">
        <f t="shared" si="13"/>
        <v>0.0</v>
      </c>
      <c r="AQ43" s="182">
        <f t="shared" si="13"/>
        <v>0.0</v>
      </c>
      <c r="AR43" s="182">
        <f t="shared" si="13"/>
        <v>0.0</v>
      </c>
      <c r="AS43" s="214">
        <f t="shared" si="12"/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182">
        <v>34135.0</v>
      </c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>
        <v>112033.0</v>
      </c>
      <c r="AK44" s="182"/>
      <c r="AL44" s="182">
        <v>50120.0</v>
      </c>
      <c r="AM44" s="182"/>
      <c r="AN44" s="182"/>
      <c r="AO44" s="182"/>
      <c r="AP44" s="182"/>
      <c r="AQ44" s="182"/>
      <c r="AR44" s="182"/>
      <c r="AS44" s="184">
        <f t="shared" si="12"/>
        <v>196288.0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182"/>
      <c r="O45" s="192"/>
      <c r="P45" s="192"/>
      <c r="Q45" s="192"/>
      <c r="R45" s="182"/>
      <c r="S45" s="182"/>
      <c r="T45" s="182"/>
      <c r="U45" s="182"/>
      <c r="V45" s="182"/>
      <c r="W45" s="182"/>
      <c r="X45" s="182"/>
      <c r="Y45" s="192"/>
      <c r="Z45" s="192"/>
      <c r="AA45" s="192"/>
      <c r="AB45" s="192"/>
      <c r="AC45" s="192"/>
      <c r="AD45" s="192"/>
      <c r="AE45" s="18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215">
        <f t="shared" si="12"/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79"/>
      <c r="AS46" s="207"/>
      <c r="AT46" s="208"/>
    </row>
    <row r="47" spans="8:8" s="150" ht="23.25" customFormat="1" customHeight="1">
      <c r="A47" s="169"/>
      <c r="B47" s="228" t="s">
        <v>227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6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251">
        <v>34135.0</v>
      </c>
      <c r="O48" s="282"/>
      <c r="P48" s="282"/>
      <c r="Q48" s="251"/>
      <c r="R48" s="251"/>
      <c r="S48" s="251"/>
      <c r="T48" s="251"/>
      <c r="U48" s="251"/>
      <c r="V48" s="251"/>
      <c r="W48" s="251"/>
      <c r="X48" s="251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>SUM(N48:AR48)</f>
        <v>34135.0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182">
        <f t="shared" si="14" ref="N49:AR49">N48-N50-N51</f>
        <v>0.0</v>
      </c>
      <c r="O49" s="278">
        <f t="shared" si="14"/>
        <v>0.0</v>
      </c>
      <c r="P49" s="278">
        <f t="shared" si="14"/>
        <v>0.0</v>
      </c>
      <c r="Q49" s="182">
        <f t="shared" si="14"/>
        <v>0.0</v>
      </c>
      <c r="R49" s="182">
        <f t="shared" si="14"/>
        <v>0.0</v>
      </c>
      <c r="S49" s="182">
        <f t="shared" si="14"/>
        <v>0.0</v>
      </c>
      <c r="T49" s="182">
        <f t="shared" si="14"/>
        <v>0.0</v>
      </c>
      <c r="U49" s="182">
        <f t="shared" si="14"/>
        <v>0.0</v>
      </c>
      <c r="V49" s="182">
        <f t="shared" si="14"/>
        <v>0.0</v>
      </c>
      <c r="W49" s="182">
        <f t="shared" si="14"/>
        <v>0.0</v>
      </c>
      <c r="X49" s="182">
        <f t="shared" si="14"/>
        <v>0.0</v>
      </c>
      <c r="Y49" s="182">
        <f t="shared" si="14"/>
        <v>0.0</v>
      </c>
      <c r="Z49" s="182">
        <f t="shared" si="14"/>
        <v>0.0</v>
      </c>
      <c r="AA49" s="182">
        <f t="shared" si="14"/>
        <v>0.0</v>
      </c>
      <c r="AB49" s="182">
        <f t="shared" si="14"/>
        <v>0.0</v>
      </c>
      <c r="AC49" s="182">
        <f t="shared" si="14"/>
        <v>0.0</v>
      </c>
      <c r="AD49" s="182">
        <f t="shared" si="14"/>
        <v>0.0</v>
      </c>
      <c r="AE49" s="182">
        <f t="shared" si="14"/>
        <v>0.0</v>
      </c>
      <c r="AF49" s="182">
        <f t="shared" si="14"/>
        <v>0.0</v>
      </c>
      <c r="AG49" s="182">
        <f t="shared" si="14"/>
        <v>0.0</v>
      </c>
      <c r="AH49" s="182">
        <f t="shared" si="14"/>
        <v>0.0</v>
      </c>
      <c r="AI49" s="182">
        <f t="shared" si="14"/>
        <v>0.0</v>
      </c>
      <c r="AJ49" s="182">
        <f t="shared" si="14"/>
        <v>0.0</v>
      </c>
      <c r="AK49" s="182">
        <f t="shared" si="14"/>
        <v>0.0</v>
      </c>
      <c r="AL49" s="182">
        <f t="shared" si="14"/>
        <v>0.0</v>
      </c>
      <c r="AM49" s="182">
        <f t="shared" si="14"/>
        <v>0.0</v>
      </c>
      <c r="AN49" s="182">
        <f t="shared" si="14"/>
        <v>0.0</v>
      </c>
      <c r="AO49" s="182">
        <f t="shared" si="14"/>
        <v>0.0</v>
      </c>
      <c r="AP49" s="182">
        <f t="shared" si="14"/>
        <v>0.0</v>
      </c>
      <c r="AQ49" s="182">
        <f t="shared" si="14"/>
        <v>0.0</v>
      </c>
      <c r="AR49" s="182">
        <f t="shared" si="14"/>
        <v>0.0</v>
      </c>
      <c r="AS49" s="214">
        <f>SUM(N49:AR49)</f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182">
        <v>34135.0</v>
      </c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4">
        <f>SUM(N50:AR50)</f>
        <v>34135.0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182">
        <v>0.0</v>
      </c>
      <c r="O51" s="192"/>
      <c r="P51" s="192"/>
      <c r="Q51" s="182"/>
      <c r="R51" s="182"/>
      <c r="S51" s="182"/>
      <c r="T51" s="182"/>
      <c r="U51" s="182"/>
      <c r="V51" s="182"/>
      <c r="W51" s="182"/>
      <c r="X51" s="18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215">
        <f>SUM(N51:AR51)</f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79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18229.0</v>
      </c>
      <c r="F53" s="232">
        <v>44094.0</v>
      </c>
      <c r="G53" s="218">
        <v>44197.0</v>
      </c>
      <c r="H53" s="233"/>
      <c r="I53" s="234"/>
      <c r="J53" s="234"/>
      <c r="K53" s="160"/>
      <c r="L53" s="162"/>
      <c r="M53" s="163" t="s">
        <v>130</v>
      </c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6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251">
        <v>34135.0</v>
      </c>
      <c r="O54" s="282"/>
      <c r="P54" s="282"/>
      <c r="Q54" s="251"/>
      <c r="R54" s="251"/>
      <c r="S54" s="251"/>
      <c r="T54" s="251"/>
      <c r="U54" s="251"/>
      <c r="V54" s="251"/>
      <c r="W54" s="251"/>
      <c r="X54" s="251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>SUM(N54:AR54)</f>
        <v>34135.0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20">
        <f t="shared" si="15" ref="N55:AR55">N54-N56-N57</f>
        <v>0.0</v>
      </c>
      <c r="O55" s="183">
        <f t="shared" si="15"/>
        <v>0.0</v>
      </c>
      <c r="P55" s="183">
        <f t="shared" si="15"/>
        <v>0.0</v>
      </c>
      <c r="Q55" s="220">
        <f t="shared" si="15"/>
        <v>0.0</v>
      </c>
      <c r="R55" s="220">
        <f t="shared" si="15"/>
        <v>0.0</v>
      </c>
      <c r="S55" s="220">
        <f t="shared" si="15"/>
        <v>0.0</v>
      </c>
      <c r="T55" s="220">
        <f t="shared" si="15"/>
        <v>0.0</v>
      </c>
      <c r="U55" s="220">
        <f t="shared" si="15"/>
        <v>0.0</v>
      </c>
      <c r="V55" s="220">
        <f t="shared" si="15"/>
        <v>0.0</v>
      </c>
      <c r="W55" s="220">
        <f t="shared" si="15"/>
        <v>0.0</v>
      </c>
      <c r="X55" s="220">
        <f t="shared" si="15"/>
        <v>0.0</v>
      </c>
      <c r="Y55" s="220">
        <f t="shared" si="15"/>
        <v>0.0</v>
      </c>
      <c r="Z55" s="220">
        <f t="shared" si="15"/>
        <v>0.0</v>
      </c>
      <c r="AA55" s="220">
        <f t="shared" si="15"/>
        <v>0.0</v>
      </c>
      <c r="AB55" s="220">
        <f t="shared" si="15"/>
        <v>0.0</v>
      </c>
      <c r="AC55" s="220">
        <f t="shared" si="15"/>
        <v>0.0</v>
      </c>
      <c r="AD55" s="220">
        <f t="shared" si="15"/>
        <v>0.0</v>
      </c>
      <c r="AE55" s="220">
        <f t="shared" si="15"/>
        <v>0.0</v>
      </c>
      <c r="AF55" s="220">
        <f t="shared" si="15"/>
        <v>0.0</v>
      </c>
      <c r="AG55" s="220">
        <f t="shared" si="15"/>
        <v>0.0</v>
      </c>
      <c r="AH55" s="220">
        <f t="shared" si="15"/>
        <v>0.0</v>
      </c>
      <c r="AI55" s="220">
        <f t="shared" si="15"/>
        <v>0.0</v>
      </c>
      <c r="AJ55" s="220">
        <f t="shared" si="15"/>
        <v>0.0</v>
      </c>
      <c r="AK55" s="220">
        <f t="shared" si="15"/>
        <v>0.0</v>
      </c>
      <c r="AL55" s="220">
        <f t="shared" si="15"/>
        <v>0.0</v>
      </c>
      <c r="AM55" s="220">
        <f t="shared" si="15"/>
        <v>0.0</v>
      </c>
      <c r="AN55" s="220">
        <f t="shared" si="15"/>
        <v>0.0</v>
      </c>
      <c r="AO55" s="220">
        <f t="shared" si="15"/>
        <v>0.0</v>
      </c>
      <c r="AP55" s="220">
        <f t="shared" si="15"/>
        <v>0.0</v>
      </c>
      <c r="AQ55" s="220">
        <f t="shared" si="15"/>
        <v>0.0</v>
      </c>
      <c r="AR55" s="220">
        <f t="shared" si="15"/>
        <v>0.0</v>
      </c>
      <c r="AS55" s="214">
        <f>SUM(N55:AR55)</f>
        <v>0.0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287">
        <v>34135.0</v>
      </c>
      <c r="O56" s="288"/>
      <c r="P56" s="288"/>
      <c r="Q56" s="287"/>
      <c r="R56" s="287"/>
      <c r="S56" s="287"/>
      <c r="T56" s="287"/>
      <c r="U56" s="287"/>
      <c r="V56" s="287"/>
      <c r="W56" s="287"/>
      <c r="X56" s="287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184">
        <f>SUM(N56:AR56)</f>
        <v>34135.0</v>
      </c>
      <c r="AT56" s="190">
        <f>(AS56/(AS54-AS55))*100%</f>
        <v>1.0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288"/>
      <c r="O57" s="289"/>
      <c r="P57" s="289"/>
      <c r="Q57" s="288"/>
      <c r="R57" s="288"/>
      <c r="S57" s="288"/>
      <c r="T57" s="288"/>
      <c r="U57" s="288"/>
      <c r="V57" s="288"/>
      <c r="W57" s="288"/>
      <c r="X57" s="288"/>
      <c r="Y57" s="289"/>
      <c r="Z57" s="289"/>
      <c r="AA57" s="289"/>
      <c r="AB57" s="289"/>
      <c r="AC57" s="289"/>
      <c r="AD57" s="289"/>
      <c r="AE57" s="289"/>
      <c r="AF57" s="289"/>
      <c r="AG57" s="289"/>
      <c r="AH57" s="289"/>
      <c r="AI57" s="289"/>
      <c r="AJ57" s="289"/>
      <c r="AK57" s="289"/>
      <c r="AL57" s="289"/>
      <c r="AM57" s="289"/>
      <c r="AN57" s="289"/>
      <c r="AO57" s="289"/>
      <c r="AP57" s="289"/>
      <c r="AQ57" s="289"/>
      <c r="AR57" s="289"/>
      <c r="AS57" s="215">
        <f>SUM(N57:AR57)</f>
        <v>0.0</v>
      </c>
      <c r="AT57" s="193">
        <f>(AS57/(AS54-AS55))*100%</f>
        <v>0.0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195841.0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89"/>
      <c r="O58" s="290"/>
      <c r="P58" s="289"/>
      <c r="Q58" s="289"/>
      <c r="R58" s="289"/>
      <c r="S58" s="289"/>
      <c r="T58" s="289"/>
      <c r="U58" s="289"/>
      <c r="V58" s="289"/>
      <c r="W58" s="289"/>
      <c r="X58" s="289"/>
      <c r="Y58" s="290"/>
      <c r="Z58" s="290"/>
      <c r="AA58" s="290" t="s">
        <v>248</v>
      </c>
      <c r="AB58" s="290" t="s">
        <v>249</v>
      </c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1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90"/>
      <c r="O59" s="292"/>
      <c r="P59" s="290"/>
      <c r="Q59" s="290"/>
      <c r="R59" s="290"/>
      <c r="S59" s="290"/>
      <c r="T59" s="290"/>
      <c r="U59" s="290"/>
      <c r="V59" s="290"/>
      <c r="W59" s="290"/>
      <c r="X59" s="290"/>
      <c r="Y59" s="292"/>
      <c r="Z59" s="292"/>
      <c r="AA59" s="292">
        <v>34135.0</v>
      </c>
      <c r="AB59" s="292">
        <v>25865.0</v>
      </c>
      <c r="AC59" s="292"/>
      <c r="AD59" s="292"/>
      <c r="AE59" s="292"/>
      <c r="AF59" s="292"/>
      <c r="AG59" s="292"/>
      <c r="AH59" s="292"/>
      <c r="AI59" s="292"/>
      <c r="AJ59" s="292"/>
      <c r="AK59" s="292"/>
      <c r="AL59" s="292"/>
      <c r="AM59" s="292"/>
      <c r="AN59" s="292"/>
      <c r="AO59" s="292"/>
      <c r="AP59" s="292"/>
      <c r="AQ59" s="292"/>
      <c r="AR59" s="293"/>
      <c r="AS59" s="263">
        <f>SUM(N59:AR59)</f>
        <v>60000.0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  <row r="61" spans="8:8">
      <c r="N61" s="271"/>
      <c r="O61" s="272"/>
      <c r="P61" s="272"/>
      <c r="Q61" s="272"/>
      <c r="R61" s="272"/>
      <c r="S61" s="272"/>
      <c r="T61" s="272"/>
      <c r="U61" s="272"/>
      <c r="V61" s="272"/>
      <c r="W61" s="272"/>
      <c r="X61" s="272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18" state="frozen" activePane="bottomRight"/>
      <selection pane="bottomRight" activeCell="AJ45" sqref="AJ45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8515625" style="116"/>
    <col min="5" max="5" customWidth="1" width="13.0" style="116"/>
    <col min="6" max="6" customWidth="1" width="18.425781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15" customWidth="1" width="11.0" style="116"/>
    <col min="16" max="16" customWidth="1" width="13.425781" style="116"/>
    <col min="17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515642-07-12 
SUP11C, T15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250</v>
      </c>
      <c r="B5" s="152" t="s">
        <v>129</v>
      </c>
      <c r="C5" s="153"/>
      <c r="D5" s="154">
        <f>F5+AS8-AS12+AS13</f>
        <v>1486.0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295"/>
      <c r="O5" s="296"/>
      <c r="P5" s="296"/>
      <c r="Q5" s="296"/>
      <c r="R5" s="296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97">
        <v>-193.0</v>
      </c>
      <c r="O6" s="298"/>
      <c r="P6" s="298"/>
      <c r="Q6" s="298"/>
      <c r="R6" s="298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4">
        <f>SUM(N6:AR6)</f>
        <v>-193.0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298">
        <f t="shared" si="0" ref="N7:AR7">N6-N8-N9</f>
        <v>0.0</v>
      </c>
      <c r="O7" s="299">
        <f t="shared" si="0"/>
        <v>0.0</v>
      </c>
      <c r="P7" s="299">
        <f t="shared" si="0"/>
        <v>0.0</v>
      </c>
      <c r="Q7" s="298">
        <f t="shared" si="0"/>
        <v>0.0</v>
      </c>
      <c r="R7" s="298">
        <f t="shared" si="0"/>
        <v>0.0</v>
      </c>
      <c r="S7" s="182">
        <f t="shared" si="0"/>
        <v>0.0</v>
      </c>
      <c r="T7" s="182">
        <f t="shared" si="0"/>
        <v>0.0</v>
      </c>
      <c r="U7" s="182">
        <f t="shared" si="0"/>
        <v>0.0</v>
      </c>
      <c r="V7" s="182">
        <f t="shared" si="0"/>
        <v>0.0</v>
      </c>
      <c r="W7" s="182">
        <f t="shared" si="0"/>
        <v>0.0</v>
      </c>
      <c r="X7" s="182">
        <f t="shared" si="0"/>
        <v>0.0</v>
      </c>
      <c r="Y7" s="182">
        <f t="shared" si="0"/>
        <v>0.0</v>
      </c>
      <c r="Z7" s="182">
        <f t="shared" si="0"/>
        <v>0.0</v>
      </c>
      <c r="AA7" s="182">
        <f t="shared" si="0"/>
        <v>0.0</v>
      </c>
      <c r="AB7" s="182">
        <f t="shared" si="0"/>
        <v>0.0</v>
      </c>
      <c r="AC7" s="182">
        <f t="shared" si="0"/>
        <v>0.0</v>
      </c>
      <c r="AD7" s="182">
        <f t="shared" si="0"/>
        <v>0.0</v>
      </c>
      <c r="AE7" s="182">
        <f t="shared" si="0"/>
        <v>0.0</v>
      </c>
      <c r="AF7" s="182">
        <f t="shared" si="0"/>
        <v>0.0</v>
      </c>
      <c r="AG7" s="182">
        <f t="shared" si="0"/>
        <v>0.0</v>
      </c>
      <c r="AH7" s="182">
        <f t="shared" si="0"/>
        <v>0.0</v>
      </c>
      <c r="AI7" s="182">
        <f t="shared" si="0"/>
        <v>0.0</v>
      </c>
      <c r="AJ7" s="182">
        <f t="shared" si="0"/>
        <v>0.0</v>
      </c>
      <c r="AK7" s="182">
        <f t="shared" si="0"/>
        <v>0.0</v>
      </c>
      <c r="AL7" s="182">
        <f t="shared" si="0"/>
        <v>0.0</v>
      </c>
      <c r="AM7" s="182">
        <f t="shared" si="0"/>
        <v>0.0</v>
      </c>
      <c r="AN7" s="182">
        <f t="shared" si="0"/>
        <v>0.0</v>
      </c>
      <c r="AO7" s="182">
        <f t="shared" si="0"/>
        <v>0.0</v>
      </c>
      <c r="AP7" s="182">
        <f t="shared" si="0"/>
        <v>0.0</v>
      </c>
      <c r="AQ7" s="182">
        <f t="shared" si="0"/>
        <v>0.0</v>
      </c>
      <c r="AR7" s="182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298">
        <v>-193.0</v>
      </c>
      <c r="O8" s="298"/>
      <c r="P8" s="300"/>
      <c r="Q8" s="300"/>
      <c r="R8" s="30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189">
        <f t="shared" si="1" ref="AS8:AS15">SUM(N8:AR8)</f>
        <v>-193.0</v>
      </c>
      <c r="AT8" s="190">
        <f>(AS8/(AS6-AS7))*100%</f>
        <v>1.0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01"/>
      <c r="O9" s="301"/>
      <c r="P9" s="302"/>
      <c r="Q9" s="302"/>
      <c r="R9" s="302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3"/>
      <c r="AR9" s="303"/>
      <c r="AS9" s="184">
        <f t="shared" si="1"/>
        <v>0.0</v>
      </c>
      <c r="AT9" s="193">
        <f>(AS9/(AS6-AS7))*100%</f>
        <v>0.0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04"/>
      <c r="O10" s="305"/>
      <c r="P10" s="305"/>
      <c r="Q10" s="305"/>
      <c r="R10" s="305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4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0.0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295"/>
      <c r="O11" s="295"/>
      <c r="P11" s="295"/>
      <c r="Q11" s="295"/>
      <c r="R11" s="29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297">
        <f>-193-1486</f>
        <v>-1679.0</v>
      </c>
      <c r="O12" s="297"/>
      <c r="P12" s="297"/>
      <c r="Q12" s="297"/>
      <c r="R12" s="297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212">
        <f t="shared" si="1"/>
        <v>-1679.0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298">
        <f t="shared" si="2" ref="N13:AR13">N12-N14-N15</f>
        <v>0.0</v>
      </c>
      <c r="O13" s="299">
        <f t="shared" si="2"/>
        <v>0.0</v>
      </c>
      <c r="P13" s="299">
        <f t="shared" si="2"/>
        <v>0.0</v>
      </c>
      <c r="Q13" s="298">
        <f t="shared" si="2"/>
        <v>0.0</v>
      </c>
      <c r="R13" s="298">
        <f t="shared" si="2"/>
        <v>0.0</v>
      </c>
      <c r="S13" s="182">
        <f t="shared" si="2"/>
        <v>0.0</v>
      </c>
      <c r="T13" s="182">
        <f t="shared" si="2"/>
        <v>0.0</v>
      </c>
      <c r="U13" s="182">
        <f t="shared" si="2"/>
        <v>0.0</v>
      </c>
      <c r="V13" s="182">
        <f t="shared" si="2"/>
        <v>0.0</v>
      </c>
      <c r="W13" s="182">
        <f t="shared" si="2"/>
        <v>0.0</v>
      </c>
      <c r="X13" s="182">
        <f t="shared" si="2"/>
        <v>0.0</v>
      </c>
      <c r="Y13" s="182">
        <f t="shared" si="2"/>
        <v>0.0</v>
      </c>
      <c r="Z13" s="182">
        <f t="shared" si="2"/>
        <v>0.0</v>
      </c>
      <c r="AA13" s="182">
        <f t="shared" si="2"/>
        <v>0.0</v>
      </c>
      <c r="AB13" s="182">
        <f t="shared" si="2"/>
        <v>0.0</v>
      </c>
      <c r="AC13" s="182">
        <f t="shared" si="2"/>
        <v>0.0</v>
      </c>
      <c r="AD13" s="182">
        <f t="shared" si="2"/>
        <v>0.0</v>
      </c>
      <c r="AE13" s="182">
        <f t="shared" si="2"/>
        <v>0.0</v>
      </c>
      <c r="AF13" s="182">
        <f t="shared" si="2"/>
        <v>0.0</v>
      </c>
      <c r="AG13" s="182">
        <f t="shared" si="2"/>
        <v>0.0</v>
      </c>
      <c r="AH13" s="182">
        <f t="shared" si="2"/>
        <v>0.0</v>
      </c>
      <c r="AI13" s="182">
        <f t="shared" si="2"/>
        <v>0.0</v>
      </c>
      <c r="AJ13" s="182">
        <f t="shared" si="2"/>
        <v>0.0</v>
      </c>
      <c r="AK13" s="182">
        <f t="shared" si="2"/>
        <v>0.0</v>
      </c>
      <c r="AL13" s="182">
        <f t="shared" si="2"/>
        <v>0.0</v>
      </c>
      <c r="AM13" s="182">
        <f t="shared" si="2"/>
        <v>0.0</v>
      </c>
      <c r="AN13" s="182">
        <f t="shared" si="2"/>
        <v>0.0</v>
      </c>
      <c r="AO13" s="182">
        <f t="shared" si="2"/>
        <v>0.0</v>
      </c>
      <c r="AP13" s="182">
        <f t="shared" si="2"/>
        <v>0.0</v>
      </c>
      <c r="AQ13" s="182">
        <f t="shared" si="2"/>
        <v>0.0</v>
      </c>
      <c r="AR13" s="182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297">
        <f>-193-1486</f>
        <v>-1679.0</v>
      </c>
      <c r="O14" s="298"/>
      <c r="P14" s="298"/>
      <c r="Q14" s="298"/>
      <c r="R14" s="298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4">
        <f t="shared" si="1"/>
        <v>-1679.0</v>
      </c>
      <c r="AT14" s="190">
        <f>(AS14/(AS12-AS13))*100%</f>
        <v>1.0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301"/>
      <c r="O15" s="301"/>
      <c r="P15" s="301"/>
      <c r="Q15" s="301"/>
      <c r="R15" s="301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215">
        <f t="shared" si="1"/>
        <v>0.0</v>
      </c>
      <c r="AT15" s="193">
        <f>(AS15/(AS12-AS13))*100%</f>
        <v>0.0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04"/>
      <c r="O16" s="305"/>
      <c r="P16" s="305"/>
      <c r="Q16" s="305"/>
      <c r="R16" s="305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4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10575.0</v>
      </c>
      <c r="G17" s="157">
        <v>44197.0</v>
      </c>
      <c r="H17" s="158"/>
      <c r="I17" s="159"/>
      <c r="J17" s="160"/>
      <c r="K17" s="161"/>
      <c r="L17" s="162"/>
      <c r="M17" s="163" t="s">
        <v>130</v>
      </c>
      <c r="N17" s="295"/>
      <c r="O17" s="295"/>
      <c r="P17" s="295"/>
      <c r="Q17" s="295"/>
      <c r="R17" s="29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298">
        <f>-1486-193</f>
        <v>-1679.0</v>
      </c>
      <c r="O18" s="297"/>
      <c r="P18" s="297"/>
      <c r="Q18" s="297"/>
      <c r="R18" s="297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212">
        <f t="shared" si="3" ref="AS18:AS21">SUM(N18:AR18)</f>
        <v>-1679.0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298">
        <f>N18-N20-N21</f>
        <v>0.0</v>
      </c>
      <c r="O19" s="299">
        <f t="shared" si="4" ref="N19:AR19">O18-O20-O21</f>
        <v>0.0</v>
      </c>
      <c r="P19" s="299">
        <f t="shared" si="4"/>
        <v>0.0</v>
      </c>
      <c r="Q19" s="298">
        <f t="shared" si="4"/>
        <v>0.0</v>
      </c>
      <c r="R19" s="298">
        <f t="shared" si="4"/>
        <v>0.0</v>
      </c>
      <c r="S19" s="182">
        <f t="shared" si="4"/>
        <v>0.0</v>
      </c>
      <c r="T19" s="182">
        <f t="shared" si="4"/>
        <v>0.0</v>
      </c>
      <c r="U19" s="182">
        <f t="shared" si="4"/>
        <v>0.0</v>
      </c>
      <c r="V19" s="182">
        <f t="shared" si="4"/>
        <v>0.0</v>
      </c>
      <c r="W19" s="182">
        <f t="shared" si="4"/>
        <v>0.0</v>
      </c>
      <c r="X19" s="182">
        <f t="shared" si="4"/>
        <v>0.0</v>
      </c>
      <c r="Y19" s="182">
        <f t="shared" si="4"/>
        <v>0.0</v>
      </c>
      <c r="Z19" s="182">
        <f t="shared" si="4"/>
        <v>0.0</v>
      </c>
      <c r="AA19" s="182">
        <f t="shared" si="4"/>
        <v>0.0</v>
      </c>
      <c r="AB19" s="182">
        <f t="shared" si="4"/>
        <v>0.0</v>
      </c>
      <c r="AC19" s="182">
        <f t="shared" si="4"/>
        <v>0.0</v>
      </c>
      <c r="AD19" s="182">
        <f t="shared" si="4"/>
        <v>0.0</v>
      </c>
      <c r="AE19" s="182">
        <f t="shared" si="4"/>
        <v>0.0</v>
      </c>
      <c r="AF19" s="182">
        <f t="shared" si="4"/>
        <v>0.0</v>
      </c>
      <c r="AG19" s="182">
        <f t="shared" si="4"/>
        <v>0.0</v>
      </c>
      <c r="AH19" s="182">
        <f t="shared" si="4"/>
        <v>0.0</v>
      </c>
      <c r="AI19" s="182">
        <f t="shared" si="4"/>
        <v>0.0</v>
      </c>
      <c r="AJ19" s="182">
        <f t="shared" si="4"/>
        <v>0.0</v>
      </c>
      <c r="AK19" s="182">
        <f t="shared" si="4"/>
        <v>0.0</v>
      </c>
      <c r="AL19" s="182">
        <f t="shared" si="4"/>
        <v>0.0</v>
      </c>
      <c r="AM19" s="182">
        <f t="shared" si="4"/>
        <v>0.0</v>
      </c>
      <c r="AN19" s="182">
        <f t="shared" si="4"/>
        <v>0.0</v>
      </c>
      <c r="AO19" s="182">
        <f t="shared" si="4"/>
        <v>0.0</v>
      </c>
      <c r="AP19" s="182">
        <f t="shared" si="4"/>
        <v>0.0</v>
      </c>
      <c r="AQ19" s="182">
        <f t="shared" si="4"/>
        <v>0.0</v>
      </c>
      <c r="AR19" s="182">
        <f t="shared" si="4"/>
        <v>0.0</v>
      </c>
      <c r="AS19" s="214">
        <f t="shared" si="3"/>
        <v>0.0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298">
        <f>-1486-193</f>
        <v>-1679.0</v>
      </c>
      <c r="O20" s="298"/>
      <c r="P20" s="298"/>
      <c r="Q20" s="298"/>
      <c r="R20" s="298"/>
      <c r="S20" s="182"/>
      <c r="T20" s="182"/>
      <c r="U20" s="182"/>
      <c r="V20" s="182"/>
      <c r="W20" s="182"/>
      <c r="X20" s="220"/>
      <c r="Y20" s="182"/>
      <c r="Z20" s="182"/>
      <c r="AA20" s="220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4">
        <f t="shared" si="3"/>
        <v>-1679.0</v>
      </c>
      <c r="AT20" s="190">
        <f>(AS20/(AS18-AS19))*100%</f>
        <v>1.0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301"/>
      <c r="O21" s="301"/>
      <c r="P21" s="301"/>
      <c r="Q21" s="301"/>
      <c r="R21" s="301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215">
        <f t="shared" si="3"/>
        <v>0.0</v>
      </c>
      <c r="AT21" s="193">
        <f>(AS21/(AS18-AS19))*100%</f>
        <v>0.0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04"/>
      <c r="O22" s="305"/>
      <c r="P22" s="305"/>
      <c r="Q22" s="305"/>
      <c r="R22" s="305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4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0.0</v>
      </c>
      <c r="E23" s="155"/>
      <c r="F23" s="156">
        <v>38447.0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295"/>
      <c r="O23" s="295"/>
      <c r="P23" s="295"/>
      <c r="Q23" s="295"/>
      <c r="R23" s="29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 t="s">
        <v>205</v>
      </c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298">
        <v>-1486.0</v>
      </c>
      <c r="O24" s="297"/>
      <c r="P24" s="297"/>
      <c r="Q24" s="297"/>
      <c r="R24" s="297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>
        <v>10382.0</v>
      </c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212">
        <f t="shared" si="5" ref="AS24:AS27">SUM(N24:AR24)</f>
        <v>8896.0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298">
        <f t="shared" si="6" ref="N25:AR25">N24-N26-N27</f>
        <v>0.0</v>
      </c>
      <c r="O25" s="299">
        <f t="shared" si="6"/>
        <v>0.0</v>
      </c>
      <c r="P25" s="299">
        <f t="shared" si="6"/>
        <v>0.0</v>
      </c>
      <c r="Q25" s="298">
        <f t="shared" si="6"/>
        <v>0.0</v>
      </c>
      <c r="R25" s="298">
        <f t="shared" si="6"/>
        <v>0.0</v>
      </c>
      <c r="S25" s="182">
        <f t="shared" si="6"/>
        <v>0.0</v>
      </c>
      <c r="T25" s="182">
        <f t="shared" si="6"/>
        <v>0.0</v>
      </c>
      <c r="U25" s="182">
        <f t="shared" si="6"/>
        <v>0.0</v>
      </c>
      <c r="V25" s="182">
        <f t="shared" si="6"/>
        <v>0.0</v>
      </c>
      <c r="W25" s="182">
        <f t="shared" si="6"/>
        <v>0.0</v>
      </c>
      <c r="X25" s="182">
        <f t="shared" si="6"/>
        <v>0.0</v>
      </c>
      <c r="Y25" s="182">
        <f t="shared" si="6"/>
        <v>0.0</v>
      </c>
      <c r="Z25" s="182">
        <f t="shared" si="6"/>
        <v>0.0</v>
      </c>
      <c r="AA25" s="182">
        <f t="shared" si="6"/>
        <v>0.0</v>
      </c>
      <c r="AB25" s="182">
        <f t="shared" si="6"/>
        <v>0.0</v>
      </c>
      <c r="AC25" s="182">
        <f t="shared" si="6"/>
        <v>0.0</v>
      </c>
      <c r="AD25" s="182">
        <f t="shared" si="6"/>
        <v>0.0</v>
      </c>
      <c r="AE25" s="182">
        <f t="shared" si="6"/>
        <v>0.0</v>
      </c>
      <c r="AF25" s="182">
        <f t="shared" si="6"/>
        <v>0.0</v>
      </c>
      <c r="AG25" s="182">
        <f t="shared" si="6"/>
        <v>0.0</v>
      </c>
      <c r="AH25" s="182">
        <f t="shared" si="6"/>
        <v>0.0</v>
      </c>
      <c r="AI25" s="182">
        <f t="shared" si="6"/>
        <v>0.0</v>
      </c>
      <c r="AJ25" s="182">
        <f t="shared" si="6"/>
        <v>0.0</v>
      </c>
      <c r="AK25" s="182">
        <f t="shared" si="6"/>
        <v>0.0</v>
      </c>
      <c r="AL25" s="182">
        <f t="shared" si="6"/>
        <v>0.0</v>
      </c>
      <c r="AM25" s="182">
        <f t="shared" si="6"/>
        <v>0.0</v>
      </c>
      <c r="AN25" s="182">
        <f t="shared" si="6"/>
        <v>0.0</v>
      </c>
      <c r="AO25" s="182">
        <f t="shared" si="6"/>
        <v>0.0</v>
      </c>
      <c r="AP25" s="182">
        <f t="shared" si="6"/>
        <v>0.0</v>
      </c>
      <c r="AQ25" s="182">
        <f t="shared" si="6"/>
        <v>0.0</v>
      </c>
      <c r="AR25" s="182">
        <f t="shared" si="6"/>
        <v>0.0</v>
      </c>
      <c r="AS25" s="214">
        <f t="shared" si="5"/>
        <v>0.0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298">
        <v>-1486.0</v>
      </c>
      <c r="O26" s="298"/>
      <c r="P26" s="298"/>
      <c r="Q26" s="298"/>
      <c r="R26" s="298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>
        <v>10382.0</v>
      </c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4">
        <f t="shared" si="5"/>
        <v>8896.0</v>
      </c>
      <c r="AT26" s="190">
        <f>(AS26/(AS24-AS25))*100%</f>
        <v>1.0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301"/>
      <c r="O27" s="301"/>
      <c r="P27" s="301"/>
      <c r="Q27" s="301"/>
      <c r="R27" s="301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215">
        <f t="shared" si="5"/>
        <v>0.0</v>
      </c>
      <c r="AT27" s="193">
        <f>(AS27/(AS24-AS25))*100%</f>
        <v>0.0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304"/>
      <c r="O28" s="305"/>
      <c r="P28" s="305"/>
      <c r="Q28" s="305"/>
      <c r="R28" s="305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4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218"/>
      <c r="H29" s="158"/>
      <c r="I29" s="159"/>
      <c r="J29" s="160"/>
      <c r="K29" s="161"/>
      <c r="L29" s="162"/>
      <c r="M29" s="163" t="s">
        <v>130</v>
      </c>
      <c r="N29" s="295"/>
      <c r="O29" s="295"/>
      <c r="P29" s="295"/>
      <c r="Q29" s="295"/>
      <c r="R29" s="29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 t="s">
        <v>251</v>
      </c>
      <c r="AG29" s="165" t="s">
        <v>252</v>
      </c>
      <c r="AH29" s="165" t="s">
        <v>253</v>
      </c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297">
        <f>-1514-164</f>
        <v>-1678.0</v>
      </c>
      <c r="O30" s="297"/>
      <c r="P30" s="297"/>
      <c r="Q30" s="297"/>
      <c r="R30" s="297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>
        <f t="shared" si="7" ref="AF30:AH30">5000*4</f>
        <v>20000.0</v>
      </c>
      <c r="AG30" s="183">
        <f t="shared" si="7"/>
        <v>20000.0</v>
      </c>
      <c r="AH30" s="183">
        <f t="shared" si="7"/>
        <v>20000.0</v>
      </c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212">
        <f t="shared" si="8" ref="AS30:AS33">SUM(N30:AR30)</f>
        <v>58322.0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298">
        <f t="shared" si="9" ref="N31:AR31">N30-N32-N33</f>
        <v>0.0</v>
      </c>
      <c r="O31" s="299">
        <f t="shared" si="9"/>
        <v>0.0</v>
      </c>
      <c r="P31" s="299">
        <f t="shared" si="9"/>
        <v>0.0</v>
      </c>
      <c r="Q31" s="298">
        <f t="shared" si="9"/>
        <v>0.0</v>
      </c>
      <c r="R31" s="298">
        <f t="shared" si="9"/>
        <v>0.0</v>
      </c>
      <c r="S31" s="182">
        <f t="shared" si="9"/>
        <v>0.0</v>
      </c>
      <c r="T31" s="182">
        <f t="shared" si="9"/>
        <v>0.0</v>
      </c>
      <c r="U31" s="182">
        <f t="shared" si="9"/>
        <v>0.0</v>
      </c>
      <c r="V31" s="182">
        <f t="shared" si="9"/>
        <v>0.0</v>
      </c>
      <c r="W31" s="182">
        <f t="shared" si="9"/>
        <v>0.0</v>
      </c>
      <c r="X31" s="182">
        <f t="shared" si="9"/>
        <v>0.0</v>
      </c>
      <c r="Y31" s="182">
        <f t="shared" si="9"/>
        <v>0.0</v>
      </c>
      <c r="Z31" s="182">
        <f t="shared" si="9"/>
        <v>0.0</v>
      </c>
      <c r="AA31" s="182">
        <f t="shared" si="9"/>
        <v>0.0</v>
      </c>
      <c r="AB31" s="182">
        <f t="shared" si="9"/>
        <v>0.0</v>
      </c>
      <c r="AC31" s="182">
        <f t="shared" si="9"/>
        <v>0.0</v>
      </c>
      <c r="AD31" s="182">
        <f t="shared" si="9"/>
        <v>0.0</v>
      </c>
      <c r="AE31" s="182">
        <f t="shared" si="9"/>
        <v>0.0</v>
      </c>
      <c r="AF31" s="182">
        <f t="shared" si="9"/>
        <v>1100.0</v>
      </c>
      <c r="AG31" s="182">
        <f t="shared" si="9"/>
        <v>893.0</v>
      </c>
      <c r="AH31" s="182">
        <f t="shared" si="9"/>
        <v>8986.0</v>
      </c>
      <c r="AI31" s="182">
        <f t="shared" si="9"/>
        <v>0.0</v>
      </c>
      <c r="AJ31" s="182">
        <f t="shared" si="9"/>
        <v>0.0</v>
      </c>
      <c r="AK31" s="182">
        <f t="shared" si="9"/>
        <v>0.0</v>
      </c>
      <c r="AL31" s="182">
        <f t="shared" si="9"/>
        <v>0.0</v>
      </c>
      <c r="AM31" s="182">
        <f t="shared" si="9"/>
        <v>0.0</v>
      </c>
      <c r="AN31" s="182">
        <f t="shared" si="9"/>
        <v>0.0</v>
      </c>
      <c r="AO31" s="182">
        <f t="shared" si="9"/>
        <v>0.0</v>
      </c>
      <c r="AP31" s="182">
        <f t="shared" si="9"/>
        <v>0.0</v>
      </c>
      <c r="AQ31" s="182">
        <f t="shared" si="9"/>
        <v>0.0</v>
      </c>
      <c r="AR31" s="182">
        <f t="shared" si="9"/>
        <v>0.0</v>
      </c>
      <c r="AS31" s="214">
        <f t="shared" si="8"/>
        <v>10979.0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297">
        <f>-1514-164</f>
        <v>-1678.0</v>
      </c>
      <c r="O32" s="298"/>
      <c r="P32" s="298"/>
      <c r="Q32" s="298"/>
      <c r="R32" s="298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>
        <f>4703+4256+4599+5322</f>
        <v>18880.0</v>
      </c>
      <c r="AG32" s="182">
        <f>5033+4654+4734+4674</f>
        <v>19095.0</v>
      </c>
      <c r="AH32" s="182">
        <f>323+357+4856+5468</f>
        <v>11004.0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4">
        <f t="shared" si="8"/>
        <v>47301.0</v>
      </c>
      <c r="AT32" s="190">
        <f>(AS32/(AS30-AS31))*100%</f>
        <v>0.999112857233382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301"/>
      <c r="O33" s="301"/>
      <c r="P33" s="301"/>
      <c r="Q33" s="301"/>
      <c r="R33" s="301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>
        <f>20</f>
        <v>20.0</v>
      </c>
      <c r="AG33" s="192">
        <f>12</f>
        <v>12.0</v>
      </c>
      <c r="AH33" s="192">
        <v>10.0</v>
      </c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215">
        <f t="shared" si="8"/>
        <v>42.0</v>
      </c>
      <c r="AT33" s="193">
        <f>(AS33/(AS30-AS31))*100%</f>
        <v>8.87142766618085E-4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304"/>
      <c r="O34" s="305"/>
      <c r="P34" s="305"/>
      <c r="Q34" s="305"/>
      <c r="R34" s="305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4"/>
      <c r="AS34" s="207"/>
      <c r="AT34" s="208"/>
    </row>
    <row r="35" spans="8:8" s="150" ht="23.25" customFormat="1" customHeight="1">
      <c r="A35" s="169"/>
      <c r="B35" s="228" t="s">
        <v>226</v>
      </c>
      <c r="C35" s="153"/>
      <c r="D35" s="154">
        <f>F35+AS38-AS42+AS43</f>
        <v>0.0</v>
      </c>
      <c r="E35" s="155"/>
      <c r="F35" s="156">
        <v>0.0</v>
      </c>
      <c r="G35" s="218"/>
      <c r="H35" s="158"/>
      <c r="I35" s="159"/>
      <c r="J35" s="160"/>
      <c r="K35" s="161"/>
      <c r="L35" s="162"/>
      <c r="M35" s="163" t="s">
        <v>130</v>
      </c>
      <c r="N35" s="296"/>
      <c r="O35" s="296"/>
      <c r="P35" s="296"/>
      <c r="Q35" s="296"/>
      <c r="R35" s="296"/>
      <c r="S35" s="164"/>
      <c r="T35" s="164"/>
      <c r="U35" s="164"/>
      <c r="V35" s="164"/>
      <c r="W35" s="164"/>
      <c r="X35" s="164"/>
      <c r="Y35" s="165"/>
      <c r="Z35" s="164"/>
      <c r="AA35" s="164"/>
      <c r="AB35" s="164"/>
      <c r="AC35" s="164"/>
      <c r="AD35" s="165"/>
      <c r="AE35" s="164"/>
      <c r="AF35" s="164"/>
      <c r="AG35" s="164"/>
      <c r="AH35" s="164"/>
      <c r="AI35" s="164"/>
      <c r="AJ35" s="164"/>
      <c r="AK35" s="164"/>
      <c r="AL35" s="164"/>
      <c r="AM35" s="165"/>
      <c r="AN35" s="165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298"/>
      <c r="O36" s="298"/>
      <c r="P36" s="298"/>
      <c r="Q36" s="297"/>
      <c r="R36" s="297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306"/>
      <c r="AD36" s="306"/>
      <c r="AE36" s="306"/>
      <c r="AF36" s="307">
        <v>18000.0</v>
      </c>
      <c r="AG36" s="183">
        <v>18461.0</v>
      </c>
      <c r="AH36" s="183">
        <v>10840.0</v>
      </c>
      <c r="AI36" s="306"/>
      <c r="AJ36" s="306"/>
      <c r="AK36" s="306"/>
      <c r="AL36" s="306"/>
      <c r="AM36" s="306"/>
      <c r="AN36" s="183"/>
      <c r="AO36" s="183"/>
      <c r="AP36" s="183"/>
      <c r="AQ36" s="183"/>
      <c r="AR36" s="183"/>
      <c r="AS36" s="212">
        <f t="shared" si="10" ref="AS36:AS39">SUM(N36:AR36)</f>
        <v>47301.0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298">
        <f t="shared" si="11" ref="N37:AR37">N36-N38-N39</f>
        <v>0.0</v>
      </c>
      <c r="O37" s="299">
        <f t="shared" si="11"/>
        <v>0.0</v>
      </c>
      <c r="P37" s="299">
        <f t="shared" si="11"/>
        <v>0.0</v>
      </c>
      <c r="Q37" s="298"/>
      <c r="R37" s="298">
        <f t="shared" si="11"/>
        <v>0.0</v>
      </c>
      <c r="S37" s="182">
        <f t="shared" si="11"/>
        <v>0.0</v>
      </c>
      <c r="T37" s="182">
        <f t="shared" si="11"/>
        <v>0.0</v>
      </c>
      <c r="U37" s="182">
        <f t="shared" si="11"/>
        <v>0.0</v>
      </c>
      <c r="V37" s="182">
        <f t="shared" si="11"/>
        <v>0.0</v>
      </c>
      <c r="W37" s="182">
        <f t="shared" si="11"/>
        <v>0.0</v>
      </c>
      <c r="X37" s="182">
        <f t="shared" si="11"/>
        <v>0.0</v>
      </c>
      <c r="Y37" s="182">
        <f t="shared" si="11"/>
        <v>0.0</v>
      </c>
      <c r="Z37" s="182">
        <f t="shared" si="11"/>
        <v>0.0</v>
      </c>
      <c r="AA37" s="182">
        <f t="shared" si="11"/>
        <v>0.0</v>
      </c>
      <c r="AB37" s="182">
        <f t="shared" si="11"/>
        <v>0.0</v>
      </c>
      <c r="AC37" s="182">
        <f t="shared" si="11"/>
        <v>0.0</v>
      </c>
      <c r="AD37" s="182">
        <f t="shared" si="11"/>
        <v>0.0</v>
      </c>
      <c r="AE37" s="182">
        <f t="shared" si="11"/>
        <v>0.0</v>
      </c>
      <c r="AF37" s="308">
        <f t="shared" si="11"/>
        <v>0.0</v>
      </c>
      <c r="AG37" s="182">
        <f t="shared" si="11"/>
        <v>0.0</v>
      </c>
      <c r="AH37" s="182">
        <f t="shared" si="11"/>
        <v>0.0</v>
      </c>
      <c r="AI37" s="182">
        <f t="shared" si="11"/>
        <v>0.0</v>
      </c>
      <c r="AJ37" s="182">
        <f t="shared" si="11"/>
        <v>0.0</v>
      </c>
      <c r="AK37" s="182">
        <f t="shared" si="11"/>
        <v>0.0</v>
      </c>
      <c r="AL37" s="182">
        <f t="shared" si="11"/>
        <v>0.0</v>
      </c>
      <c r="AM37" s="182">
        <f t="shared" si="11"/>
        <v>0.0</v>
      </c>
      <c r="AN37" s="182">
        <f t="shared" si="11"/>
        <v>0.0</v>
      </c>
      <c r="AO37" s="182">
        <f t="shared" si="11"/>
        <v>0.0</v>
      </c>
      <c r="AP37" s="182">
        <f t="shared" si="11"/>
        <v>0.0</v>
      </c>
      <c r="AQ37" s="182">
        <f t="shared" si="11"/>
        <v>0.0</v>
      </c>
      <c r="AR37" s="182">
        <f t="shared" si="11"/>
        <v>0.0</v>
      </c>
      <c r="AS37" s="214">
        <f t="shared" si="10"/>
        <v>0.0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98"/>
      <c r="O38" s="298"/>
      <c r="P38" s="298"/>
      <c r="Q38" s="298"/>
      <c r="R38" s="298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306"/>
      <c r="AD38" s="306"/>
      <c r="AE38" s="306"/>
      <c r="AF38" s="307">
        <v>18000.0</v>
      </c>
      <c r="AG38" s="183">
        <v>18461.0</v>
      </c>
      <c r="AH38" s="183">
        <v>10840.0</v>
      </c>
      <c r="AI38" s="306"/>
      <c r="AJ38" s="306"/>
      <c r="AK38" s="306"/>
      <c r="AL38" s="306"/>
      <c r="AM38" s="306"/>
      <c r="AN38" s="182"/>
      <c r="AO38" s="182"/>
      <c r="AP38" s="182"/>
      <c r="AQ38" s="182"/>
      <c r="AR38" s="182"/>
      <c r="AS38" s="184">
        <f t="shared" si="10"/>
        <v>47301.0</v>
      </c>
      <c r="AT38" s="190">
        <f>(AS38/(AS36-AS37))*100%</f>
        <v>1.0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301"/>
      <c r="O39" s="301"/>
      <c r="P39" s="301"/>
      <c r="Q39" s="301"/>
      <c r="R39" s="301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215">
        <f t="shared" si="10"/>
        <v>0.0</v>
      </c>
      <c r="AT39" s="193">
        <f>(AS39/(AS36-AS37))*100%</f>
        <v>0.0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04"/>
      <c r="O40" s="305"/>
      <c r="P40" s="305"/>
      <c r="Q40" s="305"/>
      <c r="R40" s="305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207"/>
      <c r="AT40" s="208"/>
    </row>
    <row r="41" spans="8:8" s="150" ht="23.25" customFormat="1" customHeight="1">
      <c r="A41" s="169"/>
      <c r="B41" s="152" t="s">
        <v>171</v>
      </c>
      <c r="C41" s="153"/>
      <c r="D41" s="154">
        <f>F41+AS44-AS48+AS49</f>
        <v>47301.0</v>
      </c>
      <c r="E41" s="155"/>
      <c r="F41" s="156">
        <v>0.0</v>
      </c>
      <c r="G41" s="218"/>
      <c r="H41" s="158"/>
      <c r="I41" s="159"/>
      <c r="J41" s="160"/>
      <c r="K41" s="161"/>
      <c r="L41" s="162"/>
      <c r="M41" s="163" t="s">
        <v>130</v>
      </c>
      <c r="N41" s="296"/>
      <c r="O41" s="296"/>
      <c r="P41" s="296"/>
      <c r="Q41" s="296"/>
      <c r="R41" s="296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5"/>
      <c r="AN41" s="165"/>
      <c r="AO41" s="165"/>
      <c r="AP41" s="164"/>
      <c r="AQ41" s="164"/>
      <c r="AR41" s="166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297"/>
      <c r="O42" s="297"/>
      <c r="P42" s="297"/>
      <c r="Q42" s="297"/>
      <c r="R42" s="297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47301.0</v>
      </c>
      <c r="AK42" s="183"/>
      <c r="AL42" s="183"/>
      <c r="AM42" s="183"/>
      <c r="AN42" s="183"/>
      <c r="AO42" s="183"/>
      <c r="AP42" s="183"/>
      <c r="AQ42" s="183"/>
      <c r="AR42" s="183"/>
      <c r="AS42" s="212">
        <f t="shared" si="12" ref="AS42:AS45">SUM(N42:AR42)</f>
        <v>47301.0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98">
        <f t="shared" si="13" ref="N43:AR43">N42-N44-N45</f>
        <v>0.0</v>
      </c>
      <c r="O43" s="299">
        <f t="shared" si="13"/>
        <v>0.0</v>
      </c>
      <c r="P43" s="299">
        <f t="shared" si="13"/>
        <v>0.0</v>
      </c>
      <c r="Q43" s="298">
        <f t="shared" si="13"/>
        <v>0.0</v>
      </c>
      <c r="R43" s="298">
        <f t="shared" si="13"/>
        <v>0.0</v>
      </c>
      <c r="S43" s="182">
        <f t="shared" si="13"/>
        <v>0.0</v>
      </c>
      <c r="T43" s="182">
        <f t="shared" si="13"/>
        <v>0.0</v>
      </c>
      <c r="U43" s="182">
        <f t="shared" si="13"/>
        <v>0.0</v>
      </c>
      <c r="V43" s="182">
        <f t="shared" si="13"/>
        <v>0.0</v>
      </c>
      <c r="W43" s="182">
        <f t="shared" si="13"/>
        <v>0.0</v>
      </c>
      <c r="X43" s="182">
        <f t="shared" si="13"/>
        <v>0.0</v>
      </c>
      <c r="Y43" s="182">
        <f t="shared" si="13"/>
        <v>0.0</v>
      </c>
      <c r="Z43" s="182">
        <f t="shared" si="13"/>
        <v>0.0</v>
      </c>
      <c r="AA43" s="182">
        <f t="shared" si="13"/>
        <v>0.0</v>
      </c>
      <c r="AB43" s="182">
        <f t="shared" si="13"/>
        <v>0.0</v>
      </c>
      <c r="AC43" s="182">
        <f t="shared" si="13"/>
        <v>0.0</v>
      </c>
      <c r="AD43" s="182">
        <f t="shared" si="13"/>
        <v>0.0</v>
      </c>
      <c r="AE43" s="182">
        <f t="shared" si="13"/>
        <v>0.0</v>
      </c>
      <c r="AF43" s="182">
        <f t="shared" si="13"/>
        <v>0.0</v>
      </c>
      <c r="AG43" s="182">
        <f t="shared" si="13"/>
        <v>0.0</v>
      </c>
      <c r="AH43" s="182">
        <f t="shared" si="13"/>
        <v>0.0</v>
      </c>
      <c r="AI43" s="182">
        <f t="shared" si="13"/>
        <v>0.0</v>
      </c>
      <c r="AJ43" s="182">
        <f t="shared" si="13"/>
        <v>0.0</v>
      </c>
      <c r="AK43" s="182">
        <f t="shared" si="13"/>
        <v>0.0</v>
      </c>
      <c r="AL43" s="182">
        <f t="shared" si="13"/>
        <v>0.0</v>
      </c>
      <c r="AM43" s="182">
        <f t="shared" si="13"/>
        <v>0.0</v>
      </c>
      <c r="AN43" s="182">
        <f t="shared" si="13"/>
        <v>0.0</v>
      </c>
      <c r="AO43" s="182">
        <f t="shared" si="13"/>
        <v>0.0</v>
      </c>
      <c r="AP43" s="182">
        <f t="shared" si="13"/>
        <v>0.0</v>
      </c>
      <c r="AQ43" s="182">
        <f t="shared" si="13"/>
        <v>0.0</v>
      </c>
      <c r="AR43" s="182">
        <f t="shared" si="13"/>
        <v>0.0</v>
      </c>
      <c r="AS43" s="214">
        <f t="shared" si="12"/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298"/>
      <c r="O44" s="298"/>
      <c r="P44" s="298"/>
      <c r="Q44" s="298"/>
      <c r="R44" s="298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>
        <v>47301.0</v>
      </c>
      <c r="AK44" s="182"/>
      <c r="AL44" s="182"/>
      <c r="AM44" s="182"/>
      <c r="AN44" s="182"/>
      <c r="AO44" s="182"/>
      <c r="AP44" s="182"/>
      <c r="AQ44" s="182"/>
      <c r="AR44" s="182"/>
      <c r="AS44" s="184">
        <f t="shared" si="12"/>
        <v>47301.0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301"/>
      <c r="O45" s="301"/>
      <c r="P45" s="301"/>
      <c r="Q45" s="301"/>
      <c r="R45" s="301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>
        <v>0.0</v>
      </c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215">
        <f t="shared" si="12"/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04"/>
      <c r="O46" s="305"/>
      <c r="P46" s="305"/>
      <c r="Q46" s="305"/>
      <c r="R46" s="305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4"/>
      <c r="AS46" s="207"/>
      <c r="AT46" s="208"/>
    </row>
    <row r="47" spans="8:8" s="150" ht="23.25" customFormat="1" customHeight="1">
      <c r="A47" s="169"/>
      <c r="B47" s="228" t="s">
        <v>227</v>
      </c>
      <c r="C47" s="153"/>
      <c r="D47" s="154">
        <f>F47+AS50-AS54+AS55</f>
        <v>0.0</v>
      </c>
      <c r="E47" s="155"/>
      <c r="F47" s="156">
        <v>0.0</v>
      </c>
      <c r="G47" s="218" t="s">
        <v>254</v>
      </c>
      <c r="H47" s="158"/>
      <c r="I47" s="159"/>
      <c r="J47" s="160"/>
      <c r="K47" s="161"/>
      <c r="L47" s="162"/>
      <c r="M47" s="163" t="s">
        <v>130</v>
      </c>
      <c r="N47" s="296"/>
      <c r="O47" s="296"/>
      <c r="P47" s="296"/>
      <c r="Q47" s="296"/>
      <c r="R47" s="296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6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297"/>
      <c r="O48" s="297"/>
      <c r="P48" s="297"/>
      <c r="Q48" s="297"/>
      <c r="R48" s="297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 t="shared" si="14" ref="AS48:AS51">SUM(N48:AR48)</f>
        <v>0.0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298">
        <f t="shared" si="15" ref="N49:AR49">N48-N50-N51</f>
        <v>0.0</v>
      </c>
      <c r="O49" s="299">
        <f t="shared" si="15"/>
        <v>0.0</v>
      </c>
      <c r="P49" s="299">
        <f t="shared" si="15"/>
        <v>0.0</v>
      </c>
      <c r="Q49" s="298">
        <f t="shared" si="15"/>
        <v>0.0</v>
      </c>
      <c r="R49" s="298">
        <f t="shared" si="15"/>
        <v>0.0</v>
      </c>
      <c r="S49" s="182">
        <f t="shared" si="15"/>
        <v>0.0</v>
      </c>
      <c r="T49" s="182">
        <f t="shared" si="15"/>
        <v>0.0</v>
      </c>
      <c r="U49" s="182">
        <f t="shared" si="15"/>
        <v>0.0</v>
      </c>
      <c r="V49" s="182">
        <f t="shared" si="15"/>
        <v>0.0</v>
      </c>
      <c r="W49" s="182">
        <f t="shared" si="15"/>
        <v>0.0</v>
      </c>
      <c r="X49" s="182">
        <f t="shared" si="15"/>
        <v>0.0</v>
      </c>
      <c r="Y49" s="182">
        <f t="shared" si="15"/>
        <v>0.0</v>
      </c>
      <c r="Z49" s="182">
        <f t="shared" si="15"/>
        <v>0.0</v>
      </c>
      <c r="AA49" s="182">
        <f t="shared" si="15"/>
        <v>0.0</v>
      </c>
      <c r="AB49" s="182">
        <f t="shared" si="15"/>
        <v>0.0</v>
      </c>
      <c r="AC49" s="182">
        <f t="shared" si="15"/>
        <v>0.0</v>
      </c>
      <c r="AD49" s="182">
        <f t="shared" si="15"/>
        <v>0.0</v>
      </c>
      <c r="AE49" s="182">
        <f t="shared" si="15"/>
        <v>0.0</v>
      </c>
      <c r="AF49" s="182">
        <f t="shared" si="15"/>
        <v>0.0</v>
      </c>
      <c r="AG49" s="182">
        <f t="shared" si="15"/>
        <v>0.0</v>
      </c>
      <c r="AH49" s="182">
        <f t="shared" si="15"/>
        <v>0.0</v>
      </c>
      <c r="AI49" s="182">
        <f t="shared" si="15"/>
        <v>0.0</v>
      </c>
      <c r="AJ49" s="182">
        <f t="shared" si="15"/>
        <v>0.0</v>
      </c>
      <c r="AK49" s="182">
        <f t="shared" si="15"/>
        <v>0.0</v>
      </c>
      <c r="AL49" s="182">
        <f t="shared" si="15"/>
        <v>0.0</v>
      </c>
      <c r="AM49" s="182">
        <f t="shared" si="15"/>
        <v>0.0</v>
      </c>
      <c r="AN49" s="182">
        <f t="shared" si="15"/>
        <v>0.0</v>
      </c>
      <c r="AO49" s="182">
        <f t="shared" si="15"/>
        <v>0.0</v>
      </c>
      <c r="AP49" s="182">
        <f t="shared" si="15"/>
        <v>0.0</v>
      </c>
      <c r="AQ49" s="182">
        <f t="shared" si="15"/>
        <v>0.0</v>
      </c>
      <c r="AR49" s="182">
        <f t="shared" si="15"/>
        <v>0.0</v>
      </c>
      <c r="AS49" s="214">
        <f t="shared" si="14"/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298"/>
      <c r="O50" s="298"/>
      <c r="P50" s="298"/>
      <c r="Q50" s="298"/>
      <c r="R50" s="298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4">
        <f t="shared" si="14"/>
        <v>0.0</v>
      </c>
      <c r="AT50" s="190" t="e">
        <f>(AS50/(AS48-AS49))*100%</f>
        <v>#DIV/0!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301"/>
      <c r="O51" s="301"/>
      <c r="P51" s="301"/>
      <c r="Q51" s="301"/>
      <c r="R51" s="301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215">
        <f t="shared" si="14"/>
        <v>0.0</v>
      </c>
      <c r="AT51" s="193" t="e">
        <f>(AS51/(AS48-AS49))*100%</f>
        <v>#DIV/0!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04"/>
      <c r="O52" s="305"/>
      <c r="P52" s="305"/>
      <c r="Q52" s="305"/>
      <c r="R52" s="305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4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296"/>
      <c r="O53" s="296"/>
      <c r="P53" s="296"/>
      <c r="Q53" s="296"/>
      <c r="R53" s="296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6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297"/>
      <c r="O54" s="297"/>
      <c r="P54" s="297"/>
      <c r="Q54" s="297"/>
      <c r="R54" s="297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 t="shared" si="16" ref="AS54:AS57">SUM(N54:AR54)</f>
        <v>0.0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98">
        <f t="shared" si="17" ref="N55:AR55">N54-N56-N57</f>
        <v>0.0</v>
      </c>
      <c r="O55" s="299">
        <f t="shared" si="17"/>
        <v>0.0</v>
      </c>
      <c r="P55" s="299">
        <f t="shared" si="17"/>
        <v>0.0</v>
      </c>
      <c r="Q55" s="298">
        <f t="shared" si="17"/>
        <v>0.0</v>
      </c>
      <c r="R55" s="298">
        <f t="shared" si="17"/>
        <v>0.0</v>
      </c>
      <c r="S55" s="182">
        <f t="shared" si="17"/>
        <v>0.0</v>
      </c>
      <c r="T55" s="182">
        <f t="shared" si="17"/>
        <v>0.0</v>
      </c>
      <c r="U55" s="182">
        <f t="shared" si="17"/>
        <v>0.0</v>
      </c>
      <c r="V55" s="182">
        <f t="shared" si="17"/>
        <v>0.0</v>
      </c>
      <c r="W55" s="182">
        <f t="shared" si="17"/>
        <v>0.0</v>
      </c>
      <c r="X55" s="182">
        <f t="shared" si="17"/>
        <v>0.0</v>
      </c>
      <c r="Y55" s="182">
        <f t="shared" si="17"/>
        <v>0.0</v>
      </c>
      <c r="Z55" s="182">
        <f t="shared" si="17"/>
        <v>0.0</v>
      </c>
      <c r="AA55" s="182">
        <f t="shared" si="17"/>
        <v>0.0</v>
      </c>
      <c r="AB55" s="182">
        <f t="shared" si="17"/>
        <v>0.0</v>
      </c>
      <c r="AC55" s="182">
        <f t="shared" si="17"/>
        <v>0.0</v>
      </c>
      <c r="AD55" s="182">
        <f t="shared" si="17"/>
        <v>0.0</v>
      </c>
      <c r="AE55" s="182">
        <f t="shared" si="17"/>
        <v>0.0</v>
      </c>
      <c r="AF55" s="182">
        <f t="shared" si="17"/>
        <v>0.0</v>
      </c>
      <c r="AG55" s="182">
        <f t="shared" si="17"/>
        <v>0.0</v>
      </c>
      <c r="AH55" s="182">
        <f t="shared" si="17"/>
        <v>0.0</v>
      </c>
      <c r="AI55" s="182">
        <f t="shared" si="17"/>
        <v>0.0</v>
      </c>
      <c r="AJ55" s="182">
        <f t="shared" si="17"/>
        <v>0.0</v>
      </c>
      <c r="AK55" s="182">
        <f t="shared" si="17"/>
        <v>0.0</v>
      </c>
      <c r="AL55" s="182">
        <f t="shared" si="17"/>
        <v>0.0</v>
      </c>
      <c r="AM55" s="182">
        <f t="shared" si="17"/>
        <v>0.0</v>
      </c>
      <c r="AN55" s="182">
        <f t="shared" si="17"/>
        <v>0.0</v>
      </c>
      <c r="AO55" s="182">
        <f t="shared" si="17"/>
        <v>0.0</v>
      </c>
      <c r="AP55" s="182">
        <f t="shared" si="17"/>
        <v>0.0</v>
      </c>
      <c r="AQ55" s="182">
        <f t="shared" si="17"/>
        <v>0.0</v>
      </c>
      <c r="AR55" s="182">
        <f t="shared" si="17"/>
        <v>0.0</v>
      </c>
      <c r="AS55" s="214">
        <f t="shared" si="16"/>
        <v>0.0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298"/>
      <c r="O56" s="298"/>
      <c r="P56" s="298"/>
      <c r="Q56" s="298"/>
      <c r="R56" s="298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4">
        <f t="shared" si="16"/>
        <v>0.0</v>
      </c>
      <c r="AT56" s="190" t="e">
        <f>(AS56/(AS54-AS55))*100%</f>
        <v>#DIV/0!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301"/>
      <c r="O57" s="301"/>
      <c r="P57" s="301"/>
      <c r="Q57" s="301"/>
      <c r="R57" s="301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215">
        <f t="shared" si="16"/>
        <v>0.0</v>
      </c>
      <c r="AT57" s="193" t="e">
        <f>(AS57/(AS54-AS55))*100%</f>
        <v>#DIV/0!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48787.0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309"/>
      <c r="O58" s="309"/>
      <c r="P58" s="309"/>
      <c r="Q58" s="309"/>
      <c r="R58" s="309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310"/>
      <c r="O59" s="310"/>
      <c r="P59" s="310"/>
      <c r="Q59" s="310"/>
      <c r="R59" s="310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2"/>
      <c r="AS59" s="263">
        <f>SUM(N59:AR59)</f>
        <v>0.0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9" orientation="landscape"/>
  <legacy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R9" state="frozen" activePane="bottomRight"/>
      <selection pane="bottomRight" activeCell="R18" sqref="R18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3.8515625" style="116"/>
    <col min="5" max="5" customWidth="1" width="13.0" style="116"/>
    <col min="6" max="6" customWidth="1" width="18.425781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15" customWidth="1" width="11.0" style="116"/>
    <col min="16" max="16" customWidth="1" width="13.425781" style="116"/>
    <col min="17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515643-07-12 
SUP11C, T20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255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6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182">
        <f t="shared" si="0" ref="N7:AR7">N6-N8-N9</f>
        <v>0.0</v>
      </c>
      <c r="O7" s="278">
        <f t="shared" si="0"/>
        <v>0.0</v>
      </c>
      <c r="P7" s="278">
        <f t="shared" si="0"/>
        <v>0.0</v>
      </c>
      <c r="Q7" s="182">
        <f t="shared" si="0"/>
        <v>0.0</v>
      </c>
      <c r="R7" s="182">
        <f t="shared" si="0"/>
        <v>0.0</v>
      </c>
      <c r="S7" s="182">
        <f t="shared" si="0"/>
        <v>0.0</v>
      </c>
      <c r="T7" s="182">
        <f t="shared" si="0"/>
        <v>0.0</v>
      </c>
      <c r="U7" s="182">
        <f t="shared" si="0"/>
        <v>0.0</v>
      </c>
      <c r="V7" s="182">
        <f t="shared" si="0"/>
        <v>0.0</v>
      </c>
      <c r="W7" s="182">
        <f t="shared" si="0"/>
        <v>0.0</v>
      </c>
      <c r="X7" s="182">
        <f t="shared" si="0"/>
        <v>0.0</v>
      </c>
      <c r="Y7" s="182">
        <f t="shared" si="0"/>
        <v>0.0</v>
      </c>
      <c r="Z7" s="182">
        <f t="shared" si="0"/>
        <v>0.0</v>
      </c>
      <c r="AA7" s="182">
        <f t="shared" si="0"/>
        <v>0.0</v>
      </c>
      <c r="AB7" s="182">
        <f t="shared" si="0"/>
        <v>0.0</v>
      </c>
      <c r="AC7" s="182">
        <f t="shared" si="0"/>
        <v>0.0</v>
      </c>
      <c r="AD7" s="182">
        <f t="shared" si="0"/>
        <v>0.0</v>
      </c>
      <c r="AE7" s="182">
        <f t="shared" si="0"/>
        <v>0.0</v>
      </c>
      <c r="AF7" s="182">
        <f t="shared" si="0"/>
        <v>0.0</v>
      </c>
      <c r="AG7" s="182">
        <f t="shared" si="0"/>
        <v>0.0</v>
      </c>
      <c r="AH7" s="182">
        <f t="shared" si="0"/>
        <v>0.0</v>
      </c>
      <c r="AI7" s="182">
        <f t="shared" si="0"/>
        <v>0.0</v>
      </c>
      <c r="AJ7" s="182">
        <f t="shared" si="0"/>
        <v>0.0</v>
      </c>
      <c r="AK7" s="182">
        <f t="shared" si="0"/>
        <v>0.0</v>
      </c>
      <c r="AL7" s="182">
        <f t="shared" si="0"/>
        <v>0.0</v>
      </c>
      <c r="AM7" s="182">
        <f t="shared" si="0"/>
        <v>0.0</v>
      </c>
      <c r="AN7" s="182">
        <f t="shared" si="0"/>
        <v>0.0</v>
      </c>
      <c r="AO7" s="182">
        <f t="shared" si="0"/>
        <v>0.0</v>
      </c>
      <c r="AP7" s="182">
        <f t="shared" si="0"/>
        <v>0.0</v>
      </c>
      <c r="AQ7" s="182">
        <f t="shared" si="0"/>
        <v>0.0</v>
      </c>
      <c r="AR7" s="182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182"/>
      <c r="O8" s="182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189">
        <f t="shared" si="1" ref="AS8:AS15"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192"/>
      <c r="O9" s="192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3"/>
      <c r="AR9" s="303"/>
      <c r="AS9" s="184">
        <f t="shared" si="1"/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206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4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154">
        <f>F11+AS14-AS18+AS19</f>
        <v>-115852.0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7"/>
      <c r="AT11" s="168"/>
    </row>
    <row r="12" spans="8:8" s="150" ht="23.25" customFormat="1" customHeight="1">
      <c r="A12" s="169"/>
      <c r="B12" s="210"/>
      <c r="C12" s="171"/>
      <c r="D12" s="172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225"/>
      <c r="AQ12" s="183"/>
      <c r="AR12" s="183"/>
      <c r="AS12" s="212">
        <f t="shared" si="1"/>
        <v>0.0</v>
      </c>
      <c r="AT12" s="185"/>
    </row>
    <row r="13" spans="8:8" s="150" ht="23.25" customFormat="1" customHeight="1">
      <c r="A13" s="169"/>
      <c r="B13" s="210"/>
      <c r="C13" s="171"/>
      <c r="D13" s="172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182">
        <f t="shared" si="2" ref="N13:AR13">N12-N14-N15</f>
        <v>0.0</v>
      </c>
      <c r="O13" s="278">
        <f t="shared" si="2"/>
        <v>0.0</v>
      </c>
      <c r="P13" s="278">
        <f t="shared" si="2"/>
        <v>0.0</v>
      </c>
      <c r="Q13" s="182">
        <f t="shared" si="2"/>
        <v>0.0</v>
      </c>
      <c r="R13" s="182">
        <f t="shared" si="2"/>
        <v>0.0</v>
      </c>
      <c r="S13" s="182">
        <f t="shared" si="2"/>
        <v>0.0</v>
      </c>
      <c r="T13" s="182">
        <f t="shared" si="2"/>
        <v>0.0</v>
      </c>
      <c r="U13" s="182">
        <f t="shared" si="2"/>
        <v>0.0</v>
      </c>
      <c r="V13" s="182">
        <f t="shared" si="2"/>
        <v>0.0</v>
      </c>
      <c r="W13" s="182">
        <f t="shared" si="2"/>
        <v>0.0</v>
      </c>
      <c r="X13" s="182">
        <f t="shared" si="2"/>
        <v>0.0</v>
      </c>
      <c r="Y13" s="182">
        <f t="shared" si="2"/>
        <v>0.0</v>
      </c>
      <c r="Z13" s="182">
        <f t="shared" si="2"/>
        <v>0.0</v>
      </c>
      <c r="AA13" s="182">
        <f t="shared" si="2"/>
        <v>0.0</v>
      </c>
      <c r="AB13" s="182">
        <f t="shared" si="2"/>
        <v>0.0</v>
      </c>
      <c r="AC13" s="182">
        <f t="shared" si="2"/>
        <v>0.0</v>
      </c>
      <c r="AD13" s="182">
        <f t="shared" si="2"/>
        <v>0.0</v>
      </c>
      <c r="AE13" s="182">
        <f t="shared" si="2"/>
        <v>0.0</v>
      </c>
      <c r="AF13" s="182">
        <f t="shared" si="2"/>
        <v>0.0</v>
      </c>
      <c r="AG13" s="182">
        <f t="shared" si="2"/>
        <v>0.0</v>
      </c>
      <c r="AH13" s="182">
        <f t="shared" si="2"/>
        <v>0.0</v>
      </c>
      <c r="AI13" s="182">
        <f t="shared" si="2"/>
        <v>0.0</v>
      </c>
      <c r="AJ13" s="182">
        <f t="shared" si="2"/>
        <v>0.0</v>
      </c>
      <c r="AK13" s="182">
        <f t="shared" si="2"/>
        <v>0.0</v>
      </c>
      <c r="AL13" s="182">
        <f t="shared" si="2"/>
        <v>0.0</v>
      </c>
      <c r="AM13" s="182">
        <f t="shared" si="2"/>
        <v>0.0</v>
      </c>
      <c r="AN13" s="182">
        <f t="shared" si="2"/>
        <v>0.0</v>
      </c>
      <c r="AO13" s="182">
        <f t="shared" si="2"/>
        <v>0.0</v>
      </c>
      <c r="AP13" s="182">
        <f t="shared" si="2"/>
        <v>0.0</v>
      </c>
      <c r="AQ13" s="182">
        <f t="shared" si="2"/>
        <v>0.0</v>
      </c>
      <c r="AR13" s="182">
        <f t="shared" si="2"/>
        <v>0.0</v>
      </c>
      <c r="AS13" s="214">
        <f t="shared" si="1"/>
        <v>0.0</v>
      </c>
      <c r="AT13" s="187"/>
    </row>
    <row r="14" spans="8:8" s="150" ht="23.25" customFormat="1" customHeight="1">
      <c r="A14" s="169"/>
      <c r="B14" s="210"/>
      <c r="C14" s="171"/>
      <c r="D14" s="172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3"/>
      <c r="AQ14" s="182"/>
      <c r="AR14" s="182"/>
      <c r="AS14" s="184">
        <f t="shared" si="1"/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172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220"/>
      <c r="AQ15" s="192"/>
      <c r="AR15" s="192"/>
      <c r="AS15" s="215">
        <f t="shared" si="1"/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196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206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4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0.0</v>
      </c>
      <c r="E17" s="155"/>
      <c r="F17" s="156">
        <v>0.0</v>
      </c>
      <c r="G17" s="218"/>
      <c r="H17" s="158"/>
      <c r="I17" s="159"/>
      <c r="J17" s="160"/>
      <c r="K17" s="161"/>
      <c r="L17" s="162"/>
      <c r="M17" s="163" t="s">
        <v>130</v>
      </c>
      <c r="N17" s="165"/>
      <c r="O17" s="165"/>
      <c r="P17" s="165"/>
      <c r="Q17" s="165"/>
      <c r="R17" s="165"/>
      <c r="S17" s="165"/>
      <c r="T17" s="165" t="s">
        <v>256</v>
      </c>
      <c r="U17" s="165" t="s">
        <v>143</v>
      </c>
      <c r="V17" s="165" t="s">
        <v>144</v>
      </c>
      <c r="W17" s="165"/>
      <c r="X17" s="165" t="s">
        <v>145</v>
      </c>
      <c r="Y17" s="165" t="s">
        <v>146</v>
      </c>
      <c r="Z17" s="165" t="s">
        <v>247</v>
      </c>
      <c r="AA17" s="165"/>
      <c r="AB17" s="311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183">
        <v>8413.0</v>
      </c>
      <c r="O18" s="183"/>
      <c r="P18" s="183"/>
      <c r="Q18" s="312"/>
      <c r="R18" s="182">
        <f>3210+2682</f>
        <v>5892.0</v>
      </c>
      <c r="S18" s="183"/>
      <c r="T18" s="183">
        <v>8000.0</v>
      </c>
      <c r="U18" s="183">
        <f t="shared" si="3" ref="U18:Y18">8000*2</f>
        <v>16000.0</v>
      </c>
      <c r="V18" s="183">
        <f t="shared" si="3"/>
        <v>16000.0</v>
      </c>
      <c r="W18" s="183"/>
      <c r="X18" s="183">
        <f t="shared" si="3"/>
        <v>16000.0</v>
      </c>
      <c r="Y18" s="183">
        <f>8000</f>
        <v>8000.0</v>
      </c>
      <c r="Z18" s="183">
        <f t="shared" si="4" ref="Z18:AB18">8000*2</f>
        <v>16000.0</v>
      </c>
      <c r="AA18" s="183">
        <f t="shared" si="4"/>
        <v>16000.0</v>
      </c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212">
        <f>SUM(N18:AR18)</f>
        <v>110305.0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182">
        <f t="shared" si="5" ref="N19:AR19">N18-N20-N21</f>
        <v>0.0</v>
      </c>
      <c r="O19" s="278">
        <f t="shared" si="5"/>
        <v>0.0</v>
      </c>
      <c r="P19" s="278">
        <f t="shared" si="5"/>
        <v>0.0</v>
      </c>
      <c r="Q19" s="182">
        <f t="shared" si="5"/>
        <v>0.0</v>
      </c>
      <c r="R19" s="182">
        <f t="shared" si="5"/>
        <v>0.0</v>
      </c>
      <c r="S19" s="182">
        <f t="shared" si="5"/>
        <v>0.0</v>
      </c>
      <c r="T19" s="182">
        <f t="shared" si="5"/>
        <v>6020.0</v>
      </c>
      <c r="U19" s="182">
        <f t="shared" si="5"/>
        <v>-3079.0</v>
      </c>
      <c r="V19" s="182">
        <f t="shared" si="5"/>
        <v>-255.0</v>
      </c>
      <c r="W19" s="182">
        <f t="shared" si="5"/>
        <v>0.0</v>
      </c>
      <c r="X19" s="182">
        <f t="shared" si="5"/>
        <v>-4052.0</v>
      </c>
      <c r="Y19" s="182">
        <f t="shared" si="5"/>
        <v>-1506.0</v>
      </c>
      <c r="Z19" s="182">
        <f t="shared" si="5"/>
        <v>-2710.0</v>
      </c>
      <c r="AA19" s="182">
        <f t="shared" si="5"/>
        <v>35.0</v>
      </c>
      <c r="AB19" s="182">
        <f t="shared" si="5"/>
        <v>0.0</v>
      </c>
      <c r="AC19" s="182">
        <f t="shared" si="5"/>
        <v>0.0</v>
      </c>
      <c r="AD19" s="182">
        <f t="shared" si="5"/>
        <v>0.0</v>
      </c>
      <c r="AE19" s="182">
        <f t="shared" si="5"/>
        <v>0.0</v>
      </c>
      <c r="AF19" s="182">
        <f t="shared" si="5"/>
        <v>0.0</v>
      </c>
      <c r="AG19" s="182">
        <f t="shared" si="5"/>
        <v>0.0</v>
      </c>
      <c r="AH19" s="182">
        <f t="shared" si="5"/>
        <v>0.0</v>
      </c>
      <c r="AI19" s="182">
        <f t="shared" si="5"/>
        <v>0.0</v>
      </c>
      <c r="AJ19" s="182">
        <f t="shared" si="5"/>
        <v>0.0</v>
      </c>
      <c r="AK19" s="182">
        <f t="shared" si="5"/>
        <v>0.0</v>
      </c>
      <c r="AL19" s="182">
        <f t="shared" si="5"/>
        <v>0.0</v>
      </c>
      <c r="AM19" s="182">
        <f t="shared" si="5"/>
        <v>0.0</v>
      </c>
      <c r="AN19" s="182">
        <f t="shared" si="5"/>
        <v>0.0</v>
      </c>
      <c r="AO19" s="182">
        <f t="shared" si="5"/>
        <v>0.0</v>
      </c>
      <c r="AP19" s="182">
        <f t="shared" si="5"/>
        <v>0.0</v>
      </c>
      <c r="AQ19" s="182">
        <f t="shared" si="5"/>
        <v>0.0</v>
      </c>
      <c r="AR19" s="182">
        <f t="shared" si="5"/>
        <v>0.0</v>
      </c>
      <c r="AS19" s="214">
        <f>SUM(N19:AR19)</f>
        <v>-5547.0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182">
        <v>8413.0</v>
      </c>
      <c r="O20" s="182"/>
      <c r="P20" s="182"/>
      <c r="Q20" s="313"/>
      <c r="R20" s="182">
        <f>3210+2682</f>
        <v>5892.0</v>
      </c>
      <c r="S20" s="182"/>
      <c r="T20" s="182">
        <v>1980.0</v>
      </c>
      <c r="U20" s="182">
        <f>9397+9678</f>
        <v>19075.0</v>
      </c>
      <c r="V20" s="182">
        <f>8300+7949</f>
        <v>16249.0</v>
      </c>
      <c r="W20" s="182"/>
      <c r="X20" s="220">
        <f>10053+9996</f>
        <v>20049.0</v>
      </c>
      <c r="Y20" s="182">
        <f>9505</f>
        <v>9505.0</v>
      </c>
      <c r="Z20" s="182">
        <f>9672+9038</f>
        <v>18710.0</v>
      </c>
      <c r="AA20" s="182">
        <f>7931+8031</f>
        <v>15962.0</v>
      </c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4">
        <f>SUM(N20:AR20)</f>
        <v>115835.0</v>
      </c>
      <c r="AT20" s="190">
        <f>(AS20/(AS18-AS19))*100%</f>
        <v>0.999853261057211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192"/>
      <c r="O21" s="192"/>
      <c r="P21" s="192"/>
      <c r="Q21" s="314"/>
      <c r="R21" s="192"/>
      <c r="S21" s="192"/>
      <c r="T21" s="192">
        <v>0.0</v>
      </c>
      <c r="U21" s="192">
        <f>2+2</f>
        <v>4.0</v>
      </c>
      <c r="V21" s="192">
        <f>4+2</f>
        <v>6.0</v>
      </c>
      <c r="W21" s="192"/>
      <c r="X21" s="192">
        <v>3.0</v>
      </c>
      <c r="Y21" s="192">
        <v>1.0</v>
      </c>
      <c r="Z21" s="192"/>
      <c r="AA21" s="192">
        <f>2+1</f>
        <v>3.0</v>
      </c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215">
        <f>SUM(N21:AR21)</f>
        <v>17.0</v>
      </c>
      <c r="AT21" s="193">
        <f>(AS21/(AS18-AS19))*100%</f>
        <v>1.4673894278907572E-4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206"/>
      <c r="O22" s="223"/>
      <c r="P22" s="223"/>
      <c r="Q22" s="315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4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154">
        <f>F23+AS26-AS30+AS31</f>
        <v>0.0</v>
      </c>
      <c r="E23" s="155"/>
      <c r="F23" s="156">
        <v>33342.0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165"/>
      <c r="O23" s="165"/>
      <c r="P23" s="165"/>
      <c r="Q23" s="315"/>
      <c r="R23" s="165"/>
      <c r="S23" s="165"/>
      <c r="T23" s="165"/>
      <c r="U23" s="165" t="s">
        <v>153</v>
      </c>
      <c r="V23" s="165" t="s">
        <v>202</v>
      </c>
      <c r="W23" s="165"/>
      <c r="X23" s="165" t="s">
        <v>155</v>
      </c>
      <c r="Y23" s="165"/>
      <c r="Z23" s="165" t="s">
        <v>257</v>
      </c>
      <c r="AA23" s="165"/>
      <c r="AB23" s="165"/>
      <c r="AC23" s="165" t="s">
        <v>204</v>
      </c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7"/>
      <c r="AT23" s="168"/>
    </row>
    <row r="24" spans="8:8" s="150" ht="23.25" customFormat="1" customHeight="1">
      <c r="A24" s="169"/>
      <c r="B24" s="170"/>
      <c r="C24" s="171"/>
      <c r="D24" s="172"/>
      <c r="E24" s="173"/>
      <c r="F24" s="174"/>
      <c r="G24" s="316"/>
      <c r="H24" s="176"/>
      <c r="I24" s="177"/>
      <c r="J24" s="178"/>
      <c r="K24" s="179"/>
      <c r="L24" s="180"/>
      <c r="M24" s="211" t="s">
        <v>131</v>
      </c>
      <c r="N24" s="183"/>
      <c r="O24" s="183"/>
      <c r="P24" s="183"/>
      <c r="Q24" s="225"/>
      <c r="R24" s="182">
        <f>7000-2034+2682</f>
        <v>7648.0</v>
      </c>
      <c r="S24" s="183"/>
      <c r="T24" s="183"/>
      <c r="U24" s="183">
        <f>12245+5806</f>
        <v>18051.0</v>
      </c>
      <c r="V24" s="183">
        <v>17457.0</v>
      </c>
      <c r="W24" s="183"/>
      <c r="X24" s="183">
        <f>16535+13412</f>
        <v>29947.0</v>
      </c>
      <c r="Y24" s="183"/>
      <c r="Z24" s="183">
        <f>11476+14663</f>
        <v>26139.0</v>
      </c>
      <c r="AA24" s="183"/>
      <c r="AB24" s="183"/>
      <c r="AC24" s="183">
        <v>16229.0</v>
      </c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212">
        <f>SUM(N24:AR24)</f>
        <v>115471.0</v>
      </c>
      <c r="AT24" s="185"/>
    </row>
    <row r="25" spans="8:8" s="150" ht="23.25" customFormat="1" customHeight="1">
      <c r="A25" s="169"/>
      <c r="B25" s="170"/>
      <c r="C25" s="171"/>
      <c r="D25" s="172"/>
      <c r="E25" s="173"/>
      <c r="F25" s="174"/>
      <c r="G25" s="316"/>
      <c r="H25" s="176"/>
      <c r="I25" s="177"/>
      <c r="J25" s="178"/>
      <c r="K25" s="179"/>
      <c r="L25" s="180"/>
      <c r="M25" s="213" t="s">
        <v>132</v>
      </c>
      <c r="N25" s="182">
        <f t="shared" si="6" ref="N25:AR25">N24-N26-N27</f>
        <v>0.0</v>
      </c>
      <c r="O25" s="278">
        <f t="shared" si="6"/>
        <v>0.0</v>
      </c>
      <c r="P25" s="278">
        <f t="shared" si="6"/>
        <v>0.0</v>
      </c>
      <c r="Q25" s="182">
        <f t="shared" si="6"/>
        <v>0.0</v>
      </c>
      <c r="R25" s="182">
        <f t="shared" si="6"/>
        <v>0.0</v>
      </c>
      <c r="S25" s="182">
        <f t="shared" si="6"/>
        <v>0.0</v>
      </c>
      <c r="T25" s="182">
        <f t="shared" si="6"/>
        <v>0.0</v>
      </c>
      <c r="U25" s="182">
        <f t="shared" si="6"/>
        <v>-18.0</v>
      </c>
      <c r="V25" s="182">
        <f t="shared" si="6"/>
        <v>-65.0</v>
      </c>
      <c r="W25" s="182">
        <f t="shared" si="6"/>
        <v>0.0</v>
      </c>
      <c r="X25" s="182">
        <f t="shared" si="6"/>
        <v>-228.0</v>
      </c>
      <c r="Y25" s="182">
        <f t="shared" si="6"/>
        <v>0.0</v>
      </c>
      <c r="Z25" s="182">
        <f t="shared" si="6"/>
        <v>-28.0</v>
      </c>
      <c r="AA25" s="182">
        <f t="shared" si="6"/>
        <v>0.0</v>
      </c>
      <c r="AB25" s="182">
        <f t="shared" si="6"/>
        <v>0.0</v>
      </c>
      <c r="AC25" s="182">
        <f t="shared" si="6"/>
        <v>-25.0</v>
      </c>
      <c r="AD25" s="182">
        <f t="shared" si="6"/>
        <v>0.0</v>
      </c>
      <c r="AE25" s="182">
        <f t="shared" si="6"/>
        <v>0.0</v>
      </c>
      <c r="AF25" s="182">
        <f t="shared" si="6"/>
        <v>0.0</v>
      </c>
      <c r="AG25" s="182">
        <f t="shared" si="6"/>
        <v>0.0</v>
      </c>
      <c r="AH25" s="182">
        <f t="shared" si="6"/>
        <v>0.0</v>
      </c>
      <c r="AI25" s="182">
        <f t="shared" si="6"/>
        <v>0.0</v>
      </c>
      <c r="AJ25" s="182">
        <f t="shared" si="6"/>
        <v>0.0</v>
      </c>
      <c r="AK25" s="182">
        <f t="shared" si="6"/>
        <v>0.0</v>
      </c>
      <c r="AL25" s="182">
        <f t="shared" si="6"/>
        <v>0.0</v>
      </c>
      <c r="AM25" s="182">
        <f t="shared" si="6"/>
        <v>0.0</v>
      </c>
      <c r="AN25" s="182">
        <f t="shared" si="6"/>
        <v>0.0</v>
      </c>
      <c r="AO25" s="182">
        <f t="shared" si="6"/>
        <v>0.0</v>
      </c>
      <c r="AP25" s="182">
        <f t="shared" si="6"/>
        <v>0.0</v>
      </c>
      <c r="AQ25" s="182">
        <f t="shared" si="6"/>
        <v>0.0</v>
      </c>
      <c r="AR25" s="182">
        <f t="shared" si="6"/>
        <v>0.0</v>
      </c>
      <c r="AS25" s="214">
        <f>SUM(N25:AR25)</f>
        <v>-364.0</v>
      </c>
      <c r="AT25" s="187"/>
    </row>
    <row r="26" spans="8:8" s="150" ht="23.25" customFormat="1" customHeight="1">
      <c r="A26" s="169"/>
      <c r="B26" s="170"/>
      <c r="C26" s="171"/>
      <c r="D26" s="172"/>
      <c r="E26" s="173"/>
      <c r="F26" s="174"/>
      <c r="G26" s="316"/>
      <c r="H26" s="176"/>
      <c r="I26" s="177"/>
      <c r="J26" s="178"/>
      <c r="K26" s="179"/>
      <c r="L26" s="180"/>
      <c r="M26" s="186" t="s">
        <v>133</v>
      </c>
      <c r="N26" s="182"/>
      <c r="O26" s="182"/>
      <c r="P26" s="182"/>
      <c r="Q26" s="225"/>
      <c r="R26" s="182">
        <f>7000-2034+2682</f>
        <v>7648.0</v>
      </c>
      <c r="S26" s="182"/>
      <c r="T26" s="182"/>
      <c r="U26" s="182">
        <f>12245+5806</f>
        <v>18051.0</v>
      </c>
      <c r="V26" s="182">
        <v>17457.0</v>
      </c>
      <c r="W26" s="182"/>
      <c r="X26" s="183">
        <f>16535+13412</f>
        <v>29947.0</v>
      </c>
      <c r="Y26" s="182"/>
      <c r="Z26" s="183">
        <f>11476+14663</f>
        <v>26139.0</v>
      </c>
      <c r="AA26" s="182"/>
      <c r="AB26" s="182"/>
      <c r="AC26" s="182">
        <v>16229.0</v>
      </c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4">
        <f>SUM(N26:AR26)</f>
        <v>115471.0</v>
      </c>
      <c r="AT26" s="190">
        <f>(AS26/(AS24-AS25))*100%</f>
        <v>0.996857599171235</v>
      </c>
    </row>
    <row r="27" spans="8:8" s="150" ht="23.25" customFormat="1" customHeight="1">
      <c r="A27" s="169"/>
      <c r="B27" s="170"/>
      <c r="C27" s="171"/>
      <c r="D27" s="172"/>
      <c r="E27" s="173"/>
      <c r="F27" s="174"/>
      <c r="G27" s="316"/>
      <c r="H27" s="176"/>
      <c r="I27" s="177"/>
      <c r="J27" s="178"/>
      <c r="K27" s="179"/>
      <c r="L27" s="180"/>
      <c r="M27" s="191" t="s">
        <v>134</v>
      </c>
      <c r="N27" s="192"/>
      <c r="O27" s="192"/>
      <c r="P27" s="192"/>
      <c r="Q27" s="315"/>
      <c r="R27" s="192"/>
      <c r="S27" s="192"/>
      <c r="T27" s="192"/>
      <c r="U27" s="192">
        <v>18.0</v>
      </c>
      <c r="V27" s="192">
        <v>65.0</v>
      </c>
      <c r="W27" s="192"/>
      <c r="X27" s="192">
        <v>228.0</v>
      </c>
      <c r="Y27" s="192"/>
      <c r="Z27" s="192">
        <f>8+20</f>
        <v>28.0</v>
      </c>
      <c r="AA27" s="192"/>
      <c r="AB27" s="192"/>
      <c r="AC27" s="192">
        <v>25.0</v>
      </c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215">
        <f>SUM(N27:AR27)</f>
        <v>364.0</v>
      </c>
      <c r="AT27" s="193">
        <f>(AS27/(AS24-AS25))*100%</f>
        <v>0.0031424008287650536</v>
      </c>
    </row>
    <row r="28" spans="8:8" s="150" ht="23.25" customFormat="1" customHeight="1">
      <c r="A28" s="169"/>
      <c r="B28" s="194"/>
      <c r="C28" s="195"/>
      <c r="D28" s="196"/>
      <c r="E28" s="197"/>
      <c r="F28" s="198"/>
      <c r="G28" s="317"/>
      <c r="H28" s="200"/>
      <c r="I28" s="201"/>
      <c r="J28" s="202"/>
      <c r="K28" s="203"/>
      <c r="L28" s="204"/>
      <c r="M28" s="205" t="s">
        <v>135</v>
      </c>
      <c r="N28" s="206"/>
      <c r="O28" s="223"/>
      <c r="P28" s="223"/>
      <c r="Q28" s="315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4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157"/>
      <c r="H29" s="158"/>
      <c r="I29" s="159"/>
      <c r="J29" s="160"/>
      <c r="K29" s="161"/>
      <c r="L29" s="162"/>
      <c r="M29" s="163" t="s">
        <v>130</v>
      </c>
      <c r="N29" s="165"/>
      <c r="O29" s="165"/>
      <c r="P29" s="165"/>
      <c r="Q29" s="165"/>
      <c r="R29" s="165"/>
      <c r="S29" s="165" t="s">
        <v>258</v>
      </c>
      <c r="T29" s="165" t="s">
        <v>259</v>
      </c>
      <c r="U29" s="165" t="s">
        <v>165</v>
      </c>
      <c r="V29" s="165" t="s">
        <v>166</v>
      </c>
      <c r="W29" s="165"/>
      <c r="X29" s="165" t="s">
        <v>167</v>
      </c>
      <c r="Y29" s="165" t="s">
        <v>168</v>
      </c>
      <c r="Z29" s="165" t="s">
        <v>169</v>
      </c>
      <c r="AA29" s="165"/>
      <c r="AB29" s="311" t="s">
        <v>260</v>
      </c>
      <c r="AC29" s="165" t="s">
        <v>261</v>
      </c>
      <c r="AD29" s="165"/>
      <c r="AE29" s="165"/>
      <c r="AF29" s="165"/>
      <c r="AG29" s="165"/>
      <c r="AH29" s="165" t="s">
        <v>262</v>
      </c>
      <c r="AI29" s="165" t="s">
        <v>263</v>
      </c>
      <c r="AJ29" s="165" t="s">
        <v>190</v>
      </c>
      <c r="AK29" s="165"/>
      <c r="AL29" s="165"/>
      <c r="AM29" s="165"/>
      <c r="AN29" s="165"/>
      <c r="AO29" s="165"/>
      <c r="AP29" s="165"/>
      <c r="AQ29" s="165"/>
      <c r="AR29" s="165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183"/>
      <c r="O30" s="183"/>
      <c r="P30" s="183"/>
      <c r="Q30" s="183"/>
      <c r="R30" s="182">
        <f>-3-134</f>
        <v>-137.0</v>
      </c>
      <c r="S30" s="183">
        <f>8000*2</f>
        <v>16000.0</v>
      </c>
      <c r="T30" s="183">
        <f>10000*2</f>
        <v>20000.0</v>
      </c>
      <c r="U30" s="183">
        <f t="shared" si="7" ref="U30:AC30">5000*2</f>
        <v>10000.0</v>
      </c>
      <c r="V30" s="183">
        <f t="shared" si="7"/>
        <v>10000.0</v>
      </c>
      <c r="W30" s="183"/>
      <c r="X30" s="183">
        <f t="shared" si="7"/>
        <v>10000.0</v>
      </c>
      <c r="Y30" s="183">
        <f t="shared" si="7"/>
        <v>10000.0</v>
      </c>
      <c r="Z30" s="183">
        <f t="shared" si="7"/>
        <v>10000.0</v>
      </c>
      <c r="AA30" s="183">
        <f t="shared" si="7"/>
        <v>10000.0</v>
      </c>
      <c r="AB30" s="183">
        <f t="shared" si="7"/>
        <v>10000.0</v>
      </c>
      <c r="AC30" s="183">
        <f t="shared" si="7"/>
        <v>10000.0</v>
      </c>
      <c r="AD30" s="183"/>
      <c r="AE30" s="183"/>
      <c r="AF30" s="183"/>
      <c r="AG30" s="183"/>
      <c r="AH30" s="183">
        <f t="shared" si="8" ref="AH30:AJ30">5000*2</f>
        <v>10000.0</v>
      </c>
      <c r="AI30" s="183">
        <f t="shared" si="8"/>
        <v>10000.0</v>
      </c>
      <c r="AJ30" s="183">
        <f t="shared" si="8"/>
        <v>10000.0</v>
      </c>
      <c r="AK30" s="183"/>
      <c r="AL30" s="183"/>
      <c r="AM30" s="183"/>
      <c r="AN30" s="183"/>
      <c r="AO30" s="183"/>
      <c r="AP30" s="183"/>
      <c r="AQ30" s="183"/>
      <c r="AR30" s="183"/>
      <c r="AS30" s="212">
        <f>SUM(N30:AR30)</f>
        <v>145863.0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182">
        <f t="shared" si="9" ref="N31:AR31">N30-N32-N33</f>
        <v>0.0</v>
      </c>
      <c r="O31" s="278">
        <f t="shared" si="9"/>
        <v>0.0</v>
      </c>
      <c r="P31" s="278">
        <f t="shared" si="9"/>
        <v>0.0</v>
      </c>
      <c r="Q31" s="182">
        <f t="shared" si="9"/>
        <v>0.0</v>
      </c>
      <c r="R31" s="182">
        <f t="shared" si="9"/>
        <v>0.0</v>
      </c>
      <c r="S31" s="182">
        <f t="shared" si="9"/>
        <v>5117.0</v>
      </c>
      <c r="T31" s="182">
        <f t="shared" si="9"/>
        <v>3856.0</v>
      </c>
      <c r="U31" s="182">
        <f t="shared" si="9"/>
        <v>-6291.0</v>
      </c>
      <c r="V31" s="182">
        <f t="shared" si="9"/>
        <v>-3581.0</v>
      </c>
      <c r="W31" s="182"/>
      <c r="X31" s="182">
        <f t="shared" si="9"/>
        <v>-6109.0</v>
      </c>
      <c r="Y31" s="182">
        <f t="shared" si="9"/>
        <v>-5798.0</v>
      </c>
      <c r="Z31" s="182">
        <f t="shared" si="9"/>
        <v>-3172.0</v>
      </c>
      <c r="AA31" s="182">
        <f t="shared" si="9"/>
        <v>-5.0</v>
      </c>
      <c r="AB31" s="182"/>
      <c r="AC31" s="182">
        <f t="shared" si="9"/>
        <v>9121.0</v>
      </c>
      <c r="AD31" s="182">
        <f t="shared" si="9"/>
        <v>0.0</v>
      </c>
      <c r="AE31" s="182">
        <f t="shared" si="9"/>
        <v>0.0</v>
      </c>
      <c r="AF31" s="182">
        <f t="shared" si="9"/>
        <v>0.0</v>
      </c>
      <c r="AG31" s="182">
        <f t="shared" si="9"/>
        <v>0.0</v>
      </c>
      <c r="AH31" s="182">
        <f t="shared" si="9"/>
        <v>1595.0</v>
      </c>
      <c r="AI31" s="182">
        <f t="shared" si="9"/>
        <v>2.0</v>
      </c>
      <c r="AJ31" s="182">
        <f t="shared" si="9"/>
        <v>2315.0</v>
      </c>
      <c r="AK31" s="182">
        <f t="shared" si="9"/>
        <v>0.0</v>
      </c>
      <c r="AL31" s="182">
        <f t="shared" si="9"/>
        <v>0.0</v>
      </c>
      <c r="AM31" s="182">
        <f t="shared" si="9"/>
        <v>0.0</v>
      </c>
      <c r="AN31" s="182">
        <f t="shared" si="9"/>
        <v>0.0</v>
      </c>
      <c r="AO31" s="182">
        <f t="shared" si="9"/>
        <v>0.0</v>
      </c>
      <c r="AP31" s="182">
        <f t="shared" si="9"/>
        <v>0.0</v>
      </c>
      <c r="AQ31" s="182">
        <f t="shared" si="9"/>
        <v>0.0</v>
      </c>
      <c r="AR31" s="182">
        <f t="shared" si="9"/>
        <v>0.0</v>
      </c>
      <c r="AS31" s="214">
        <f>SUM(N31:AR31)</f>
        <v>-2950.0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182"/>
      <c r="O32" s="182"/>
      <c r="P32" s="182"/>
      <c r="Q32" s="182"/>
      <c r="R32" s="182">
        <f>-3-134</f>
        <v>-137.0</v>
      </c>
      <c r="S32" s="182">
        <f>3544+7335</f>
        <v>10879.0</v>
      </c>
      <c r="T32" s="182">
        <f>8285+7850</f>
        <v>16135.0</v>
      </c>
      <c r="U32" s="182">
        <f>7860+8425</f>
        <v>16285.0</v>
      </c>
      <c r="V32" s="182">
        <f>6847+6728</f>
        <v>13575.0</v>
      </c>
      <c r="W32" s="182"/>
      <c r="X32" s="182">
        <f>8028+8076</f>
        <v>16104.0</v>
      </c>
      <c r="Y32" s="182">
        <f>8080+7713</f>
        <v>15793.0</v>
      </c>
      <c r="Z32" s="182">
        <f>6292+6876</f>
        <v>13168.0</v>
      </c>
      <c r="AA32" s="182">
        <f>5142+4857</f>
        <v>9999.0</v>
      </c>
      <c r="AB32" s="182">
        <f>3133+175</f>
        <v>3308.0</v>
      </c>
      <c r="AC32" s="182">
        <f>875</f>
        <v>875.0</v>
      </c>
      <c r="AD32" s="182"/>
      <c r="AE32" s="182"/>
      <c r="AF32" s="182"/>
      <c r="AG32" s="182"/>
      <c r="AH32" s="182">
        <f>4463+3937</f>
        <v>8400.0</v>
      </c>
      <c r="AI32" s="182">
        <f>4789+5202</f>
        <v>9991.0</v>
      </c>
      <c r="AJ32" s="182">
        <f>3942+3739</f>
        <v>7681.0</v>
      </c>
      <c r="AK32" s="182"/>
      <c r="AL32" s="182"/>
      <c r="AM32" s="182"/>
      <c r="AN32" s="182"/>
      <c r="AO32" s="182"/>
      <c r="AP32" s="182"/>
      <c r="AQ32" s="182"/>
      <c r="AR32" s="182"/>
      <c r="AS32" s="184">
        <f>SUM(N32:AR32)</f>
        <v>142056.0</v>
      </c>
      <c r="AT32" s="190">
        <f>(AS32/(AS30-AS31))*100%</f>
        <v>0.9545940206836768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192"/>
      <c r="O33" s="192"/>
      <c r="P33" s="192"/>
      <c r="Q33" s="192"/>
      <c r="R33" s="192"/>
      <c r="S33" s="192">
        <v>4.0</v>
      </c>
      <c r="T33" s="192">
        <f>5+4</f>
        <v>9.0</v>
      </c>
      <c r="U33" s="192">
        <f>4+2</f>
        <v>6.0</v>
      </c>
      <c r="V33" s="192">
        <f>3+3</f>
        <v>6.0</v>
      </c>
      <c r="W33" s="192"/>
      <c r="X33" s="192">
        <v>5.0</v>
      </c>
      <c r="Y33" s="192">
        <f>2+3</f>
        <v>5.0</v>
      </c>
      <c r="Z33" s="192">
        <v>4.0</v>
      </c>
      <c r="AA33" s="192">
        <f>3+3</f>
        <v>6.0</v>
      </c>
      <c r="AB33" s="192">
        <f>150+4</f>
        <v>154.0</v>
      </c>
      <c r="AC33" s="192">
        <v>4.0</v>
      </c>
      <c r="AD33" s="192"/>
      <c r="AE33" s="192"/>
      <c r="AF33" s="192"/>
      <c r="AG33" s="192"/>
      <c r="AH33" s="192">
        <f>5</f>
        <v>5.0</v>
      </c>
      <c r="AI33" s="192">
        <f>7</f>
        <v>7.0</v>
      </c>
      <c r="AJ33" s="192">
        <f>4</f>
        <v>4.0</v>
      </c>
      <c r="AK33" s="192"/>
      <c r="AL33" s="192"/>
      <c r="AM33" s="192"/>
      <c r="AN33" s="192"/>
      <c r="AO33" s="192"/>
      <c r="AP33" s="192"/>
      <c r="AQ33" s="192"/>
      <c r="AR33" s="192"/>
      <c r="AS33" s="215">
        <f>SUM(N33:AR33)</f>
        <v>219.0</v>
      </c>
      <c r="AT33" s="193">
        <f>(AS33/(AS30-AS31))*100%</f>
        <v>0.0014716456223582617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206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4"/>
      <c r="AS34" s="207"/>
      <c r="AT34" s="208"/>
    </row>
    <row r="35" spans="8:8" s="150" ht="23.25" customFormat="1" customHeight="1">
      <c r="A35" s="169"/>
      <c r="B35" s="228" t="s">
        <v>226</v>
      </c>
      <c r="C35" s="153"/>
      <c r="D35" s="154">
        <f>F35+AS38-AS42+AS43</f>
        <v>0.0</v>
      </c>
      <c r="E35" s="155"/>
      <c r="F35" s="156">
        <v>0.0</v>
      </c>
      <c r="G35" s="218"/>
      <c r="H35" s="158"/>
      <c r="I35" s="159"/>
      <c r="J35" s="160"/>
      <c r="K35" s="161"/>
      <c r="L35" s="162"/>
      <c r="M35" s="163" t="s">
        <v>130</v>
      </c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5"/>
      <c r="Z35" s="164"/>
      <c r="AA35" s="164"/>
      <c r="AB35" s="164"/>
      <c r="AC35" s="164"/>
      <c r="AD35" s="165"/>
      <c r="AE35" s="164"/>
      <c r="AF35" s="164"/>
      <c r="AG35" s="164"/>
      <c r="AH35" s="164"/>
      <c r="AI35" s="164"/>
      <c r="AJ35" s="164"/>
      <c r="AK35" s="164"/>
      <c r="AL35" s="164"/>
      <c r="AM35" s="165"/>
      <c r="AN35" s="165"/>
      <c r="AO35" s="164"/>
      <c r="AP35" s="164"/>
      <c r="AQ35" s="164"/>
      <c r="AR35" s="166"/>
      <c r="AS35" s="167"/>
      <c r="AT35" s="168"/>
    </row>
    <row r="36" spans="8:8" s="150" ht="23.25" customFormat="1" customHeight="1">
      <c r="A36" s="169"/>
      <c r="B36" s="170"/>
      <c r="C36" s="171"/>
      <c r="D36" s="172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183"/>
      <c r="O36" s="183"/>
      <c r="P36" s="183"/>
      <c r="Q36" s="183"/>
      <c r="R36" s="182">
        <v>-91.0</v>
      </c>
      <c r="S36" s="183">
        <v>10879.0</v>
      </c>
      <c r="T36" s="183">
        <v>16135.0</v>
      </c>
      <c r="U36" s="183">
        <v>16285.0</v>
      </c>
      <c r="V36" s="220">
        <v>13570.0</v>
      </c>
      <c r="W36" s="183"/>
      <c r="X36" s="183">
        <v>16158.0</v>
      </c>
      <c r="Y36" s="183">
        <v>15793.0</v>
      </c>
      <c r="Z36" s="183">
        <v>13168.0</v>
      </c>
      <c r="AA36" s="182">
        <v>9999.0</v>
      </c>
      <c r="AB36" s="183">
        <v>3308.0</v>
      </c>
      <c r="AC36" s="222">
        <v>875.0</v>
      </c>
      <c r="AD36" s="306"/>
      <c r="AE36" s="306"/>
      <c r="AF36" s="306"/>
      <c r="AG36" s="183"/>
      <c r="AH36" s="183">
        <v>8266.0</v>
      </c>
      <c r="AI36" s="222">
        <f>4789+5202</f>
        <v>9991.0</v>
      </c>
      <c r="AJ36" s="222">
        <f>3942+3739</f>
        <v>7681.0</v>
      </c>
      <c r="AK36" s="306"/>
      <c r="AL36" s="306"/>
      <c r="AM36" s="306"/>
      <c r="AN36" s="183"/>
      <c r="AO36" s="183"/>
      <c r="AP36" s="183"/>
      <c r="AQ36" s="183"/>
      <c r="AR36" s="183"/>
      <c r="AS36" s="212">
        <f t="shared" si="10" ref="AS36:AS39">SUM(N36:AR36)</f>
        <v>142017.0</v>
      </c>
      <c r="AT36" s="185"/>
    </row>
    <row r="37" spans="8:8" s="150" ht="23.25" customFormat="1" customHeight="1">
      <c r="A37" s="169"/>
      <c r="B37" s="170"/>
      <c r="C37" s="171"/>
      <c r="D37" s="172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182">
        <f t="shared" si="11" ref="N37:AR37">N36-N38-N39</f>
        <v>0.0</v>
      </c>
      <c r="O37" s="278">
        <f t="shared" si="11"/>
        <v>0.0</v>
      </c>
      <c r="P37" s="278">
        <f t="shared" si="12" ref="P37:T37">P36-P38-P39</f>
        <v>0.0</v>
      </c>
      <c r="Q37" s="278">
        <f t="shared" si="12"/>
        <v>0.0</v>
      </c>
      <c r="R37" s="278">
        <f t="shared" si="12"/>
        <v>0.0</v>
      </c>
      <c r="S37" s="278">
        <f t="shared" si="12"/>
        <v>0.0</v>
      </c>
      <c r="T37" s="278">
        <f t="shared" si="12"/>
        <v>-39.0</v>
      </c>
      <c r="U37" s="182">
        <f t="shared" si="11"/>
        <v>0.0</v>
      </c>
      <c r="V37" s="182">
        <f t="shared" si="11"/>
        <v>0.0</v>
      </c>
      <c r="W37" s="182">
        <f t="shared" si="11"/>
        <v>0.0</v>
      </c>
      <c r="X37" s="182">
        <f t="shared" si="11"/>
        <v>0.0</v>
      </c>
      <c r="Y37" s="182">
        <f t="shared" si="11"/>
        <v>0.0</v>
      </c>
      <c r="Z37" s="182">
        <f t="shared" si="11"/>
        <v>0.0</v>
      </c>
      <c r="AA37" s="182">
        <f t="shared" si="11"/>
        <v>0.0</v>
      </c>
      <c r="AB37" s="182">
        <f t="shared" si="11"/>
        <v>0.0</v>
      </c>
      <c r="AC37" s="182">
        <f t="shared" si="11"/>
        <v>0.0</v>
      </c>
      <c r="AD37" s="182">
        <f t="shared" si="11"/>
        <v>0.0</v>
      </c>
      <c r="AE37" s="182">
        <f t="shared" si="11"/>
        <v>0.0</v>
      </c>
      <c r="AF37" s="182">
        <f t="shared" si="11"/>
        <v>0.0</v>
      </c>
      <c r="AG37" s="182">
        <f t="shared" si="11"/>
        <v>0.0</v>
      </c>
      <c r="AH37" s="182">
        <f t="shared" si="11"/>
        <v>0.0</v>
      </c>
      <c r="AI37" s="182">
        <f t="shared" si="11"/>
        <v>0.0</v>
      </c>
      <c r="AJ37" s="182">
        <f t="shared" si="11"/>
        <v>0.0</v>
      </c>
      <c r="AK37" s="182">
        <f t="shared" si="11"/>
        <v>0.0</v>
      </c>
      <c r="AL37" s="182">
        <f t="shared" si="11"/>
        <v>0.0</v>
      </c>
      <c r="AM37" s="182">
        <f t="shared" si="11"/>
        <v>0.0</v>
      </c>
      <c r="AN37" s="182">
        <f t="shared" si="11"/>
        <v>0.0</v>
      </c>
      <c r="AO37" s="182">
        <f t="shared" si="11"/>
        <v>0.0</v>
      </c>
      <c r="AP37" s="182">
        <f t="shared" si="11"/>
        <v>0.0</v>
      </c>
      <c r="AQ37" s="182">
        <f t="shared" si="11"/>
        <v>0.0</v>
      </c>
      <c r="AR37" s="182">
        <f t="shared" si="11"/>
        <v>0.0</v>
      </c>
      <c r="AS37" s="214">
        <f t="shared" si="10"/>
        <v>-39.0</v>
      </c>
      <c r="AT37" s="187"/>
    </row>
    <row r="38" spans="8:8" s="150" ht="23.25" customFormat="1" customHeight="1">
      <c r="A38" s="169"/>
      <c r="B38" s="170"/>
      <c r="C38" s="171"/>
      <c r="D38" s="172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182"/>
      <c r="O38" s="182"/>
      <c r="P38" s="182"/>
      <c r="Q38" s="182"/>
      <c r="R38" s="182">
        <v>-91.0</v>
      </c>
      <c r="S38" s="183">
        <v>10787.0</v>
      </c>
      <c r="T38" s="182">
        <v>16174.0</v>
      </c>
      <c r="U38" s="182">
        <v>16285.0</v>
      </c>
      <c r="V38" s="192">
        <v>13262.0</v>
      </c>
      <c r="W38" s="182"/>
      <c r="X38" s="182">
        <v>16094.0</v>
      </c>
      <c r="Y38" s="182">
        <v>15793.0</v>
      </c>
      <c r="Z38" s="182">
        <v>13168.0</v>
      </c>
      <c r="AA38" s="182">
        <v>9999.0</v>
      </c>
      <c r="AB38" s="183">
        <v>3308.0</v>
      </c>
      <c r="AC38" s="222">
        <v>831.0</v>
      </c>
      <c r="AD38" s="306"/>
      <c r="AE38" s="306"/>
      <c r="AF38" s="306"/>
      <c r="AG38" s="182"/>
      <c r="AH38" s="183">
        <v>8266.0</v>
      </c>
      <c r="AI38" s="222">
        <v>9889.0</v>
      </c>
      <c r="AJ38" s="222">
        <v>7448.0</v>
      </c>
      <c r="AK38" s="306"/>
      <c r="AL38" s="306"/>
      <c r="AM38" s="306"/>
      <c r="AN38" s="182"/>
      <c r="AO38" s="182"/>
      <c r="AP38" s="182"/>
      <c r="AQ38" s="182"/>
      <c r="AR38" s="182"/>
      <c r="AS38" s="184">
        <f t="shared" si="10"/>
        <v>141213.0</v>
      </c>
      <c r="AT38" s="190">
        <f>(AS38/(AS36-AS37))*100%</f>
        <v>0.9940657205609056</v>
      </c>
    </row>
    <row r="39" spans="8:8" s="150" ht="23.25" customFormat="1" customHeight="1">
      <c r="A39" s="169"/>
      <c r="B39" s="170"/>
      <c r="C39" s="171"/>
      <c r="D39" s="172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192"/>
      <c r="O39" s="192"/>
      <c r="P39" s="192"/>
      <c r="Q39" s="192"/>
      <c r="R39" s="192"/>
      <c r="S39" s="192">
        <v>92.0</v>
      </c>
      <c r="T39" s="192"/>
      <c r="U39" s="192"/>
      <c r="V39" s="192">
        <v>308.0</v>
      </c>
      <c r="W39" s="192"/>
      <c r="X39" s="192">
        <v>64.0</v>
      </c>
      <c r="Y39" s="192"/>
      <c r="Z39" s="192"/>
      <c r="AA39" s="192"/>
      <c r="AB39" s="192"/>
      <c r="AC39" s="192">
        <v>44.0</v>
      </c>
      <c r="AD39" s="192"/>
      <c r="AE39" s="192"/>
      <c r="AF39" s="192"/>
      <c r="AG39" s="192"/>
      <c r="AH39" s="192"/>
      <c r="AI39" s="192">
        <v>102.0</v>
      </c>
      <c r="AJ39" s="192">
        <v>233.0</v>
      </c>
      <c r="AK39" s="192"/>
      <c r="AL39" s="192"/>
      <c r="AM39" s="192"/>
      <c r="AN39" s="192"/>
      <c r="AO39" s="192"/>
      <c r="AP39" s="192"/>
      <c r="AQ39" s="192"/>
      <c r="AR39" s="192"/>
      <c r="AS39" s="215">
        <f t="shared" si="10"/>
        <v>843.0</v>
      </c>
      <c r="AT39" s="193">
        <f>(AS39/(AS36-AS37))*100%</f>
        <v>0.005934279439094442</v>
      </c>
    </row>
    <row r="40" spans="8:8" s="150" ht="23.25" customFormat="1" customHeight="1">
      <c r="A40" s="169"/>
      <c r="B40" s="194"/>
      <c r="C40" s="195"/>
      <c r="D40" s="196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206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207"/>
      <c r="AT40" s="208"/>
    </row>
    <row r="41" spans="8:8" s="150" ht="23.25" customFormat="1" customHeight="1">
      <c r="A41" s="169"/>
      <c r="B41" s="152" t="s">
        <v>171</v>
      </c>
      <c r="C41" s="153"/>
      <c r="D41" s="154">
        <f>F41+AS44-AS48+AS49</f>
        <v>84657.0</v>
      </c>
      <c r="E41" s="155"/>
      <c r="F41" s="156">
        <v>0.0</v>
      </c>
      <c r="G41" s="218"/>
      <c r="H41" s="158"/>
      <c r="I41" s="159"/>
      <c r="J41" s="160"/>
      <c r="K41" s="161"/>
      <c r="L41" s="162"/>
      <c r="M41" s="163" t="s">
        <v>130</v>
      </c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5"/>
      <c r="AN41" s="165"/>
      <c r="AO41" s="165"/>
      <c r="AP41" s="164"/>
      <c r="AQ41" s="164"/>
      <c r="AR41" s="166"/>
      <c r="AS41" s="167"/>
      <c r="AT41" s="168"/>
    </row>
    <row r="42" spans="8:8" s="150" ht="23.25" customFormat="1" customHeight="1">
      <c r="A42" s="169"/>
      <c r="B42" s="170"/>
      <c r="C42" s="171"/>
      <c r="D42" s="172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183"/>
      <c r="O42" s="183"/>
      <c r="P42" s="183"/>
      <c r="Q42" s="183"/>
      <c r="R42" s="183"/>
      <c r="S42" s="183"/>
      <c r="T42" s="183"/>
      <c r="U42" s="183"/>
      <c r="V42" s="220">
        <v>56556.0</v>
      </c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>
        <v>67320.0</v>
      </c>
      <c r="AK42" s="183"/>
      <c r="AL42" s="183">
        <v>17337.0</v>
      </c>
      <c r="AM42" s="183"/>
      <c r="AN42" s="183"/>
      <c r="AO42" s="183"/>
      <c r="AP42" s="183"/>
      <c r="AQ42" s="183"/>
      <c r="AR42" s="183"/>
      <c r="AS42" s="212">
        <f t="shared" si="13" ref="AS42:AS45">SUM(N42:AR42)</f>
        <v>141213.0</v>
      </c>
      <c r="AT42" s="185"/>
    </row>
    <row r="43" spans="8:8" s="150" ht="23.25" customFormat="1" customHeight="1">
      <c r="A43" s="169"/>
      <c r="B43" s="170"/>
      <c r="C43" s="171"/>
      <c r="D43" s="172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182">
        <f t="shared" si="14" ref="N43:AR43">N42-N44-N45</f>
        <v>0.0</v>
      </c>
      <c r="O43" s="278">
        <f t="shared" si="14"/>
        <v>0.0</v>
      </c>
      <c r="P43" s="278">
        <f t="shared" si="14"/>
        <v>0.0</v>
      </c>
      <c r="Q43" s="182">
        <f t="shared" si="14"/>
        <v>0.0</v>
      </c>
      <c r="R43" s="182">
        <f t="shared" si="14"/>
        <v>0.0</v>
      </c>
      <c r="S43" s="182">
        <f t="shared" si="14"/>
        <v>0.0</v>
      </c>
      <c r="T43" s="182">
        <f t="shared" si="14"/>
        <v>0.0</v>
      </c>
      <c r="U43" s="182">
        <f t="shared" si="14"/>
        <v>0.0</v>
      </c>
      <c r="V43" s="182">
        <f t="shared" si="14"/>
        <v>0.0</v>
      </c>
      <c r="W43" s="182">
        <f t="shared" si="14"/>
        <v>0.0</v>
      </c>
      <c r="X43" s="182">
        <f t="shared" si="14"/>
        <v>0.0</v>
      </c>
      <c r="Y43" s="182">
        <f t="shared" si="14"/>
        <v>0.0</v>
      </c>
      <c r="Z43" s="182">
        <f t="shared" si="14"/>
        <v>0.0</v>
      </c>
      <c r="AA43" s="182">
        <f t="shared" si="14"/>
        <v>0.0</v>
      </c>
      <c r="AB43" s="182">
        <f t="shared" si="14"/>
        <v>0.0</v>
      </c>
      <c r="AC43" s="182">
        <f t="shared" si="14"/>
        <v>0.0</v>
      </c>
      <c r="AD43" s="182">
        <f t="shared" si="14"/>
        <v>0.0</v>
      </c>
      <c r="AE43" s="182">
        <f t="shared" si="14"/>
        <v>0.0</v>
      </c>
      <c r="AF43" s="182">
        <f t="shared" si="14"/>
        <v>0.0</v>
      </c>
      <c r="AG43" s="182">
        <f t="shared" si="14"/>
        <v>0.0</v>
      </c>
      <c r="AH43" s="182">
        <f t="shared" si="14"/>
        <v>0.0</v>
      </c>
      <c r="AI43" s="182">
        <f t="shared" si="14"/>
        <v>0.0</v>
      </c>
      <c r="AJ43" s="182">
        <f t="shared" si="14"/>
        <v>0.0</v>
      </c>
      <c r="AK43" s="182">
        <f t="shared" si="14"/>
        <v>0.0</v>
      </c>
      <c r="AL43" s="182">
        <f t="shared" si="14"/>
        <v>0.0</v>
      </c>
      <c r="AM43" s="182">
        <f t="shared" si="14"/>
        <v>0.0</v>
      </c>
      <c r="AN43" s="182">
        <f t="shared" si="14"/>
        <v>0.0</v>
      </c>
      <c r="AO43" s="182">
        <f t="shared" si="14"/>
        <v>0.0</v>
      </c>
      <c r="AP43" s="182">
        <f t="shared" si="14"/>
        <v>0.0</v>
      </c>
      <c r="AQ43" s="182">
        <f t="shared" si="14"/>
        <v>0.0</v>
      </c>
      <c r="AR43" s="182">
        <f t="shared" si="14"/>
        <v>0.0</v>
      </c>
      <c r="AS43" s="214">
        <f t="shared" si="13"/>
        <v>0.0</v>
      </c>
      <c r="AT43" s="187"/>
    </row>
    <row r="44" spans="8:8" s="150" ht="23.25" customFormat="1" customHeight="1">
      <c r="A44" s="169"/>
      <c r="B44" s="170"/>
      <c r="C44" s="171"/>
      <c r="D44" s="172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182"/>
      <c r="O44" s="182"/>
      <c r="P44" s="182"/>
      <c r="Q44" s="182"/>
      <c r="R44" s="182"/>
      <c r="S44" s="182"/>
      <c r="T44" s="182"/>
      <c r="U44" s="182"/>
      <c r="V44" s="192">
        <v>56556.0</v>
      </c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3">
        <v>67320.0</v>
      </c>
      <c r="AK44" s="182"/>
      <c r="AL44" s="182">
        <v>17337.0</v>
      </c>
      <c r="AM44" s="182"/>
      <c r="AN44" s="182"/>
      <c r="AO44" s="182"/>
      <c r="AP44" s="182"/>
      <c r="AQ44" s="182"/>
      <c r="AR44" s="182"/>
      <c r="AS44" s="184">
        <f t="shared" si="13"/>
        <v>141213.0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172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215">
        <f t="shared" si="13"/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196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206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4"/>
      <c r="AS46" s="207"/>
      <c r="AT46" s="208"/>
    </row>
    <row r="47" spans="8:8" s="150" ht="23.25" customFormat="1" customHeight="1">
      <c r="A47" s="169"/>
      <c r="B47" s="228" t="s">
        <v>227</v>
      </c>
      <c r="C47" s="153"/>
      <c r="D47" s="154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6"/>
      <c r="AS47" s="167"/>
      <c r="AT47" s="168"/>
    </row>
    <row r="48" spans="8:8" s="150" ht="23.25" customFormat="1" customHeight="1">
      <c r="A48" s="169"/>
      <c r="B48" s="170"/>
      <c r="C48" s="171"/>
      <c r="D48" s="172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>
        <v>56556.0</v>
      </c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212">
        <f t="shared" si="15" ref="AS48:AS51">SUM(N48:AR48)</f>
        <v>56556.0</v>
      </c>
      <c r="AT48" s="185"/>
    </row>
    <row r="49" spans="8:8" s="150" ht="23.25" customFormat="1" customHeight="1">
      <c r="A49" s="169"/>
      <c r="B49" s="170"/>
      <c r="C49" s="171"/>
      <c r="D49" s="172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182">
        <f t="shared" si="16" ref="N49:AR49">N48-N50-N51</f>
        <v>0.0</v>
      </c>
      <c r="O49" s="278">
        <f t="shared" si="16"/>
        <v>0.0</v>
      </c>
      <c r="P49" s="278">
        <f t="shared" si="16"/>
        <v>0.0</v>
      </c>
      <c r="Q49" s="182">
        <f t="shared" si="16"/>
        <v>0.0</v>
      </c>
      <c r="R49" s="182">
        <f t="shared" si="16"/>
        <v>0.0</v>
      </c>
      <c r="S49" s="182">
        <f t="shared" si="16"/>
        <v>0.0</v>
      </c>
      <c r="T49" s="182">
        <f t="shared" si="16"/>
        <v>0.0</v>
      </c>
      <c r="U49" s="182">
        <f t="shared" si="16"/>
        <v>0.0</v>
      </c>
      <c r="V49" s="182">
        <f t="shared" si="16"/>
        <v>0.0</v>
      </c>
      <c r="W49" s="182">
        <f t="shared" si="16"/>
        <v>0.0</v>
      </c>
      <c r="X49" s="182">
        <f t="shared" si="16"/>
        <v>0.0</v>
      </c>
      <c r="Y49" s="182">
        <f t="shared" si="16"/>
        <v>0.0</v>
      </c>
      <c r="Z49" s="182">
        <f t="shared" si="16"/>
        <v>0.0</v>
      </c>
      <c r="AA49" s="182">
        <f t="shared" si="16"/>
        <v>0.0</v>
      </c>
      <c r="AB49" s="182">
        <f t="shared" si="16"/>
        <v>0.0</v>
      </c>
      <c r="AC49" s="182">
        <f t="shared" si="16"/>
        <v>0.0</v>
      </c>
      <c r="AD49" s="182">
        <f t="shared" si="16"/>
        <v>0.0</v>
      </c>
      <c r="AE49" s="182">
        <f t="shared" si="16"/>
        <v>0.0</v>
      </c>
      <c r="AF49" s="182">
        <f t="shared" si="16"/>
        <v>0.0</v>
      </c>
      <c r="AG49" s="182">
        <f t="shared" si="16"/>
        <v>0.0</v>
      </c>
      <c r="AH49" s="182">
        <f t="shared" si="16"/>
        <v>0.0</v>
      </c>
      <c r="AI49" s="182">
        <f t="shared" si="16"/>
        <v>0.0</v>
      </c>
      <c r="AJ49" s="182">
        <f t="shared" si="16"/>
        <v>0.0</v>
      </c>
      <c r="AK49" s="182">
        <f t="shared" si="16"/>
        <v>0.0</v>
      </c>
      <c r="AL49" s="182">
        <f t="shared" si="16"/>
        <v>0.0</v>
      </c>
      <c r="AM49" s="182">
        <f t="shared" si="16"/>
        <v>0.0</v>
      </c>
      <c r="AN49" s="182">
        <f t="shared" si="16"/>
        <v>0.0</v>
      </c>
      <c r="AO49" s="182">
        <f t="shared" si="16"/>
        <v>0.0</v>
      </c>
      <c r="AP49" s="182">
        <f t="shared" si="16"/>
        <v>0.0</v>
      </c>
      <c r="AQ49" s="182">
        <f t="shared" si="16"/>
        <v>0.0</v>
      </c>
      <c r="AR49" s="182">
        <f t="shared" si="16"/>
        <v>0.0</v>
      </c>
      <c r="AS49" s="214">
        <f t="shared" si="15"/>
        <v>0.0</v>
      </c>
      <c r="AT49" s="187"/>
    </row>
    <row r="50" spans="8:8" s="150" ht="23.25" customFormat="1" customHeight="1">
      <c r="A50" s="169"/>
      <c r="B50" s="170"/>
      <c r="C50" s="171"/>
      <c r="D50" s="172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>
        <v>56556.0</v>
      </c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4">
        <f t="shared" si="15"/>
        <v>56556.0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172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215">
        <f t="shared" si="15"/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196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206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4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 t="s">
        <v>254</v>
      </c>
      <c r="H53" s="233"/>
      <c r="I53" s="234"/>
      <c r="J53" s="234"/>
      <c r="K53" s="160"/>
      <c r="L53" s="162"/>
      <c r="M53" s="163" t="s">
        <v>130</v>
      </c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6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183"/>
      <c r="O54" s="183"/>
      <c r="P54" s="183"/>
      <c r="Q54" s="183"/>
      <c r="R54" s="183"/>
      <c r="S54" s="183"/>
      <c r="T54" s="183"/>
      <c r="U54" s="183"/>
      <c r="V54" s="220"/>
      <c r="W54" s="183"/>
      <c r="X54" s="183"/>
      <c r="Y54" s="183"/>
      <c r="Z54" s="183">
        <v>56165.0</v>
      </c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212">
        <f t="shared" si="17" ref="AS54:AS57">SUM(N54:AR54)</f>
        <v>56165.0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182">
        <f t="shared" si="18" ref="N55:AR55">N54-N56-N57</f>
        <v>0.0</v>
      </c>
      <c r="O55" s="278">
        <f t="shared" si="18"/>
        <v>0.0</v>
      </c>
      <c r="P55" s="278">
        <f t="shared" si="18"/>
        <v>0.0</v>
      </c>
      <c r="Q55" s="182">
        <f t="shared" si="18"/>
        <v>0.0</v>
      </c>
      <c r="R55" s="182">
        <f t="shared" si="18"/>
        <v>0.0</v>
      </c>
      <c r="S55" s="182">
        <f t="shared" si="18"/>
        <v>0.0</v>
      </c>
      <c r="T55" s="182">
        <f t="shared" si="18"/>
        <v>0.0</v>
      </c>
      <c r="U55" s="182">
        <f t="shared" si="18"/>
        <v>0.0</v>
      </c>
      <c r="V55" s="182">
        <f t="shared" si="18"/>
        <v>0.0</v>
      </c>
      <c r="W55" s="182">
        <f t="shared" si="18"/>
        <v>0.0</v>
      </c>
      <c r="X55" s="182">
        <f t="shared" si="18"/>
        <v>0.0</v>
      </c>
      <c r="Y55" s="182">
        <f t="shared" si="18"/>
        <v>0.0</v>
      </c>
      <c r="Z55" s="182">
        <f t="shared" si="18"/>
        <v>-391.0</v>
      </c>
      <c r="AA55" s="182">
        <f t="shared" si="18"/>
        <v>0.0</v>
      </c>
      <c r="AB55" s="182">
        <f t="shared" si="18"/>
        <v>0.0</v>
      </c>
      <c r="AC55" s="182">
        <f t="shared" si="18"/>
        <v>0.0</v>
      </c>
      <c r="AD55" s="182">
        <f t="shared" si="18"/>
        <v>0.0</v>
      </c>
      <c r="AE55" s="182">
        <f t="shared" si="18"/>
        <v>0.0</v>
      </c>
      <c r="AF55" s="182">
        <f t="shared" si="18"/>
        <v>0.0</v>
      </c>
      <c r="AG55" s="182">
        <f t="shared" si="18"/>
        <v>0.0</v>
      </c>
      <c r="AH55" s="182">
        <f t="shared" si="18"/>
        <v>0.0</v>
      </c>
      <c r="AI55" s="182">
        <f t="shared" si="18"/>
        <v>0.0</v>
      </c>
      <c r="AJ55" s="182">
        <f t="shared" si="18"/>
        <v>0.0</v>
      </c>
      <c r="AK55" s="182">
        <f t="shared" si="18"/>
        <v>0.0</v>
      </c>
      <c r="AL55" s="182">
        <f t="shared" si="18"/>
        <v>0.0</v>
      </c>
      <c r="AM55" s="182">
        <f t="shared" si="18"/>
        <v>0.0</v>
      </c>
      <c r="AN55" s="182">
        <f t="shared" si="18"/>
        <v>0.0</v>
      </c>
      <c r="AO55" s="182">
        <f t="shared" si="18"/>
        <v>0.0</v>
      </c>
      <c r="AP55" s="182">
        <f t="shared" si="18"/>
        <v>0.0</v>
      </c>
      <c r="AQ55" s="182">
        <f t="shared" si="18"/>
        <v>0.0</v>
      </c>
      <c r="AR55" s="182">
        <f t="shared" si="18"/>
        <v>0.0</v>
      </c>
      <c r="AS55" s="214">
        <f t="shared" si="17"/>
        <v>-391.0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182"/>
      <c r="O56" s="182"/>
      <c r="P56" s="182"/>
      <c r="Q56" s="182"/>
      <c r="R56" s="182"/>
      <c r="S56" s="182"/>
      <c r="T56" s="182"/>
      <c r="U56" s="182"/>
      <c r="V56" s="192"/>
      <c r="W56" s="182"/>
      <c r="X56" s="182"/>
      <c r="Y56" s="182"/>
      <c r="Z56" s="182">
        <v>56165.0</v>
      </c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4">
        <f t="shared" si="17"/>
        <v>56165.0</v>
      </c>
      <c r="AT56" s="190">
        <f>(AS56/(AS54-AS55))*100%</f>
        <v>0.9930864983379305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>
        <v>391.0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215">
        <f t="shared" si="17"/>
        <v>391.0</v>
      </c>
      <c r="AT57" s="193">
        <f>(AS57/(AS54-AS55))*100%</f>
        <v>0.006913501662069453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-31195.0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 t="s">
        <v>177</v>
      </c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>
        <v>56165.0</v>
      </c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2"/>
      <c r="AS59" s="263">
        <f>SUM(N59:AR59)</f>
        <v>56165.0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9" orientation="landscape"/>
  <legacy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U60"/>
  <sheetViews>
    <sheetView workbookViewId="0" zoomScale="40">
      <pane xSplit="13" ySplit="4" topLeftCell="N16" state="frozen" activePane="bottomRight"/>
      <selection pane="bottomRight" activeCell="N33" sqref="N33"/>
    </sheetView>
  </sheetViews>
  <sheetFormatPr defaultRowHeight="15.5"/>
  <cols>
    <col min="1" max="2" customWidth="1" width="18.28125" style="116"/>
    <col min="3" max="3" hidden="1" customWidth="1" width="12.1328125" style="116"/>
    <col min="4" max="4" customWidth="1" width="11.363281" style="116"/>
    <col min="5" max="5" customWidth="1" width="13.0" style="116"/>
    <col min="6" max="6" customWidth="1" width="13.1328125" style="116"/>
    <col min="7" max="7" customWidth="1" width="13.425781" style="116"/>
    <col min="8" max="9" hidden="1" customWidth="1" width="9.28125" style="116"/>
    <col min="10" max="10" hidden="1" customWidth="1" width="14.0" style="116"/>
    <col min="11" max="11" hidden="1" customWidth="1" width="9.28125" style="116"/>
    <col min="12" max="12" hidden="1" customWidth="1" width="10.28125" style="116"/>
    <col min="13" max="13" customWidth="1" width="17.707031" style="116"/>
    <col min="14" max="44" customWidth="1" width="11.0" style="116"/>
    <col min="45" max="45" customWidth="1" width="14.28125" style="116"/>
    <col min="46" max="46" customWidth="1" width="12.0" style="116"/>
    <col min="47" max="53" customWidth="1" width="9.8515625" style="116"/>
    <col min="54" max="54" customWidth="1" width="6.4257812" style="116"/>
    <col min="55" max="55" customWidth="1" width="2.5703125" style="116"/>
    <col min="56" max="59" customWidth="1" width="9.0" style="116"/>
    <col min="60" max="253" customWidth="0" width="8.707031" style="116"/>
    <col min="254" max="255" customWidth="1" width="18.28125" style="116"/>
    <col min="256" max="258" customWidth="1" width="13.5703125" style="116"/>
    <col min="259" max="259" customWidth="1" width="12.425781" style="116"/>
    <col min="260" max="260" customWidth="1" width="10.707031" style="116"/>
    <col min="261" max="261" customWidth="1" width="11.707031" style="116"/>
    <col min="262" max="262" customWidth="1" width="13.1328125" style="116"/>
    <col min="263" max="263" customWidth="1" width="13.425781" style="116"/>
    <col min="264" max="265" customWidth="1" width="9.28125" style="116"/>
    <col min="266" max="266" customWidth="1" width="12.425781" style="116"/>
    <col min="267" max="268" customWidth="1" width="9.28125" style="116"/>
    <col min="269" max="269" customWidth="1" width="17.707031" style="116"/>
    <col min="270" max="300" customWidth="1" width="11.0" style="116"/>
    <col min="301" max="301" customWidth="1" width="14.28125" style="116"/>
    <col min="302" max="302" customWidth="1" width="12.0" style="116"/>
    <col min="303" max="309" customWidth="1" width="9.8515625" style="116"/>
    <col min="310" max="310" customWidth="1" width="6.4257812" style="116"/>
    <col min="311" max="311" customWidth="1" width="2.5703125" style="116"/>
    <col min="312" max="315" customWidth="1" width="9.0" style="116"/>
    <col min="316" max="509" customWidth="0" width="8.707031" style="116"/>
    <col min="510" max="511" customWidth="1" width="18.28125" style="116"/>
    <col min="512" max="514" customWidth="1" width="13.5703125" style="116"/>
    <col min="515" max="515" customWidth="1" width="12.425781" style="116"/>
    <col min="516" max="516" customWidth="1" width="10.707031" style="116"/>
    <col min="517" max="517" customWidth="1" width="11.707031" style="116"/>
    <col min="518" max="518" customWidth="1" width="13.1328125" style="116"/>
    <col min="519" max="519" customWidth="1" width="13.425781" style="116"/>
    <col min="520" max="521" customWidth="1" width="9.28125" style="116"/>
    <col min="522" max="522" customWidth="1" width="12.425781" style="116"/>
    <col min="523" max="524" customWidth="1" width="9.28125" style="116"/>
    <col min="525" max="525" customWidth="1" width="17.707031" style="116"/>
    <col min="526" max="556" customWidth="1" width="11.0" style="116"/>
    <col min="557" max="557" customWidth="1" width="14.28125" style="116"/>
    <col min="558" max="558" customWidth="1" width="12.0" style="116"/>
    <col min="559" max="565" customWidth="1" width="9.8515625" style="116"/>
    <col min="566" max="566" customWidth="1" width="6.4257812" style="116"/>
    <col min="567" max="567" customWidth="1" width="2.5703125" style="116"/>
    <col min="568" max="571" customWidth="1" width="9.0" style="116"/>
    <col min="572" max="765" customWidth="0" width="8.707031" style="116"/>
    <col min="766" max="767" customWidth="1" width="18.28125" style="116"/>
    <col min="768" max="770" customWidth="1" width="13.5703125" style="116"/>
    <col min="771" max="771" customWidth="1" width="12.425781" style="116"/>
    <col min="772" max="772" customWidth="1" width="10.707031" style="116"/>
    <col min="773" max="773" customWidth="1" width="11.707031" style="116"/>
    <col min="774" max="774" customWidth="1" width="13.1328125" style="116"/>
    <col min="775" max="775" customWidth="1" width="13.425781" style="116"/>
    <col min="776" max="777" customWidth="1" width="9.28125" style="116"/>
    <col min="778" max="778" customWidth="1" width="12.425781" style="116"/>
    <col min="779" max="780" customWidth="1" width="9.28125" style="116"/>
    <col min="781" max="781" customWidth="1" width="17.707031" style="116"/>
    <col min="782" max="812" customWidth="1" width="11.0" style="116"/>
    <col min="813" max="813" customWidth="1" width="14.28125" style="116"/>
    <col min="814" max="814" customWidth="1" width="12.0" style="116"/>
    <col min="815" max="821" customWidth="1" width="9.8515625" style="116"/>
    <col min="822" max="822" customWidth="1" width="6.4257812" style="116"/>
    <col min="823" max="823" customWidth="1" width="2.5703125" style="116"/>
    <col min="824" max="827" customWidth="1" width="9.0" style="116"/>
    <col min="828" max="1021" customWidth="0" width="8.707031" style="116"/>
    <col min="1022" max="1023" customWidth="1" width="18.28125" style="116"/>
    <col min="1024" max="1026" customWidth="1" width="13.5703125" style="116"/>
    <col min="1027" max="1027" customWidth="1" width="12.425781" style="116"/>
    <col min="1028" max="1028" customWidth="1" width="10.707031" style="116"/>
    <col min="1029" max="1029" customWidth="1" width="11.707031" style="116"/>
    <col min="1030" max="1030" customWidth="1" width="13.1328125" style="116"/>
    <col min="1031" max="1031" customWidth="1" width="13.425781" style="116"/>
    <col min="1032" max="1033" customWidth="1" width="9.28125" style="116"/>
    <col min="1034" max="1034" customWidth="1" width="12.425781" style="116"/>
    <col min="1035" max="1036" customWidth="1" width="9.28125" style="116"/>
    <col min="1037" max="1037" customWidth="1" width="17.707031" style="116"/>
    <col min="1038" max="1068" customWidth="1" width="11.0" style="116"/>
    <col min="1069" max="1069" customWidth="1" width="14.28125" style="116"/>
    <col min="1070" max="1070" customWidth="1" width="12.0" style="116"/>
    <col min="1071" max="1077" customWidth="1" width="9.8515625" style="116"/>
    <col min="1078" max="1078" customWidth="1" width="6.4257812" style="116"/>
    <col min="1079" max="1079" customWidth="1" width="2.5703125" style="116"/>
    <col min="1080" max="1083" customWidth="1" width="9.0" style="116"/>
    <col min="1084" max="1277" customWidth="0" width="8.707031" style="116"/>
    <col min="1278" max="1279" customWidth="1" width="18.28125" style="116"/>
    <col min="1280" max="1282" customWidth="1" width="13.5703125" style="116"/>
    <col min="1283" max="1283" customWidth="1" width="12.425781" style="116"/>
    <col min="1284" max="1284" customWidth="1" width="10.707031" style="116"/>
    <col min="1285" max="1285" customWidth="1" width="11.707031" style="116"/>
    <col min="1286" max="1286" customWidth="1" width="13.1328125" style="116"/>
    <col min="1287" max="1287" customWidth="1" width="13.425781" style="116"/>
    <col min="1288" max="1289" customWidth="1" width="9.28125" style="116"/>
    <col min="1290" max="1290" customWidth="1" width="12.425781" style="116"/>
    <col min="1291" max="1292" customWidth="1" width="9.28125" style="116"/>
    <col min="1293" max="1293" customWidth="1" width="17.707031" style="116"/>
    <col min="1294" max="1324" customWidth="1" width="11.0" style="116"/>
    <col min="1325" max="1325" customWidth="1" width="14.28125" style="116"/>
    <col min="1326" max="1326" customWidth="1" width="12.0" style="116"/>
    <col min="1327" max="1333" customWidth="1" width="9.8515625" style="116"/>
    <col min="1334" max="1334" customWidth="1" width="6.4257812" style="116"/>
    <col min="1335" max="1335" customWidth="1" width="2.5703125" style="116"/>
    <col min="1336" max="1339" customWidth="1" width="9.0" style="116"/>
    <col min="1340" max="1533" customWidth="0" width="8.707031" style="116"/>
    <col min="1534" max="1535" customWidth="1" width="18.28125" style="116"/>
    <col min="1536" max="1538" customWidth="1" width="13.5703125" style="116"/>
    <col min="1539" max="1539" customWidth="1" width="12.425781" style="116"/>
    <col min="1540" max="1540" customWidth="1" width="10.707031" style="116"/>
    <col min="1541" max="1541" customWidth="1" width="11.707031" style="116"/>
    <col min="1542" max="1542" customWidth="1" width="13.1328125" style="116"/>
    <col min="1543" max="1543" customWidth="1" width="13.425781" style="116"/>
    <col min="1544" max="1545" customWidth="1" width="9.28125" style="116"/>
    <col min="1546" max="1546" customWidth="1" width="12.425781" style="116"/>
    <col min="1547" max="1548" customWidth="1" width="9.28125" style="116"/>
    <col min="1549" max="1549" customWidth="1" width="17.707031" style="116"/>
    <col min="1550" max="1580" customWidth="1" width="11.0" style="116"/>
    <col min="1581" max="1581" customWidth="1" width="14.28125" style="116"/>
    <col min="1582" max="1582" customWidth="1" width="12.0" style="116"/>
    <col min="1583" max="1589" customWidth="1" width="9.8515625" style="116"/>
    <col min="1590" max="1590" customWidth="1" width="6.4257812" style="116"/>
    <col min="1591" max="1591" customWidth="1" width="2.5703125" style="116"/>
    <col min="1592" max="1595" customWidth="1" width="9.0" style="116"/>
    <col min="1596" max="1789" customWidth="0" width="8.707031" style="116"/>
    <col min="1790" max="1791" customWidth="1" width="18.28125" style="116"/>
    <col min="1792" max="1794" customWidth="1" width="13.5703125" style="116"/>
    <col min="1795" max="1795" customWidth="1" width="12.425781" style="116"/>
    <col min="1796" max="1796" customWidth="1" width="10.707031" style="116"/>
    <col min="1797" max="1797" customWidth="1" width="11.707031" style="116"/>
    <col min="1798" max="1798" customWidth="1" width="13.1328125" style="116"/>
    <col min="1799" max="1799" customWidth="1" width="13.425781" style="116"/>
    <col min="1800" max="1801" customWidth="1" width="9.28125" style="116"/>
    <col min="1802" max="1802" customWidth="1" width="12.425781" style="116"/>
    <col min="1803" max="1804" customWidth="1" width="9.28125" style="116"/>
    <col min="1805" max="1805" customWidth="1" width="17.707031" style="116"/>
    <col min="1806" max="1836" customWidth="1" width="11.0" style="116"/>
    <col min="1837" max="1837" customWidth="1" width="14.28125" style="116"/>
    <col min="1838" max="1838" customWidth="1" width="12.0" style="116"/>
    <col min="1839" max="1845" customWidth="1" width="9.8515625" style="116"/>
    <col min="1846" max="1846" customWidth="1" width="6.4257812" style="116"/>
    <col min="1847" max="1847" customWidth="1" width="2.5703125" style="116"/>
    <col min="1848" max="1851" customWidth="1" width="9.0" style="116"/>
    <col min="1852" max="2045" customWidth="0" width="8.707031" style="116"/>
    <col min="2046" max="2047" customWidth="1" width="18.28125" style="116"/>
    <col min="2048" max="2050" customWidth="1" width="13.5703125" style="116"/>
    <col min="2051" max="2051" customWidth="1" width="12.425781" style="116"/>
    <col min="2052" max="2052" customWidth="1" width="10.707031" style="116"/>
    <col min="2053" max="2053" customWidth="1" width="11.707031" style="116"/>
    <col min="2054" max="2054" customWidth="1" width="13.1328125" style="116"/>
    <col min="2055" max="2055" customWidth="1" width="13.425781" style="116"/>
    <col min="2056" max="2057" customWidth="1" width="9.28125" style="116"/>
    <col min="2058" max="2058" customWidth="1" width="12.425781" style="116"/>
    <col min="2059" max="2060" customWidth="1" width="9.28125" style="116"/>
    <col min="2061" max="2061" customWidth="1" width="17.707031" style="116"/>
    <col min="2062" max="2092" customWidth="1" width="11.0" style="116"/>
    <col min="2093" max="2093" customWidth="1" width="14.28125" style="116"/>
    <col min="2094" max="2094" customWidth="1" width="12.0" style="116"/>
    <col min="2095" max="2101" customWidth="1" width="9.8515625" style="116"/>
    <col min="2102" max="2102" customWidth="1" width="6.4257812" style="116"/>
    <col min="2103" max="2103" customWidth="1" width="2.5703125" style="116"/>
    <col min="2104" max="2107" customWidth="1" width="9.0" style="116"/>
    <col min="2108" max="2301" customWidth="0" width="8.707031" style="116"/>
    <col min="2302" max="2303" customWidth="1" width="18.28125" style="116"/>
    <col min="2304" max="2306" customWidth="1" width="13.5703125" style="116"/>
    <col min="2307" max="2307" customWidth="1" width="12.425781" style="116"/>
    <col min="2308" max="2308" customWidth="1" width="10.707031" style="116"/>
    <col min="2309" max="2309" customWidth="1" width="11.707031" style="116"/>
    <col min="2310" max="2310" customWidth="1" width="13.1328125" style="116"/>
    <col min="2311" max="2311" customWidth="1" width="13.425781" style="116"/>
    <col min="2312" max="2313" customWidth="1" width="9.28125" style="116"/>
    <col min="2314" max="2314" customWidth="1" width="12.425781" style="116"/>
    <col min="2315" max="2316" customWidth="1" width="9.28125" style="116"/>
    <col min="2317" max="2317" customWidth="1" width="17.707031" style="116"/>
    <col min="2318" max="2348" customWidth="1" width="11.0" style="116"/>
    <col min="2349" max="2349" customWidth="1" width="14.28125" style="116"/>
    <col min="2350" max="2350" customWidth="1" width="12.0" style="116"/>
    <col min="2351" max="2357" customWidth="1" width="9.8515625" style="116"/>
    <col min="2358" max="2358" customWidth="1" width="6.4257812" style="116"/>
    <col min="2359" max="2359" customWidth="1" width="2.5703125" style="116"/>
    <col min="2360" max="2363" customWidth="1" width="9.0" style="116"/>
    <col min="2364" max="2557" customWidth="0" width="8.707031" style="116"/>
    <col min="2558" max="2559" customWidth="1" width="18.28125" style="116"/>
    <col min="2560" max="2562" customWidth="1" width="13.5703125" style="116"/>
    <col min="2563" max="2563" customWidth="1" width="12.425781" style="116"/>
    <col min="2564" max="2564" customWidth="1" width="10.707031" style="116"/>
    <col min="2565" max="2565" customWidth="1" width="11.707031" style="116"/>
    <col min="2566" max="2566" customWidth="1" width="13.1328125" style="116"/>
    <col min="2567" max="2567" customWidth="1" width="13.425781" style="116"/>
    <col min="2568" max="2569" customWidth="1" width="9.28125" style="116"/>
    <col min="2570" max="2570" customWidth="1" width="12.425781" style="116"/>
    <col min="2571" max="2572" customWidth="1" width="9.28125" style="116"/>
    <col min="2573" max="2573" customWidth="1" width="17.707031" style="116"/>
    <col min="2574" max="2604" customWidth="1" width="11.0" style="116"/>
    <col min="2605" max="2605" customWidth="1" width="14.28125" style="116"/>
    <col min="2606" max="2606" customWidth="1" width="12.0" style="116"/>
    <col min="2607" max="2613" customWidth="1" width="9.8515625" style="116"/>
    <col min="2614" max="2614" customWidth="1" width="6.4257812" style="116"/>
    <col min="2615" max="2615" customWidth="1" width="2.5703125" style="116"/>
    <col min="2616" max="2619" customWidth="1" width="9.0" style="116"/>
    <col min="2620" max="2813" customWidth="0" width="8.707031" style="116"/>
    <col min="2814" max="2815" customWidth="1" width="18.28125" style="116"/>
    <col min="2816" max="2818" customWidth="1" width="13.5703125" style="116"/>
    <col min="2819" max="2819" customWidth="1" width="12.425781" style="116"/>
    <col min="2820" max="2820" customWidth="1" width="10.707031" style="116"/>
    <col min="2821" max="2821" customWidth="1" width="11.707031" style="116"/>
    <col min="2822" max="2822" customWidth="1" width="13.1328125" style="116"/>
    <col min="2823" max="2823" customWidth="1" width="13.425781" style="116"/>
    <col min="2824" max="2825" customWidth="1" width="9.28125" style="116"/>
    <col min="2826" max="2826" customWidth="1" width="12.425781" style="116"/>
    <col min="2827" max="2828" customWidth="1" width="9.28125" style="116"/>
    <col min="2829" max="2829" customWidth="1" width="17.707031" style="116"/>
    <col min="2830" max="2860" customWidth="1" width="11.0" style="116"/>
    <col min="2861" max="2861" customWidth="1" width="14.28125" style="116"/>
    <col min="2862" max="2862" customWidth="1" width="12.0" style="116"/>
    <col min="2863" max="2869" customWidth="1" width="9.8515625" style="116"/>
    <col min="2870" max="2870" customWidth="1" width="6.4257812" style="116"/>
    <col min="2871" max="2871" customWidth="1" width="2.5703125" style="116"/>
    <col min="2872" max="2875" customWidth="1" width="9.0" style="116"/>
    <col min="2876" max="3069" customWidth="0" width="8.707031" style="116"/>
    <col min="3070" max="3071" customWidth="1" width="18.28125" style="116"/>
    <col min="3072" max="3074" customWidth="1" width="13.5703125" style="116"/>
    <col min="3075" max="3075" customWidth="1" width="12.425781" style="116"/>
    <col min="3076" max="3076" customWidth="1" width="10.707031" style="116"/>
    <col min="3077" max="3077" customWidth="1" width="11.707031" style="116"/>
    <col min="3078" max="3078" customWidth="1" width="13.1328125" style="116"/>
    <col min="3079" max="3079" customWidth="1" width="13.425781" style="116"/>
    <col min="3080" max="3081" customWidth="1" width="9.28125" style="116"/>
    <col min="3082" max="3082" customWidth="1" width="12.425781" style="116"/>
    <col min="3083" max="3084" customWidth="1" width="9.28125" style="116"/>
    <col min="3085" max="3085" customWidth="1" width="17.707031" style="116"/>
    <col min="3086" max="3116" customWidth="1" width="11.0" style="116"/>
    <col min="3117" max="3117" customWidth="1" width="14.28125" style="116"/>
    <col min="3118" max="3118" customWidth="1" width="12.0" style="116"/>
    <col min="3119" max="3125" customWidth="1" width="9.8515625" style="116"/>
    <col min="3126" max="3126" customWidth="1" width="6.4257812" style="116"/>
    <col min="3127" max="3127" customWidth="1" width="2.5703125" style="116"/>
    <col min="3128" max="3131" customWidth="1" width="9.0" style="116"/>
    <col min="3132" max="3325" customWidth="0" width="8.707031" style="116"/>
    <col min="3326" max="3327" customWidth="1" width="18.28125" style="116"/>
    <col min="3328" max="3330" customWidth="1" width="13.5703125" style="116"/>
    <col min="3331" max="3331" customWidth="1" width="12.425781" style="116"/>
    <col min="3332" max="3332" customWidth="1" width="10.707031" style="116"/>
    <col min="3333" max="3333" customWidth="1" width="11.707031" style="116"/>
    <col min="3334" max="3334" customWidth="1" width="13.1328125" style="116"/>
    <col min="3335" max="3335" customWidth="1" width="13.425781" style="116"/>
    <col min="3336" max="3337" customWidth="1" width="9.28125" style="116"/>
    <col min="3338" max="3338" customWidth="1" width="12.425781" style="116"/>
    <col min="3339" max="3340" customWidth="1" width="9.28125" style="116"/>
    <col min="3341" max="3341" customWidth="1" width="17.707031" style="116"/>
    <col min="3342" max="3372" customWidth="1" width="11.0" style="116"/>
    <col min="3373" max="3373" customWidth="1" width="14.28125" style="116"/>
    <col min="3374" max="3374" customWidth="1" width="12.0" style="116"/>
    <col min="3375" max="3381" customWidth="1" width="9.8515625" style="116"/>
    <col min="3382" max="3382" customWidth="1" width="6.4257812" style="116"/>
    <col min="3383" max="3383" customWidth="1" width="2.5703125" style="116"/>
    <col min="3384" max="3387" customWidth="1" width="9.0" style="116"/>
    <col min="3388" max="3581" customWidth="0" width="8.707031" style="116"/>
    <col min="3582" max="3583" customWidth="1" width="18.28125" style="116"/>
    <col min="3584" max="3586" customWidth="1" width="13.5703125" style="116"/>
    <col min="3587" max="3587" customWidth="1" width="12.425781" style="116"/>
    <col min="3588" max="3588" customWidth="1" width="10.707031" style="116"/>
    <col min="3589" max="3589" customWidth="1" width="11.707031" style="116"/>
    <col min="3590" max="3590" customWidth="1" width="13.1328125" style="116"/>
    <col min="3591" max="3591" customWidth="1" width="13.425781" style="116"/>
    <col min="3592" max="3593" customWidth="1" width="9.28125" style="116"/>
    <col min="3594" max="3594" customWidth="1" width="12.425781" style="116"/>
    <col min="3595" max="3596" customWidth="1" width="9.28125" style="116"/>
    <col min="3597" max="3597" customWidth="1" width="17.707031" style="116"/>
    <col min="3598" max="3628" customWidth="1" width="11.0" style="116"/>
    <col min="3629" max="3629" customWidth="1" width="14.28125" style="116"/>
    <col min="3630" max="3630" customWidth="1" width="12.0" style="116"/>
    <col min="3631" max="3637" customWidth="1" width="9.8515625" style="116"/>
    <col min="3638" max="3638" customWidth="1" width="6.4257812" style="116"/>
    <col min="3639" max="3639" customWidth="1" width="2.5703125" style="116"/>
    <col min="3640" max="3643" customWidth="1" width="9.0" style="116"/>
    <col min="3644" max="3837" customWidth="0" width="8.707031" style="116"/>
    <col min="3838" max="3839" customWidth="1" width="18.28125" style="116"/>
    <col min="3840" max="3842" customWidth="1" width="13.5703125" style="116"/>
    <col min="3843" max="3843" customWidth="1" width="12.425781" style="116"/>
    <col min="3844" max="3844" customWidth="1" width="10.707031" style="116"/>
    <col min="3845" max="3845" customWidth="1" width="11.707031" style="116"/>
    <col min="3846" max="3846" customWidth="1" width="13.1328125" style="116"/>
    <col min="3847" max="3847" customWidth="1" width="13.425781" style="116"/>
    <col min="3848" max="3849" customWidth="1" width="9.28125" style="116"/>
    <col min="3850" max="3850" customWidth="1" width="12.425781" style="116"/>
    <col min="3851" max="3852" customWidth="1" width="9.28125" style="116"/>
    <col min="3853" max="3853" customWidth="1" width="17.707031" style="116"/>
    <col min="3854" max="3884" customWidth="1" width="11.0" style="116"/>
    <col min="3885" max="3885" customWidth="1" width="14.28125" style="116"/>
    <col min="3886" max="3886" customWidth="1" width="12.0" style="116"/>
    <col min="3887" max="3893" customWidth="1" width="9.8515625" style="116"/>
    <col min="3894" max="3894" customWidth="1" width="6.4257812" style="116"/>
    <col min="3895" max="3895" customWidth="1" width="2.5703125" style="116"/>
    <col min="3896" max="3899" customWidth="1" width="9.0" style="116"/>
    <col min="3900" max="4093" customWidth="0" width="8.707031" style="116"/>
    <col min="4094" max="4095" customWidth="1" width="18.28125" style="116"/>
    <col min="4096" max="4098" customWidth="1" width="13.5703125" style="116"/>
    <col min="4099" max="4099" customWidth="1" width="12.425781" style="116"/>
    <col min="4100" max="4100" customWidth="1" width="10.707031" style="116"/>
    <col min="4101" max="4101" customWidth="1" width="11.707031" style="116"/>
    <col min="4102" max="4102" customWidth="1" width="13.1328125" style="116"/>
    <col min="4103" max="4103" customWidth="1" width="13.425781" style="116"/>
    <col min="4104" max="4105" customWidth="1" width="9.28125" style="116"/>
    <col min="4106" max="4106" customWidth="1" width="12.425781" style="116"/>
    <col min="4107" max="4108" customWidth="1" width="9.28125" style="116"/>
    <col min="4109" max="4109" customWidth="1" width="17.707031" style="116"/>
    <col min="4110" max="4140" customWidth="1" width="11.0" style="116"/>
    <col min="4141" max="4141" customWidth="1" width="14.28125" style="116"/>
    <col min="4142" max="4142" customWidth="1" width="12.0" style="116"/>
    <col min="4143" max="4149" customWidth="1" width="9.8515625" style="116"/>
    <col min="4150" max="4150" customWidth="1" width="6.4257812" style="116"/>
    <col min="4151" max="4151" customWidth="1" width="2.5703125" style="116"/>
    <col min="4152" max="4155" customWidth="1" width="9.0" style="116"/>
    <col min="4156" max="4349" customWidth="0" width="8.707031" style="116"/>
    <col min="4350" max="4351" customWidth="1" width="18.28125" style="116"/>
    <col min="4352" max="4354" customWidth="1" width="13.5703125" style="116"/>
    <col min="4355" max="4355" customWidth="1" width="12.425781" style="116"/>
    <col min="4356" max="4356" customWidth="1" width="10.707031" style="116"/>
    <col min="4357" max="4357" customWidth="1" width="11.707031" style="116"/>
    <col min="4358" max="4358" customWidth="1" width="13.1328125" style="116"/>
    <col min="4359" max="4359" customWidth="1" width="13.425781" style="116"/>
    <col min="4360" max="4361" customWidth="1" width="9.28125" style="116"/>
    <col min="4362" max="4362" customWidth="1" width="12.425781" style="116"/>
    <col min="4363" max="4364" customWidth="1" width="9.28125" style="116"/>
    <col min="4365" max="4365" customWidth="1" width="17.707031" style="116"/>
    <col min="4366" max="4396" customWidth="1" width="11.0" style="116"/>
    <col min="4397" max="4397" customWidth="1" width="14.28125" style="116"/>
    <col min="4398" max="4398" customWidth="1" width="12.0" style="116"/>
    <col min="4399" max="4405" customWidth="1" width="9.8515625" style="116"/>
    <col min="4406" max="4406" customWidth="1" width="6.4257812" style="116"/>
    <col min="4407" max="4407" customWidth="1" width="2.5703125" style="116"/>
    <col min="4408" max="4411" customWidth="1" width="9.0" style="116"/>
    <col min="4412" max="4605" customWidth="0" width="8.707031" style="116"/>
    <col min="4606" max="4607" customWidth="1" width="18.28125" style="116"/>
    <col min="4608" max="4610" customWidth="1" width="13.5703125" style="116"/>
    <col min="4611" max="4611" customWidth="1" width="12.425781" style="116"/>
    <col min="4612" max="4612" customWidth="1" width="10.707031" style="116"/>
    <col min="4613" max="4613" customWidth="1" width="11.707031" style="116"/>
    <col min="4614" max="4614" customWidth="1" width="13.1328125" style="116"/>
    <col min="4615" max="4615" customWidth="1" width="13.425781" style="116"/>
    <col min="4616" max="4617" customWidth="1" width="9.28125" style="116"/>
    <col min="4618" max="4618" customWidth="1" width="12.425781" style="116"/>
    <col min="4619" max="4620" customWidth="1" width="9.28125" style="116"/>
    <col min="4621" max="4621" customWidth="1" width="17.707031" style="116"/>
    <col min="4622" max="4652" customWidth="1" width="11.0" style="116"/>
    <col min="4653" max="4653" customWidth="1" width="14.28125" style="116"/>
    <col min="4654" max="4654" customWidth="1" width="12.0" style="116"/>
    <col min="4655" max="4661" customWidth="1" width="9.8515625" style="116"/>
    <col min="4662" max="4662" customWidth="1" width="6.4257812" style="116"/>
    <col min="4663" max="4663" customWidth="1" width="2.5703125" style="116"/>
    <col min="4664" max="4667" customWidth="1" width="9.0" style="116"/>
    <col min="4668" max="4861" customWidth="0" width="8.707031" style="116"/>
    <col min="4862" max="4863" customWidth="1" width="18.28125" style="116"/>
    <col min="4864" max="4866" customWidth="1" width="13.5703125" style="116"/>
    <col min="4867" max="4867" customWidth="1" width="12.425781" style="116"/>
    <col min="4868" max="4868" customWidth="1" width="10.707031" style="116"/>
    <col min="4869" max="4869" customWidth="1" width="11.707031" style="116"/>
    <col min="4870" max="4870" customWidth="1" width="13.1328125" style="116"/>
    <col min="4871" max="4871" customWidth="1" width="13.425781" style="116"/>
    <col min="4872" max="4873" customWidth="1" width="9.28125" style="116"/>
    <col min="4874" max="4874" customWidth="1" width="12.425781" style="116"/>
    <col min="4875" max="4876" customWidth="1" width="9.28125" style="116"/>
    <col min="4877" max="4877" customWidth="1" width="17.707031" style="116"/>
    <col min="4878" max="4908" customWidth="1" width="11.0" style="116"/>
    <col min="4909" max="4909" customWidth="1" width="14.28125" style="116"/>
    <col min="4910" max="4910" customWidth="1" width="12.0" style="116"/>
    <col min="4911" max="4917" customWidth="1" width="9.8515625" style="116"/>
    <col min="4918" max="4918" customWidth="1" width="6.4257812" style="116"/>
    <col min="4919" max="4919" customWidth="1" width="2.5703125" style="116"/>
    <col min="4920" max="4923" customWidth="1" width="9.0" style="116"/>
    <col min="4924" max="5117" customWidth="0" width="8.707031" style="116"/>
    <col min="5118" max="5119" customWidth="1" width="18.28125" style="116"/>
    <col min="5120" max="5122" customWidth="1" width="13.5703125" style="116"/>
    <col min="5123" max="5123" customWidth="1" width="12.425781" style="116"/>
    <col min="5124" max="5124" customWidth="1" width="10.707031" style="116"/>
    <col min="5125" max="5125" customWidth="1" width="11.707031" style="116"/>
    <col min="5126" max="5126" customWidth="1" width="13.1328125" style="116"/>
    <col min="5127" max="5127" customWidth="1" width="13.425781" style="116"/>
    <col min="5128" max="5129" customWidth="1" width="9.28125" style="116"/>
    <col min="5130" max="5130" customWidth="1" width="12.425781" style="116"/>
    <col min="5131" max="5132" customWidth="1" width="9.28125" style="116"/>
    <col min="5133" max="5133" customWidth="1" width="17.707031" style="116"/>
    <col min="5134" max="5164" customWidth="1" width="11.0" style="116"/>
    <col min="5165" max="5165" customWidth="1" width="14.28125" style="116"/>
    <col min="5166" max="5166" customWidth="1" width="12.0" style="116"/>
    <col min="5167" max="5173" customWidth="1" width="9.8515625" style="116"/>
    <col min="5174" max="5174" customWidth="1" width="6.4257812" style="116"/>
    <col min="5175" max="5175" customWidth="1" width="2.5703125" style="116"/>
    <col min="5176" max="5179" customWidth="1" width="9.0" style="116"/>
    <col min="5180" max="5373" customWidth="0" width="8.707031" style="116"/>
    <col min="5374" max="5375" customWidth="1" width="18.28125" style="116"/>
    <col min="5376" max="5378" customWidth="1" width="13.5703125" style="116"/>
    <col min="5379" max="5379" customWidth="1" width="12.425781" style="116"/>
    <col min="5380" max="5380" customWidth="1" width="10.707031" style="116"/>
    <col min="5381" max="5381" customWidth="1" width="11.707031" style="116"/>
    <col min="5382" max="5382" customWidth="1" width="13.1328125" style="116"/>
    <col min="5383" max="5383" customWidth="1" width="13.425781" style="116"/>
    <col min="5384" max="5385" customWidth="1" width="9.28125" style="116"/>
    <col min="5386" max="5386" customWidth="1" width="12.425781" style="116"/>
    <col min="5387" max="5388" customWidth="1" width="9.28125" style="116"/>
    <col min="5389" max="5389" customWidth="1" width="17.707031" style="116"/>
    <col min="5390" max="5420" customWidth="1" width="11.0" style="116"/>
    <col min="5421" max="5421" customWidth="1" width="14.28125" style="116"/>
    <col min="5422" max="5422" customWidth="1" width="12.0" style="116"/>
    <col min="5423" max="5429" customWidth="1" width="9.8515625" style="116"/>
    <col min="5430" max="5430" customWidth="1" width="6.4257812" style="116"/>
    <col min="5431" max="5431" customWidth="1" width="2.5703125" style="116"/>
    <col min="5432" max="5435" customWidth="1" width="9.0" style="116"/>
    <col min="5436" max="5629" customWidth="0" width="8.707031" style="116"/>
    <col min="5630" max="5631" customWidth="1" width="18.28125" style="116"/>
    <col min="5632" max="5634" customWidth="1" width="13.5703125" style="116"/>
    <col min="5635" max="5635" customWidth="1" width="12.425781" style="116"/>
    <col min="5636" max="5636" customWidth="1" width="10.707031" style="116"/>
    <col min="5637" max="5637" customWidth="1" width="11.707031" style="116"/>
    <col min="5638" max="5638" customWidth="1" width="13.1328125" style="116"/>
    <col min="5639" max="5639" customWidth="1" width="13.425781" style="116"/>
    <col min="5640" max="5641" customWidth="1" width="9.28125" style="116"/>
    <col min="5642" max="5642" customWidth="1" width="12.425781" style="116"/>
    <col min="5643" max="5644" customWidth="1" width="9.28125" style="116"/>
    <col min="5645" max="5645" customWidth="1" width="17.707031" style="116"/>
    <col min="5646" max="5676" customWidth="1" width="11.0" style="116"/>
    <col min="5677" max="5677" customWidth="1" width="14.28125" style="116"/>
    <col min="5678" max="5678" customWidth="1" width="12.0" style="116"/>
    <col min="5679" max="5685" customWidth="1" width="9.8515625" style="116"/>
    <col min="5686" max="5686" customWidth="1" width="6.4257812" style="116"/>
    <col min="5687" max="5687" customWidth="1" width="2.5703125" style="116"/>
    <col min="5688" max="5691" customWidth="1" width="9.0" style="116"/>
    <col min="5692" max="5885" customWidth="0" width="8.707031" style="116"/>
    <col min="5886" max="5887" customWidth="1" width="18.28125" style="116"/>
    <col min="5888" max="5890" customWidth="1" width="13.5703125" style="116"/>
    <col min="5891" max="5891" customWidth="1" width="12.425781" style="116"/>
    <col min="5892" max="5892" customWidth="1" width="10.707031" style="116"/>
    <col min="5893" max="5893" customWidth="1" width="11.707031" style="116"/>
    <col min="5894" max="5894" customWidth="1" width="13.1328125" style="116"/>
    <col min="5895" max="5895" customWidth="1" width="13.425781" style="116"/>
    <col min="5896" max="5897" customWidth="1" width="9.28125" style="116"/>
    <col min="5898" max="5898" customWidth="1" width="12.425781" style="116"/>
    <col min="5899" max="5900" customWidth="1" width="9.28125" style="116"/>
    <col min="5901" max="5901" customWidth="1" width="17.707031" style="116"/>
    <col min="5902" max="5932" customWidth="1" width="11.0" style="116"/>
    <col min="5933" max="5933" customWidth="1" width="14.28125" style="116"/>
    <col min="5934" max="5934" customWidth="1" width="12.0" style="116"/>
    <col min="5935" max="5941" customWidth="1" width="9.8515625" style="116"/>
    <col min="5942" max="5942" customWidth="1" width="6.4257812" style="116"/>
    <col min="5943" max="5943" customWidth="1" width="2.5703125" style="116"/>
    <col min="5944" max="5947" customWidth="1" width="9.0" style="116"/>
    <col min="5948" max="6141" customWidth="0" width="8.707031" style="116"/>
    <col min="6142" max="6143" customWidth="1" width="18.28125" style="116"/>
    <col min="6144" max="6146" customWidth="1" width="13.5703125" style="116"/>
    <col min="6147" max="6147" customWidth="1" width="12.425781" style="116"/>
    <col min="6148" max="6148" customWidth="1" width="10.707031" style="116"/>
    <col min="6149" max="6149" customWidth="1" width="11.707031" style="116"/>
    <col min="6150" max="6150" customWidth="1" width="13.1328125" style="116"/>
    <col min="6151" max="6151" customWidth="1" width="13.425781" style="116"/>
    <col min="6152" max="6153" customWidth="1" width="9.28125" style="116"/>
    <col min="6154" max="6154" customWidth="1" width="12.425781" style="116"/>
    <col min="6155" max="6156" customWidth="1" width="9.28125" style="116"/>
    <col min="6157" max="6157" customWidth="1" width="17.707031" style="116"/>
    <col min="6158" max="6188" customWidth="1" width="11.0" style="116"/>
    <col min="6189" max="6189" customWidth="1" width="14.28125" style="116"/>
    <col min="6190" max="6190" customWidth="1" width="12.0" style="116"/>
    <col min="6191" max="6197" customWidth="1" width="9.8515625" style="116"/>
    <col min="6198" max="6198" customWidth="1" width="6.4257812" style="116"/>
    <col min="6199" max="6199" customWidth="1" width="2.5703125" style="116"/>
    <col min="6200" max="6203" customWidth="1" width="9.0" style="116"/>
    <col min="6204" max="6397" customWidth="0" width="8.707031" style="116"/>
    <col min="6398" max="6399" customWidth="1" width="18.28125" style="116"/>
    <col min="6400" max="6402" customWidth="1" width="13.5703125" style="116"/>
    <col min="6403" max="6403" customWidth="1" width="12.425781" style="116"/>
    <col min="6404" max="6404" customWidth="1" width="10.707031" style="116"/>
    <col min="6405" max="6405" customWidth="1" width="11.707031" style="116"/>
    <col min="6406" max="6406" customWidth="1" width="13.1328125" style="116"/>
    <col min="6407" max="6407" customWidth="1" width="13.425781" style="116"/>
    <col min="6408" max="6409" customWidth="1" width="9.28125" style="116"/>
    <col min="6410" max="6410" customWidth="1" width="12.425781" style="116"/>
    <col min="6411" max="6412" customWidth="1" width="9.28125" style="116"/>
    <col min="6413" max="6413" customWidth="1" width="17.707031" style="116"/>
    <col min="6414" max="6444" customWidth="1" width="11.0" style="116"/>
    <col min="6445" max="6445" customWidth="1" width="14.28125" style="116"/>
    <col min="6446" max="6446" customWidth="1" width="12.0" style="116"/>
    <col min="6447" max="6453" customWidth="1" width="9.8515625" style="116"/>
    <col min="6454" max="6454" customWidth="1" width="6.4257812" style="116"/>
    <col min="6455" max="6455" customWidth="1" width="2.5703125" style="116"/>
    <col min="6456" max="6459" customWidth="1" width="9.0" style="116"/>
    <col min="6460" max="6653" customWidth="0" width="8.707031" style="116"/>
    <col min="6654" max="6655" customWidth="1" width="18.28125" style="116"/>
    <col min="6656" max="6658" customWidth="1" width="13.5703125" style="116"/>
    <col min="6659" max="6659" customWidth="1" width="12.425781" style="116"/>
    <col min="6660" max="6660" customWidth="1" width="10.707031" style="116"/>
    <col min="6661" max="6661" customWidth="1" width="11.707031" style="116"/>
    <col min="6662" max="6662" customWidth="1" width="13.1328125" style="116"/>
    <col min="6663" max="6663" customWidth="1" width="13.425781" style="116"/>
    <col min="6664" max="6665" customWidth="1" width="9.28125" style="116"/>
    <col min="6666" max="6666" customWidth="1" width="12.425781" style="116"/>
    <col min="6667" max="6668" customWidth="1" width="9.28125" style="116"/>
    <col min="6669" max="6669" customWidth="1" width="17.707031" style="116"/>
    <col min="6670" max="6700" customWidth="1" width="11.0" style="116"/>
    <col min="6701" max="6701" customWidth="1" width="14.28125" style="116"/>
    <col min="6702" max="6702" customWidth="1" width="12.0" style="116"/>
    <col min="6703" max="6709" customWidth="1" width="9.8515625" style="116"/>
    <col min="6710" max="6710" customWidth="1" width="6.4257812" style="116"/>
    <col min="6711" max="6711" customWidth="1" width="2.5703125" style="116"/>
    <col min="6712" max="6715" customWidth="1" width="9.0" style="116"/>
    <col min="6716" max="6909" customWidth="0" width="8.707031" style="116"/>
    <col min="6910" max="6911" customWidth="1" width="18.28125" style="116"/>
    <col min="6912" max="6914" customWidth="1" width="13.5703125" style="116"/>
    <col min="6915" max="6915" customWidth="1" width="12.425781" style="116"/>
    <col min="6916" max="6916" customWidth="1" width="10.707031" style="116"/>
    <col min="6917" max="6917" customWidth="1" width="11.707031" style="116"/>
    <col min="6918" max="6918" customWidth="1" width="13.1328125" style="116"/>
    <col min="6919" max="6919" customWidth="1" width="13.425781" style="116"/>
    <col min="6920" max="6921" customWidth="1" width="9.28125" style="116"/>
    <col min="6922" max="6922" customWidth="1" width="12.425781" style="116"/>
    <col min="6923" max="6924" customWidth="1" width="9.28125" style="116"/>
    <col min="6925" max="6925" customWidth="1" width="17.707031" style="116"/>
    <col min="6926" max="6956" customWidth="1" width="11.0" style="116"/>
    <col min="6957" max="6957" customWidth="1" width="14.28125" style="116"/>
    <col min="6958" max="6958" customWidth="1" width="12.0" style="116"/>
    <col min="6959" max="6965" customWidth="1" width="9.8515625" style="116"/>
    <col min="6966" max="6966" customWidth="1" width="6.4257812" style="116"/>
    <col min="6967" max="6967" customWidth="1" width="2.5703125" style="116"/>
    <col min="6968" max="6971" customWidth="1" width="9.0" style="116"/>
    <col min="6972" max="7165" customWidth="0" width="8.707031" style="116"/>
    <col min="7166" max="7167" customWidth="1" width="18.28125" style="116"/>
    <col min="7168" max="7170" customWidth="1" width="13.5703125" style="116"/>
    <col min="7171" max="7171" customWidth="1" width="12.425781" style="116"/>
    <col min="7172" max="7172" customWidth="1" width="10.707031" style="116"/>
    <col min="7173" max="7173" customWidth="1" width="11.707031" style="116"/>
    <col min="7174" max="7174" customWidth="1" width="13.1328125" style="116"/>
    <col min="7175" max="7175" customWidth="1" width="13.425781" style="116"/>
    <col min="7176" max="7177" customWidth="1" width="9.28125" style="116"/>
    <col min="7178" max="7178" customWidth="1" width="12.425781" style="116"/>
    <col min="7179" max="7180" customWidth="1" width="9.28125" style="116"/>
    <col min="7181" max="7181" customWidth="1" width="17.707031" style="116"/>
    <col min="7182" max="7212" customWidth="1" width="11.0" style="116"/>
    <col min="7213" max="7213" customWidth="1" width="14.28125" style="116"/>
    <col min="7214" max="7214" customWidth="1" width="12.0" style="116"/>
    <col min="7215" max="7221" customWidth="1" width="9.8515625" style="116"/>
    <col min="7222" max="7222" customWidth="1" width="6.4257812" style="116"/>
    <col min="7223" max="7223" customWidth="1" width="2.5703125" style="116"/>
    <col min="7224" max="7227" customWidth="1" width="9.0" style="116"/>
    <col min="7228" max="7421" customWidth="0" width="8.707031" style="116"/>
    <col min="7422" max="7423" customWidth="1" width="18.28125" style="116"/>
    <col min="7424" max="7426" customWidth="1" width="13.5703125" style="116"/>
    <col min="7427" max="7427" customWidth="1" width="12.425781" style="116"/>
    <col min="7428" max="7428" customWidth="1" width="10.707031" style="116"/>
    <col min="7429" max="7429" customWidth="1" width="11.707031" style="116"/>
    <col min="7430" max="7430" customWidth="1" width="13.1328125" style="116"/>
    <col min="7431" max="7431" customWidth="1" width="13.425781" style="116"/>
    <col min="7432" max="7433" customWidth="1" width="9.28125" style="116"/>
    <col min="7434" max="7434" customWidth="1" width="12.425781" style="116"/>
    <col min="7435" max="7436" customWidth="1" width="9.28125" style="116"/>
    <col min="7437" max="7437" customWidth="1" width="17.707031" style="116"/>
    <col min="7438" max="7468" customWidth="1" width="11.0" style="116"/>
    <col min="7469" max="7469" customWidth="1" width="14.28125" style="116"/>
    <col min="7470" max="7470" customWidth="1" width="12.0" style="116"/>
    <col min="7471" max="7477" customWidth="1" width="9.8515625" style="116"/>
    <col min="7478" max="7478" customWidth="1" width="6.4257812" style="116"/>
    <col min="7479" max="7479" customWidth="1" width="2.5703125" style="116"/>
    <col min="7480" max="7483" customWidth="1" width="9.0" style="116"/>
    <col min="7484" max="7677" customWidth="0" width="8.707031" style="116"/>
    <col min="7678" max="7679" customWidth="1" width="18.28125" style="116"/>
    <col min="7680" max="7682" customWidth="1" width="13.5703125" style="116"/>
    <col min="7683" max="7683" customWidth="1" width="12.425781" style="116"/>
    <col min="7684" max="7684" customWidth="1" width="10.707031" style="116"/>
    <col min="7685" max="7685" customWidth="1" width="11.707031" style="116"/>
    <col min="7686" max="7686" customWidth="1" width="13.1328125" style="116"/>
    <col min="7687" max="7687" customWidth="1" width="13.425781" style="116"/>
    <col min="7688" max="7689" customWidth="1" width="9.28125" style="116"/>
    <col min="7690" max="7690" customWidth="1" width="12.425781" style="116"/>
    <col min="7691" max="7692" customWidth="1" width="9.28125" style="116"/>
    <col min="7693" max="7693" customWidth="1" width="17.707031" style="116"/>
    <col min="7694" max="7724" customWidth="1" width="11.0" style="116"/>
    <col min="7725" max="7725" customWidth="1" width="14.28125" style="116"/>
    <col min="7726" max="7726" customWidth="1" width="12.0" style="116"/>
    <col min="7727" max="7733" customWidth="1" width="9.8515625" style="116"/>
    <col min="7734" max="7734" customWidth="1" width="6.4257812" style="116"/>
    <col min="7735" max="7735" customWidth="1" width="2.5703125" style="116"/>
    <col min="7736" max="7739" customWidth="1" width="9.0" style="116"/>
    <col min="7740" max="7933" customWidth="0" width="8.707031" style="116"/>
    <col min="7934" max="7935" customWidth="1" width="18.28125" style="116"/>
    <col min="7936" max="7938" customWidth="1" width="13.5703125" style="116"/>
    <col min="7939" max="7939" customWidth="1" width="12.425781" style="116"/>
    <col min="7940" max="7940" customWidth="1" width="10.707031" style="116"/>
    <col min="7941" max="7941" customWidth="1" width="11.707031" style="116"/>
    <col min="7942" max="7942" customWidth="1" width="13.1328125" style="116"/>
    <col min="7943" max="7943" customWidth="1" width="13.425781" style="116"/>
    <col min="7944" max="7945" customWidth="1" width="9.28125" style="116"/>
    <col min="7946" max="7946" customWidth="1" width="12.425781" style="116"/>
    <col min="7947" max="7948" customWidth="1" width="9.28125" style="116"/>
    <col min="7949" max="7949" customWidth="1" width="17.707031" style="116"/>
    <col min="7950" max="7980" customWidth="1" width="11.0" style="116"/>
    <col min="7981" max="7981" customWidth="1" width="14.28125" style="116"/>
    <col min="7982" max="7982" customWidth="1" width="12.0" style="116"/>
    <col min="7983" max="7989" customWidth="1" width="9.8515625" style="116"/>
    <col min="7990" max="7990" customWidth="1" width="6.4257812" style="116"/>
    <col min="7991" max="7991" customWidth="1" width="2.5703125" style="116"/>
    <col min="7992" max="7995" customWidth="1" width="9.0" style="116"/>
    <col min="7996" max="8189" customWidth="0" width="8.707031" style="116"/>
    <col min="8190" max="8191" customWidth="1" width="18.28125" style="116"/>
    <col min="8192" max="8194" customWidth="1" width="13.5703125" style="116"/>
    <col min="8195" max="8195" customWidth="1" width="12.425781" style="116"/>
    <col min="8196" max="8196" customWidth="1" width="10.707031" style="116"/>
    <col min="8197" max="8197" customWidth="1" width="11.707031" style="116"/>
    <col min="8198" max="8198" customWidth="1" width="13.1328125" style="116"/>
    <col min="8199" max="8199" customWidth="1" width="13.425781" style="116"/>
    <col min="8200" max="8201" customWidth="1" width="9.28125" style="116"/>
    <col min="8202" max="8202" customWidth="1" width="12.425781" style="116"/>
    <col min="8203" max="8204" customWidth="1" width="9.28125" style="116"/>
    <col min="8205" max="8205" customWidth="1" width="17.707031" style="116"/>
    <col min="8206" max="8236" customWidth="1" width="11.0" style="116"/>
    <col min="8237" max="8237" customWidth="1" width="14.28125" style="116"/>
    <col min="8238" max="8238" customWidth="1" width="12.0" style="116"/>
    <col min="8239" max="8245" customWidth="1" width="9.8515625" style="116"/>
    <col min="8246" max="8246" customWidth="1" width="6.4257812" style="116"/>
    <col min="8247" max="8247" customWidth="1" width="2.5703125" style="116"/>
    <col min="8248" max="8251" customWidth="1" width="9.0" style="116"/>
    <col min="8252" max="8445" customWidth="0" width="8.707031" style="116"/>
    <col min="8446" max="8447" customWidth="1" width="18.28125" style="116"/>
    <col min="8448" max="8450" customWidth="1" width="13.5703125" style="116"/>
    <col min="8451" max="8451" customWidth="1" width="12.425781" style="116"/>
    <col min="8452" max="8452" customWidth="1" width="10.707031" style="116"/>
    <col min="8453" max="8453" customWidth="1" width="11.707031" style="116"/>
    <col min="8454" max="8454" customWidth="1" width="13.1328125" style="116"/>
    <col min="8455" max="8455" customWidth="1" width="13.425781" style="116"/>
    <col min="8456" max="8457" customWidth="1" width="9.28125" style="116"/>
    <col min="8458" max="8458" customWidth="1" width="12.425781" style="116"/>
    <col min="8459" max="8460" customWidth="1" width="9.28125" style="116"/>
    <col min="8461" max="8461" customWidth="1" width="17.707031" style="116"/>
    <col min="8462" max="8492" customWidth="1" width="11.0" style="116"/>
    <col min="8493" max="8493" customWidth="1" width="14.28125" style="116"/>
    <col min="8494" max="8494" customWidth="1" width="12.0" style="116"/>
    <col min="8495" max="8501" customWidth="1" width="9.8515625" style="116"/>
    <col min="8502" max="8502" customWidth="1" width="6.4257812" style="116"/>
    <col min="8503" max="8503" customWidth="1" width="2.5703125" style="116"/>
    <col min="8504" max="8507" customWidth="1" width="9.0" style="116"/>
    <col min="8508" max="8701" customWidth="0" width="8.707031" style="116"/>
    <col min="8702" max="8703" customWidth="1" width="18.28125" style="116"/>
    <col min="8704" max="8706" customWidth="1" width="13.5703125" style="116"/>
    <col min="8707" max="8707" customWidth="1" width="12.425781" style="116"/>
    <col min="8708" max="8708" customWidth="1" width="10.707031" style="116"/>
    <col min="8709" max="8709" customWidth="1" width="11.707031" style="116"/>
    <col min="8710" max="8710" customWidth="1" width="13.1328125" style="116"/>
    <col min="8711" max="8711" customWidth="1" width="13.425781" style="116"/>
    <col min="8712" max="8713" customWidth="1" width="9.28125" style="116"/>
    <col min="8714" max="8714" customWidth="1" width="12.425781" style="116"/>
    <col min="8715" max="8716" customWidth="1" width="9.28125" style="116"/>
    <col min="8717" max="8717" customWidth="1" width="17.707031" style="116"/>
    <col min="8718" max="8748" customWidth="1" width="11.0" style="116"/>
    <col min="8749" max="8749" customWidth="1" width="14.28125" style="116"/>
    <col min="8750" max="8750" customWidth="1" width="12.0" style="116"/>
    <col min="8751" max="8757" customWidth="1" width="9.8515625" style="116"/>
    <col min="8758" max="8758" customWidth="1" width="6.4257812" style="116"/>
    <col min="8759" max="8759" customWidth="1" width="2.5703125" style="116"/>
    <col min="8760" max="8763" customWidth="1" width="9.0" style="116"/>
    <col min="8764" max="8957" customWidth="0" width="8.707031" style="116"/>
    <col min="8958" max="8959" customWidth="1" width="18.28125" style="116"/>
    <col min="8960" max="8962" customWidth="1" width="13.5703125" style="116"/>
    <col min="8963" max="8963" customWidth="1" width="12.425781" style="116"/>
    <col min="8964" max="8964" customWidth="1" width="10.707031" style="116"/>
    <col min="8965" max="8965" customWidth="1" width="11.707031" style="116"/>
    <col min="8966" max="8966" customWidth="1" width="13.1328125" style="116"/>
    <col min="8967" max="8967" customWidth="1" width="13.425781" style="116"/>
    <col min="8968" max="8969" customWidth="1" width="9.28125" style="116"/>
    <col min="8970" max="8970" customWidth="1" width="12.425781" style="116"/>
    <col min="8971" max="8972" customWidth="1" width="9.28125" style="116"/>
    <col min="8973" max="8973" customWidth="1" width="17.707031" style="116"/>
    <col min="8974" max="9004" customWidth="1" width="11.0" style="116"/>
    <col min="9005" max="9005" customWidth="1" width="14.28125" style="116"/>
    <col min="9006" max="9006" customWidth="1" width="12.0" style="116"/>
    <col min="9007" max="9013" customWidth="1" width="9.8515625" style="116"/>
    <col min="9014" max="9014" customWidth="1" width="6.4257812" style="116"/>
    <col min="9015" max="9015" customWidth="1" width="2.5703125" style="116"/>
    <col min="9016" max="9019" customWidth="1" width="9.0" style="116"/>
    <col min="9020" max="9213" customWidth="0" width="8.707031" style="116"/>
    <col min="9214" max="9215" customWidth="1" width="18.28125" style="116"/>
    <col min="9216" max="9218" customWidth="1" width="13.5703125" style="116"/>
    <col min="9219" max="9219" customWidth="1" width="12.425781" style="116"/>
    <col min="9220" max="9220" customWidth="1" width="10.707031" style="116"/>
    <col min="9221" max="9221" customWidth="1" width="11.707031" style="116"/>
    <col min="9222" max="9222" customWidth="1" width="13.1328125" style="116"/>
    <col min="9223" max="9223" customWidth="1" width="13.425781" style="116"/>
    <col min="9224" max="9225" customWidth="1" width="9.28125" style="116"/>
    <col min="9226" max="9226" customWidth="1" width="12.425781" style="116"/>
    <col min="9227" max="9228" customWidth="1" width="9.28125" style="116"/>
    <col min="9229" max="9229" customWidth="1" width="17.707031" style="116"/>
    <col min="9230" max="9260" customWidth="1" width="11.0" style="116"/>
    <col min="9261" max="9261" customWidth="1" width="14.28125" style="116"/>
    <col min="9262" max="9262" customWidth="1" width="12.0" style="116"/>
    <col min="9263" max="9269" customWidth="1" width="9.8515625" style="116"/>
    <col min="9270" max="9270" customWidth="1" width="6.4257812" style="116"/>
    <col min="9271" max="9271" customWidth="1" width="2.5703125" style="116"/>
    <col min="9272" max="9275" customWidth="1" width="9.0" style="116"/>
    <col min="9276" max="9469" customWidth="0" width="8.707031" style="116"/>
    <col min="9470" max="9471" customWidth="1" width="18.28125" style="116"/>
    <col min="9472" max="9474" customWidth="1" width="13.5703125" style="116"/>
    <col min="9475" max="9475" customWidth="1" width="12.425781" style="116"/>
    <col min="9476" max="9476" customWidth="1" width="10.707031" style="116"/>
    <col min="9477" max="9477" customWidth="1" width="11.707031" style="116"/>
    <col min="9478" max="9478" customWidth="1" width="13.1328125" style="116"/>
    <col min="9479" max="9479" customWidth="1" width="13.425781" style="116"/>
    <col min="9480" max="9481" customWidth="1" width="9.28125" style="116"/>
    <col min="9482" max="9482" customWidth="1" width="12.425781" style="116"/>
    <col min="9483" max="9484" customWidth="1" width="9.28125" style="116"/>
    <col min="9485" max="9485" customWidth="1" width="17.707031" style="116"/>
    <col min="9486" max="9516" customWidth="1" width="11.0" style="116"/>
    <col min="9517" max="9517" customWidth="1" width="14.28125" style="116"/>
    <col min="9518" max="9518" customWidth="1" width="12.0" style="116"/>
    <col min="9519" max="9525" customWidth="1" width="9.8515625" style="116"/>
    <col min="9526" max="9526" customWidth="1" width="6.4257812" style="116"/>
    <col min="9527" max="9527" customWidth="1" width="2.5703125" style="116"/>
    <col min="9528" max="9531" customWidth="1" width="9.0" style="116"/>
    <col min="9532" max="9725" customWidth="0" width="8.707031" style="116"/>
    <col min="9726" max="9727" customWidth="1" width="18.28125" style="116"/>
    <col min="9728" max="9730" customWidth="1" width="13.5703125" style="116"/>
    <col min="9731" max="9731" customWidth="1" width="12.425781" style="116"/>
    <col min="9732" max="9732" customWidth="1" width="10.707031" style="116"/>
    <col min="9733" max="9733" customWidth="1" width="11.707031" style="116"/>
    <col min="9734" max="9734" customWidth="1" width="13.1328125" style="116"/>
    <col min="9735" max="9735" customWidth="1" width="13.425781" style="116"/>
    <col min="9736" max="9737" customWidth="1" width="9.28125" style="116"/>
    <col min="9738" max="9738" customWidth="1" width="12.425781" style="116"/>
    <col min="9739" max="9740" customWidth="1" width="9.28125" style="116"/>
    <col min="9741" max="9741" customWidth="1" width="17.707031" style="116"/>
    <col min="9742" max="9772" customWidth="1" width="11.0" style="116"/>
    <col min="9773" max="9773" customWidth="1" width="14.28125" style="116"/>
    <col min="9774" max="9774" customWidth="1" width="12.0" style="116"/>
    <col min="9775" max="9781" customWidth="1" width="9.8515625" style="116"/>
    <col min="9782" max="9782" customWidth="1" width="6.4257812" style="116"/>
    <col min="9783" max="9783" customWidth="1" width="2.5703125" style="116"/>
    <col min="9784" max="9787" customWidth="1" width="9.0" style="116"/>
    <col min="9788" max="9981" customWidth="0" width="8.707031" style="116"/>
    <col min="9982" max="9983" customWidth="1" width="18.28125" style="116"/>
    <col min="9984" max="9986" customWidth="1" width="13.5703125" style="116"/>
    <col min="9987" max="9987" customWidth="1" width="12.425781" style="116"/>
    <col min="9988" max="9988" customWidth="1" width="10.707031" style="116"/>
    <col min="9989" max="9989" customWidth="1" width="11.707031" style="116"/>
    <col min="9990" max="9990" customWidth="1" width="13.1328125" style="116"/>
    <col min="9991" max="9991" customWidth="1" width="13.425781" style="116"/>
    <col min="9992" max="9993" customWidth="1" width="9.28125" style="116"/>
    <col min="9994" max="9994" customWidth="1" width="12.425781" style="116"/>
    <col min="9995" max="9996" customWidth="1" width="9.28125" style="116"/>
    <col min="9997" max="9997" customWidth="1" width="17.707031" style="116"/>
    <col min="9998" max="10028" customWidth="1" width="11.0" style="116"/>
    <col min="10029" max="10029" customWidth="1" width="14.28125" style="116"/>
    <col min="10030" max="10030" customWidth="1" width="12.0" style="116"/>
    <col min="10031" max="10037" customWidth="1" width="9.8515625" style="116"/>
    <col min="10038" max="10038" customWidth="1" width="6.4257812" style="116"/>
    <col min="10039" max="10039" customWidth="1" width="2.5703125" style="116"/>
    <col min="10040" max="10043" customWidth="1" width="9.0" style="116"/>
    <col min="10044" max="10237" customWidth="0" width="8.707031" style="116"/>
    <col min="10238" max="10239" customWidth="1" width="18.28125" style="116"/>
    <col min="10240" max="10242" customWidth="1" width="13.5703125" style="116"/>
    <col min="10243" max="10243" customWidth="1" width="12.425781" style="116"/>
    <col min="10244" max="10244" customWidth="1" width="10.707031" style="116"/>
    <col min="10245" max="10245" customWidth="1" width="11.707031" style="116"/>
    <col min="10246" max="10246" customWidth="1" width="13.1328125" style="116"/>
    <col min="10247" max="10247" customWidth="1" width="13.425781" style="116"/>
    <col min="10248" max="10249" customWidth="1" width="9.28125" style="116"/>
    <col min="10250" max="10250" customWidth="1" width="12.425781" style="116"/>
    <col min="10251" max="10252" customWidth="1" width="9.28125" style="116"/>
    <col min="10253" max="10253" customWidth="1" width="17.707031" style="116"/>
    <col min="10254" max="10284" customWidth="1" width="11.0" style="116"/>
    <col min="10285" max="10285" customWidth="1" width="14.28125" style="116"/>
    <col min="10286" max="10286" customWidth="1" width="12.0" style="116"/>
    <col min="10287" max="10293" customWidth="1" width="9.8515625" style="116"/>
    <col min="10294" max="10294" customWidth="1" width="6.4257812" style="116"/>
    <col min="10295" max="10295" customWidth="1" width="2.5703125" style="116"/>
    <col min="10296" max="10299" customWidth="1" width="9.0" style="116"/>
    <col min="10300" max="10493" customWidth="0" width="8.707031" style="116"/>
    <col min="10494" max="10495" customWidth="1" width="18.28125" style="116"/>
    <col min="10496" max="10498" customWidth="1" width="13.5703125" style="116"/>
    <col min="10499" max="10499" customWidth="1" width="12.425781" style="116"/>
    <col min="10500" max="10500" customWidth="1" width="10.707031" style="116"/>
    <col min="10501" max="10501" customWidth="1" width="11.707031" style="116"/>
    <col min="10502" max="10502" customWidth="1" width="13.1328125" style="116"/>
    <col min="10503" max="10503" customWidth="1" width="13.425781" style="116"/>
    <col min="10504" max="10505" customWidth="1" width="9.28125" style="116"/>
    <col min="10506" max="10506" customWidth="1" width="12.425781" style="116"/>
    <col min="10507" max="10508" customWidth="1" width="9.28125" style="116"/>
    <col min="10509" max="10509" customWidth="1" width="17.707031" style="116"/>
    <col min="10510" max="10540" customWidth="1" width="11.0" style="116"/>
    <col min="10541" max="10541" customWidth="1" width="14.28125" style="116"/>
    <col min="10542" max="10542" customWidth="1" width="12.0" style="116"/>
    <col min="10543" max="10549" customWidth="1" width="9.8515625" style="116"/>
    <col min="10550" max="10550" customWidth="1" width="6.4257812" style="116"/>
    <col min="10551" max="10551" customWidth="1" width="2.5703125" style="116"/>
    <col min="10552" max="10555" customWidth="1" width="9.0" style="116"/>
    <col min="10556" max="10749" customWidth="0" width="8.707031" style="116"/>
    <col min="10750" max="10751" customWidth="1" width="18.28125" style="116"/>
    <col min="10752" max="10754" customWidth="1" width="13.5703125" style="116"/>
    <col min="10755" max="10755" customWidth="1" width="12.425781" style="116"/>
    <col min="10756" max="10756" customWidth="1" width="10.707031" style="116"/>
    <col min="10757" max="10757" customWidth="1" width="11.707031" style="116"/>
    <col min="10758" max="10758" customWidth="1" width="13.1328125" style="116"/>
    <col min="10759" max="10759" customWidth="1" width="13.425781" style="116"/>
    <col min="10760" max="10761" customWidth="1" width="9.28125" style="116"/>
    <col min="10762" max="10762" customWidth="1" width="12.425781" style="116"/>
    <col min="10763" max="10764" customWidth="1" width="9.28125" style="116"/>
    <col min="10765" max="10765" customWidth="1" width="17.707031" style="116"/>
    <col min="10766" max="10796" customWidth="1" width="11.0" style="116"/>
    <col min="10797" max="10797" customWidth="1" width="14.28125" style="116"/>
    <col min="10798" max="10798" customWidth="1" width="12.0" style="116"/>
    <col min="10799" max="10805" customWidth="1" width="9.8515625" style="116"/>
    <col min="10806" max="10806" customWidth="1" width="6.4257812" style="116"/>
    <col min="10807" max="10807" customWidth="1" width="2.5703125" style="116"/>
    <col min="10808" max="10811" customWidth="1" width="9.0" style="116"/>
    <col min="10812" max="11005" customWidth="0" width="8.707031" style="116"/>
    <col min="11006" max="11007" customWidth="1" width="18.28125" style="116"/>
    <col min="11008" max="11010" customWidth="1" width="13.5703125" style="116"/>
    <col min="11011" max="11011" customWidth="1" width="12.425781" style="116"/>
    <col min="11012" max="11012" customWidth="1" width="10.707031" style="116"/>
    <col min="11013" max="11013" customWidth="1" width="11.707031" style="116"/>
    <col min="11014" max="11014" customWidth="1" width="13.1328125" style="116"/>
    <col min="11015" max="11015" customWidth="1" width="13.425781" style="116"/>
    <col min="11016" max="11017" customWidth="1" width="9.28125" style="116"/>
    <col min="11018" max="11018" customWidth="1" width="12.425781" style="116"/>
    <col min="11019" max="11020" customWidth="1" width="9.28125" style="116"/>
    <col min="11021" max="11021" customWidth="1" width="17.707031" style="116"/>
    <col min="11022" max="11052" customWidth="1" width="11.0" style="116"/>
    <col min="11053" max="11053" customWidth="1" width="14.28125" style="116"/>
    <col min="11054" max="11054" customWidth="1" width="12.0" style="116"/>
    <col min="11055" max="11061" customWidth="1" width="9.8515625" style="116"/>
    <col min="11062" max="11062" customWidth="1" width="6.4257812" style="116"/>
    <col min="11063" max="11063" customWidth="1" width="2.5703125" style="116"/>
    <col min="11064" max="11067" customWidth="1" width="9.0" style="116"/>
    <col min="11068" max="11261" customWidth="0" width="8.707031" style="116"/>
    <col min="11262" max="11263" customWidth="1" width="18.28125" style="116"/>
    <col min="11264" max="11266" customWidth="1" width="13.5703125" style="116"/>
    <col min="11267" max="11267" customWidth="1" width="12.425781" style="116"/>
    <col min="11268" max="11268" customWidth="1" width="10.707031" style="116"/>
    <col min="11269" max="11269" customWidth="1" width="11.707031" style="116"/>
    <col min="11270" max="11270" customWidth="1" width="13.1328125" style="116"/>
    <col min="11271" max="11271" customWidth="1" width="13.425781" style="116"/>
    <col min="11272" max="11273" customWidth="1" width="9.28125" style="116"/>
    <col min="11274" max="11274" customWidth="1" width="12.425781" style="116"/>
    <col min="11275" max="11276" customWidth="1" width="9.28125" style="116"/>
    <col min="11277" max="11277" customWidth="1" width="17.707031" style="116"/>
    <col min="11278" max="11308" customWidth="1" width="11.0" style="116"/>
    <col min="11309" max="11309" customWidth="1" width="14.28125" style="116"/>
    <col min="11310" max="11310" customWidth="1" width="12.0" style="116"/>
    <col min="11311" max="11317" customWidth="1" width="9.8515625" style="116"/>
    <col min="11318" max="11318" customWidth="1" width="6.4257812" style="116"/>
    <col min="11319" max="11319" customWidth="1" width="2.5703125" style="116"/>
    <col min="11320" max="11323" customWidth="1" width="9.0" style="116"/>
    <col min="11324" max="11517" customWidth="0" width="8.707031" style="116"/>
    <col min="11518" max="11519" customWidth="1" width="18.28125" style="116"/>
    <col min="11520" max="11522" customWidth="1" width="13.5703125" style="116"/>
    <col min="11523" max="11523" customWidth="1" width="12.425781" style="116"/>
    <col min="11524" max="11524" customWidth="1" width="10.707031" style="116"/>
    <col min="11525" max="11525" customWidth="1" width="11.707031" style="116"/>
    <col min="11526" max="11526" customWidth="1" width="13.1328125" style="116"/>
    <col min="11527" max="11527" customWidth="1" width="13.425781" style="116"/>
    <col min="11528" max="11529" customWidth="1" width="9.28125" style="116"/>
    <col min="11530" max="11530" customWidth="1" width="12.425781" style="116"/>
    <col min="11531" max="11532" customWidth="1" width="9.28125" style="116"/>
    <col min="11533" max="11533" customWidth="1" width="17.707031" style="116"/>
    <col min="11534" max="11564" customWidth="1" width="11.0" style="116"/>
    <col min="11565" max="11565" customWidth="1" width="14.28125" style="116"/>
    <col min="11566" max="11566" customWidth="1" width="12.0" style="116"/>
    <col min="11567" max="11573" customWidth="1" width="9.8515625" style="116"/>
    <col min="11574" max="11574" customWidth="1" width="6.4257812" style="116"/>
    <col min="11575" max="11575" customWidth="1" width="2.5703125" style="116"/>
    <col min="11576" max="11579" customWidth="1" width="9.0" style="116"/>
    <col min="11580" max="11773" customWidth="0" width="8.707031" style="116"/>
    <col min="11774" max="11775" customWidth="1" width="18.28125" style="116"/>
    <col min="11776" max="11778" customWidth="1" width="13.5703125" style="116"/>
    <col min="11779" max="11779" customWidth="1" width="12.425781" style="116"/>
    <col min="11780" max="11780" customWidth="1" width="10.707031" style="116"/>
    <col min="11781" max="11781" customWidth="1" width="11.707031" style="116"/>
    <col min="11782" max="11782" customWidth="1" width="13.1328125" style="116"/>
    <col min="11783" max="11783" customWidth="1" width="13.425781" style="116"/>
    <col min="11784" max="11785" customWidth="1" width="9.28125" style="116"/>
    <col min="11786" max="11786" customWidth="1" width="12.425781" style="116"/>
    <col min="11787" max="11788" customWidth="1" width="9.28125" style="116"/>
    <col min="11789" max="11789" customWidth="1" width="17.707031" style="116"/>
    <col min="11790" max="11820" customWidth="1" width="11.0" style="116"/>
    <col min="11821" max="11821" customWidth="1" width="14.28125" style="116"/>
    <col min="11822" max="11822" customWidth="1" width="12.0" style="116"/>
    <col min="11823" max="11829" customWidth="1" width="9.8515625" style="116"/>
    <col min="11830" max="11830" customWidth="1" width="6.4257812" style="116"/>
    <col min="11831" max="11831" customWidth="1" width="2.5703125" style="116"/>
    <col min="11832" max="11835" customWidth="1" width="9.0" style="116"/>
    <col min="11836" max="12029" customWidth="0" width="8.707031" style="116"/>
    <col min="12030" max="12031" customWidth="1" width="18.28125" style="116"/>
    <col min="12032" max="12034" customWidth="1" width="13.5703125" style="116"/>
    <col min="12035" max="12035" customWidth="1" width="12.425781" style="116"/>
    <col min="12036" max="12036" customWidth="1" width="10.707031" style="116"/>
    <col min="12037" max="12037" customWidth="1" width="11.707031" style="116"/>
    <col min="12038" max="12038" customWidth="1" width="13.1328125" style="116"/>
    <col min="12039" max="12039" customWidth="1" width="13.425781" style="116"/>
    <col min="12040" max="12041" customWidth="1" width="9.28125" style="116"/>
    <col min="12042" max="12042" customWidth="1" width="12.425781" style="116"/>
    <col min="12043" max="12044" customWidth="1" width="9.28125" style="116"/>
    <col min="12045" max="12045" customWidth="1" width="17.707031" style="116"/>
    <col min="12046" max="12076" customWidth="1" width="11.0" style="116"/>
    <col min="12077" max="12077" customWidth="1" width="14.28125" style="116"/>
    <col min="12078" max="12078" customWidth="1" width="12.0" style="116"/>
    <col min="12079" max="12085" customWidth="1" width="9.8515625" style="116"/>
    <col min="12086" max="12086" customWidth="1" width="6.4257812" style="116"/>
    <col min="12087" max="12087" customWidth="1" width="2.5703125" style="116"/>
    <col min="12088" max="12091" customWidth="1" width="9.0" style="116"/>
    <col min="12092" max="12285" customWidth="0" width="8.707031" style="116"/>
    <col min="12286" max="12287" customWidth="1" width="18.28125" style="116"/>
    <col min="12288" max="12290" customWidth="1" width="13.5703125" style="116"/>
    <col min="12291" max="12291" customWidth="1" width="12.425781" style="116"/>
    <col min="12292" max="12292" customWidth="1" width="10.707031" style="116"/>
    <col min="12293" max="12293" customWidth="1" width="11.707031" style="116"/>
    <col min="12294" max="12294" customWidth="1" width="13.1328125" style="116"/>
    <col min="12295" max="12295" customWidth="1" width="13.425781" style="116"/>
    <col min="12296" max="12297" customWidth="1" width="9.28125" style="116"/>
    <col min="12298" max="12298" customWidth="1" width="12.425781" style="116"/>
    <col min="12299" max="12300" customWidth="1" width="9.28125" style="116"/>
    <col min="12301" max="12301" customWidth="1" width="17.707031" style="116"/>
    <col min="12302" max="12332" customWidth="1" width="11.0" style="116"/>
    <col min="12333" max="12333" customWidth="1" width="14.28125" style="116"/>
    <col min="12334" max="12334" customWidth="1" width="12.0" style="116"/>
    <col min="12335" max="12341" customWidth="1" width="9.8515625" style="116"/>
    <col min="12342" max="12342" customWidth="1" width="6.4257812" style="116"/>
    <col min="12343" max="12343" customWidth="1" width="2.5703125" style="116"/>
    <col min="12344" max="12347" customWidth="1" width="9.0" style="116"/>
    <col min="12348" max="12541" customWidth="0" width="8.707031" style="116"/>
    <col min="12542" max="12543" customWidth="1" width="18.28125" style="116"/>
    <col min="12544" max="12546" customWidth="1" width="13.5703125" style="116"/>
    <col min="12547" max="12547" customWidth="1" width="12.425781" style="116"/>
    <col min="12548" max="12548" customWidth="1" width="10.707031" style="116"/>
    <col min="12549" max="12549" customWidth="1" width="11.707031" style="116"/>
    <col min="12550" max="12550" customWidth="1" width="13.1328125" style="116"/>
    <col min="12551" max="12551" customWidth="1" width="13.425781" style="116"/>
    <col min="12552" max="12553" customWidth="1" width="9.28125" style="116"/>
    <col min="12554" max="12554" customWidth="1" width="12.425781" style="116"/>
    <col min="12555" max="12556" customWidth="1" width="9.28125" style="116"/>
    <col min="12557" max="12557" customWidth="1" width="17.707031" style="116"/>
    <col min="12558" max="12588" customWidth="1" width="11.0" style="116"/>
    <col min="12589" max="12589" customWidth="1" width="14.28125" style="116"/>
    <col min="12590" max="12590" customWidth="1" width="12.0" style="116"/>
    <col min="12591" max="12597" customWidth="1" width="9.8515625" style="116"/>
    <col min="12598" max="12598" customWidth="1" width="6.4257812" style="116"/>
    <col min="12599" max="12599" customWidth="1" width="2.5703125" style="116"/>
    <col min="12600" max="12603" customWidth="1" width="9.0" style="116"/>
    <col min="12604" max="12797" customWidth="0" width="8.707031" style="116"/>
    <col min="12798" max="12799" customWidth="1" width="18.28125" style="116"/>
    <col min="12800" max="12802" customWidth="1" width="13.5703125" style="116"/>
    <col min="12803" max="12803" customWidth="1" width="12.425781" style="116"/>
    <col min="12804" max="12804" customWidth="1" width="10.707031" style="116"/>
    <col min="12805" max="12805" customWidth="1" width="11.707031" style="116"/>
    <col min="12806" max="12806" customWidth="1" width="13.1328125" style="116"/>
    <col min="12807" max="12807" customWidth="1" width="13.425781" style="116"/>
    <col min="12808" max="12809" customWidth="1" width="9.28125" style="116"/>
    <col min="12810" max="12810" customWidth="1" width="12.425781" style="116"/>
    <col min="12811" max="12812" customWidth="1" width="9.28125" style="116"/>
    <col min="12813" max="12813" customWidth="1" width="17.707031" style="116"/>
    <col min="12814" max="12844" customWidth="1" width="11.0" style="116"/>
    <col min="12845" max="12845" customWidth="1" width="14.28125" style="116"/>
    <col min="12846" max="12846" customWidth="1" width="12.0" style="116"/>
    <col min="12847" max="12853" customWidth="1" width="9.8515625" style="116"/>
    <col min="12854" max="12854" customWidth="1" width="6.4257812" style="116"/>
    <col min="12855" max="12855" customWidth="1" width="2.5703125" style="116"/>
    <col min="12856" max="12859" customWidth="1" width="9.0" style="116"/>
    <col min="12860" max="13053" customWidth="0" width="8.707031" style="116"/>
    <col min="13054" max="13055" customWidth="1" width="18.28125" style="116"/>
    <col min="13056" max="13058" customWidth="1" width="13.5703125" style="116"/>
    <col min="13059" max="13059" customWidth="1" width="12.425781" style="116"/>
    <col min="13060" max="13060" customWidth="1" width="10.707031" style="116"/>
    <col min="13061" max="13061" customWidth="1" width="11.707031" style="116"/>
    <col min="13062" max="13062" customWidth="1" width="13.1328125" style="116"/>
    <col min="13063" max="13063" customWidth="1" width="13.425781" style="116"/>
    <col min="13064" max="13065" customWidth="1" width="9.28125" style="116"/>
    <col min="13066" max="13066" customWidth="1" width="12.425781" style="116"/>
    <col min="13067" max="13068" customWidth="1" width="9.28125" style="116"/>
    <col min="13069" max="13069" customWidth="1" width="17.707031" style="116"/>
    <col min="13070" max="13100" customWidth="1" width="11.0" style="116"/>
    <col min="13101" max="13101" customWidth="1" width="14.28125" style="116"/>
    <col min="13102" max="13102" customWidth="1" width="12.0" style="116"/>
    <col min="13103" max="13109" customWidth="1" width="9.8515625" style="116"/>
    <col min="13110" max="13110" customWidth="1" width="6.4257812" style="116"/>
    <col min="13111" max="13111" customWidth="1" width="2.5703125" style="116"/>
    <col min="13112" max="13115" customWidth="1" width="9.0" style="116"/>
    <col min="13116" max="13309" customWidth="0" width="8.707031" style="116"/>
    <col min="13310" max="13311" customWidth="1" width="18.28125" style="116"/>
    <col min="13312" max="13314" customWidth="1" width="13.5703125" style="116"/>
    <col min="13315" max="13315" customWidth="1" width="12.425781" style="116"/>
    <col min="13316" max="13316" customWidth="1" width="10.707031" style="116"/>
    <col min="13317" max="13317" customWidth="1" width="11.707031" style="116"/>
    <col min="13318" max="13318" customWidth="1" width="13.1328125" style="116"/>
    <col min="13319" max="13319" customWidth="1" width="13.425781" style="116"/>
    <col min="13320" max="13321" customWidth="1" width="9.28125" style="116"/>
    <col min="13322" max="13322" customWidth="1" width="12.425781" style="116"/>
    <col min="13323" max="13324" customWidth="1" width="9.28125" style="116"/>
    <col min="13325" max="13325" customWidth="1" width="17.707031" style="116"/>
    <col min="13326" max="13356" customWidth="1" width="11.0" style="116"/>
    <col min="13357" max="13357" customWidth="1" width="14.28125" style="116"/>
    <col min="13358" max="13358" customWidth="1" width="12.0" style="116"/>
    <col min="13359" max="13365" customWidth="1" width="9.8515625" style="116"/>
    <col min="13366" max="13366" customWidth="1" width="6.4257812" style="116"/>
    <col min="13367" max="13367" customWidth="1" width="2.5703125" style="116"/>
    <col min="13368" max="13371" customWidth="1" width="9.0" style="116"/>
    <col min="13372" max="13565" customWidth="0" width="8.707031" style="116"/>
    <col min="13566" max="13567" customWidth="1" width="18.28125" style="116"/>
    <col min="13568" max="13570" customWidth="1" width="13.5703125" style="116"/>
    <col min="13571" max="13571" customWidth="1" width="12.425781" style="116"/>
    <col min="13572" max="13572" customWidth="1" width="10.707031" style="116"/>
    <col min="13573" max="13573" customWidth="1" width="11.707031" style="116"/>
    <col min="13574" max="13574" customWidth="1" width="13.1328125" style="116"/>
    <col min="13575" max="13575" customWidth="1" width="13.425781" style="116"/>
    <col min="13576" max="13577" customWidth="1" width="9.28125" style="116"/>
    <col min="13578" max="13578" customWidth="1" width="12.425781" style="116"/>
    <col min="13579" max="13580" customWidth="1" width="9.28125" style="116"/>
    <col min="13581" max="13581" customWidth="1" width="17.707031" style="116"/>
    <col min="13582" max="13612" customWidth="1" width="11.0" style="116"/>
    <col min="13613" max="13613" customWidth="1" width="14.28125" style="116"/>
    <col min="13614" max="13614" customWidth="1" width="12.0" style="116"/>
    <col min="13615" max="13621" customWidth="1" width="9.8515625" style="116"/>
    <col min="13622" max="13622" customWidth="1" width="6.4257812" style="116"/>
    <col min="13623" max="13623" customWidth="1" width="2.5703125" style="116"/>
    <col min="13624" max="13627" customWidth="1" width="9.0" style="116"/>
    <col min="13628" max="13821" customWidth="0" width="8.707031" style="116"/>
    <col min="13822" max="13823" customWidth="1" width="18.28125" style="116"/>
    <col min="13824" max="13826" customWidth="1" width="13.5703125" style="116"/>
    <col min="13827" max="13827" customWidth="1" width="12.425781" style="116"/>
    <col min="13828" max="13828" customWidth="1" width="10.707031" style="116"/>
    <col min="13829" max="13829" customWidth="1" width="11.707031" style="116"/>
    <col min="13830" max="13830" customWidth="1" width="13.1328125" style="116"/>
    <col min="13831" max="13831" customWidth="1" width="13.425781" style="116"/>
    <col min="13832" max="13833" customWidth="1" width="9.28125" style="116"/>
    <col min="13834" max="13834" customWidth="1" width="12.425781" style="116"/>
    <col min="13835" max="13836" customWidth="1" width="9.28125" style="116"/>
    <col min="13837" max="13837" customWidth="1" width="17.707031" style="116"/>
    <col min="13838" max="13868" customWidth="1" width="11.0" style="116"/>
    <col min="13869" max="13869" customWidth="1" width="14.28125" style="116"/>
    <col min="13870" max="13870" customWidth="1" width="12.0" style="116"/>
    <col min="13871" max="13877" customWidth="1" width="9.8515625" style="116"/>
    <col min="13878" max="13878" customWidth="1" width="6.4257812" style="116"/>
    <col min="13879" max="13879" customWidth="1" width="2.5703125" style="116"/>
    <col min="13880" max="13883" customWidth="1" width="9.0" style="116"/>
    <col min="13884" max="14077" customWidth="0" width="8.707031" style="116"/>
    <col min="14078" max="14079" customWidth="1" width="18.28125" style="116"/>
    <col min="14080" max="14082" customWidth="1" width="13.5703125" style="116"/>
    <col min="14083" max="14083" customWidth="1" width="12.425781" style="116"/>
    <col min="14084" max="14084" customWidth="1" width="10.707031" style="116"/>
    <col min="14085" max="14085" customWidth="1" width="11.707031" style="116"/>
    <col min="14086" max="14086" customWidth="1" width="13.1328125" style="116"/>
    <col min="14087" max="14087" customWidth="1" width="13.425781" style="116"/>
    <col min="14088" max="14089" customWidth="1" width="9.28125" style="116"/>
    <col min="14090" max="14090" customWidth="1" width="12.425781" style="116"/>
    <col min="14091" max="14092" customWidth="1" width="9.28125" style="116"/>
    <col min="14093" max="14093" customWidth="1" width="17.707031" style="116"/>
    <col min="14094" max="14124" customWidth="1" width="11.0" style="116"/>
    <col min="14125" max="14125" customWidth="1" width="14.28125" style="116"/>
    <col min="14126" max="14126" customWidth="1" width="12.0" style="116"/>
    <col min="14127" max="14133" customWidth="1" width="9.8515625" style="116"/>
    <col min="14134" max="14134" customWidth="1" width="6.4257812" style="116"/>
    <col min="14135" max="14135" customWidth="1" width="2.5703125" style="116"/>
    <col min="14136" max="14139" customWidth="1" width="9.0" style="116"/>
    <col min="14140" max="14333" customWidth="0" width="8.707031" style="116"/>
    <col min="14334" max="14335" customWidth="1" width="18.28125" style="116"/>
    <col min="14336" max="14338" customWidth="1" width="13.5703125" style="116"/>
    <col min="14339" max="14339" customWidth="1" width="12.425781" style="116"/>
    <col min="14340" max="14340" customWidth="1" width="10.707031" style="116"/>
    <col min="14341" max="14341" customWidth="1" width="11.707031" style="116"/>
    <col min="14342" max="14342" customWidth="1" width="13.1328125" style="116"/>
    <col min="14343" max="14343" customWidth="1" width="13.425781" style="116"/>
    <col min="14344" max="14345" customWidth="1" width="9.28125" style="116"/>
    <col min="14346" max="14346" customWidth="1" width="12.425781" style="116"/>
    <col min="14347" max="14348" customWidth="1" width="9.28125" style="116"/>
    <col min="14349" max="14349" customWidth="1" width="17.707031" style="116"/>
    <col min="14350" max="14380" customWidth="1" width="11.0" style="116"/>
    <col min="14381" max="14381" customWidth="1" width="14.28125" style="116"/>
    <col min="14382" max="14382" customWidth="1" width="12.0" style="116"/>
    <col min="14383" max="14389" customWidth="1" width="9.8515625" style="116"/>
    <col min="14390" max="14390" customWidth="1" width="6.4257812" style="116"/>
    <col min="14391" max="14391" customWidth="1" width="2.5703125" style="116"/>
    <col min="14392" max="14395" customWidth="1" width="9.0" style="116"/>
    <col min="14396" max="14589" customWidth="0" width="8.707031" style="116"/>
    <col min="14590" max="14591" customWidth="1" width="18.28125" style="116"/>
    <col min="14592" max="14594" customWidth="1" width="13.5703125" style="116"/>
    <col min="14595" max="14595" customWidth="1" width="12.425781" style="116"/>
    <col min="14596" max="14596" customWidth="1" width="10.707031" style="116"/>
    <col min="14597" max="14597" customWidth="1" width="11.707031" style="116"/>
    <col min="14598" max="14598" customWidth="1" width="13.1328125" style="116"/>
    <col min="14599" max="14599" customWidth="1" width="13.425781" style="116"/>
    <col min="14600" max="14601" customWidth="1" width="9.28125" style="116"/>
    <col min="14602" max="14602" customWidth="1" width="12.425781" style="116"/>
    <col min="14603" max="14604" customWidth="1" width="9.28125" style="116"/>
    <col min="14605" max="14605" customWidth="1" width="17.707031" style="116"/>
    <col min="14606" max="14636" customWidth="1" width="11.0" style="116"/>
    <col min="14637" max="14637" customWidth="1" width="14.28125" style="116"/>
    <col min="14638" max="14638" customWidth="1" width="12.0" style="116"/>
    <col min="14639" max="14645" customWidth="1" width="9.8515625" style="116"/>
    <col min="14646" max="14646" customWidth="1" width="6.4257812" style="116"/>
    <col min="14647" max="14647" customWidth="1" width="2.5703125" style="116"/>
    <col min="14648" max="14651" customWidth="1" width="9.0" style="116"/>
    <col min="14652" max="14845" customWidth="0" width="8.707031" style="116"/>
    <col min="14846" max="14847" customWidth="1" width="18.28125" style="116"/>
    <col min="14848" max="14850" customWidth="1" width="13.5703125" style="116"/>
    <col min="14851" max="14851" customWidth="1" width="12.425781" style="116"/>
    <col min="14852" max="14852" customWidth="1" width="10.707031" style="116"/>
    <col min="14853" max="14853" customWidth="1" width="11.707031" style="116"/>
    <col min="14854" max="14854" customWidth="1" width="13.1328125" style="116"/>
    <col min="14855" max="14855" customWidth="1" width="13.425781" style="116"/>
    <col min="14856" max="14857" customWidth="1" width="9.28125" style="116"/>
    <col min="14858" max="14858" customWidth="1" width="12.425781" style="116"/>
    <col min="14859" max="14860" customWidth="1" width="9.28125" style="116"/>
    <col min="14861" max="14861" customWidth="1" width="17.707031" style="116"/>
    <col min="14862" max="14892" customWidth="1" width="11.0" style="116"/>
    <col min="14893" max="14893" customWidth="1" width="14.28125" style="116"/>
    <col min="14894" max="14894" customWidth="1" width="12.0" style="116"/>
    <col min="14895" max="14901" customWidth="1" width="9.8515625" style="116"/>
    <col min="14902" max="14902" customWidth="1" width="6.4257812" style="116"/>
    <col min="14903" max="14903" customWidth="1" width="2.5703125" style="116"/>
    <col min="14904" max="14907" customWidth="1" width="9.0" style="116"/>
    <col min="14908" max="15101" customWidth="0" width="8.707031" style="116"/>
    <col min="15102" max="15103" customWidth="1" width="18.28125" style="116"/>
    <col min="15104" max="15106" customWidth="1" width="13.5703125" style="116"/>
    <col min="15107" max="15107" customWidth="1" width="12.425781" style="116"/>
    <col min="15108" max="15108" customWidth="1" width="10.707031" style="116"/>
    <col min="15109" max="15109" customWidth="1" width="11.707031" style="116"/>
    <col min="15110" max="15110" customWidth="1" width="13.1328125" style="116"/>
    <col min="15111" max="15111" customWidth="1" width="13.425781" style="116"/>
    <col min="15112" max="15113" customWidth="1" width="9.28125" style="116"/>
    <col min="15114" max="15114" customWidth="1" width="12.425781" style="116"/>
    <col min="15115" max="15116" customWidth="1" width="9.28125" style="116"/>
    <col min="15117" max="15117" customWidth="1" width="17.707031" style="116"/>
    <col min="15118" max="15148" customWidth="1" width="11.0" style="116"/>
    <col min="15149" max="15149" customWidth="1" width="14.28125" style="116"/>
    <col min="15150" max="15150" customWidth="1" width="12.0" style="116"/>
    <col min="15151" max="15157" customWidth="1" width="9.8515625" style="116"/>
    <col min="15158" max="15158" customWidth="1" width="6.4257812" style="116"/>
    <col min="15159" max="15159" customWidth="1" width="2.5703125" style="116"/>
    <col min="15160" max="15163" customWidth="1" width="9.0" style="116"/>
    <col min="15164" max="15357" customWidth="0" width="8.707031" style="116"/>
    <col min="15358" max="15359" customWidth="1" width="18.28125" style="116"/>
    <col min="15360" max="15362" customWidth="1" width="13.5703125" style="116"/>
    <col min="15363" max="15363" customWidth="1" width="12.425781" style="116"/>
    <col min="15364" max="15364" customWidth="1" width="10.707031" style="116"/>
    <col min="15365" max="15365" customWidth="1" width="11.707031" style="116"/>
    <col min="15366" max="15366" customWidth="1" width="13.1328125" style="116"/>
    <col min="15367" max="15367" customWidth="1" width="13.425781" style="116"/>
    <col min="15368" max="15369" customWidth="1" width="9.28125" style="116"/>
    <col min="15370" max="15370" customWidth="1" width="12.425781" style="116"/>
    <col min="15371" max="15372" customWidth="1" width="9.28125" style="116"/>
    <col min="15373" max="15373" customWidth="1" width="17.707031" style="116"/>
    <col min="15374" max="15404" customWidth="1" width="11.0" style="116"/>
    <col min="15405" max="15405" customWidth="1" width="14.28125" style="116"/>
    <col min="15406" max="15406" customWidth="1" width="12.0" style="116"/>
    <col min="15407" max="15413" customWidth="1" width="9.8515625" style="116"/>
    <col min="15414" max="15414" customWidth="1" width="6.4257812" style="116"/>
    <col min="15415" max="15415" customWidth="1" width="2.5703125" style="116"/>
    <col min="15416" max="15419" customWidth="1" width="9.0" style="116"/>
    <col min="15420" max="15613" customWidth="0" width="8.707031" style="116"/>
    <col min="15614" max="15615" customWidth="1" width="18.28125" style="116"/>
    <col min="15616" max="15618" customWidth="1" width="13.5703125" style="116"/>
    <col min="15619" max="15619" customWidth="1" width="12.425781" style="116"/>
    <col min="15620" max="15620" customWidth="1" width="10.707031" style="116"/>
    <col min="15621" max="15621" customWidth="1" width="11.707031" style="116"/>
    <col min="15622" max="15622" customWidth="1" width="13.1328125" style="116"/>
    <col min="15623" max="15623" customWidth="1" width="13.425781" style="116"/>
    <col min="15624" max="15625" customWidth="1" width="9.28125" style="116"/>
    <col min="15626" max="15626" customWidth="1" width="12.425781" style="116"/>
    <col min="15627" max="15628" customWidth="1" width="9.28125" style="116"/>
    <col min="15629" max="15629" customWidth="1" width="17.707031" style="116"/>
    <col min="15630" max="15660" customWidth="1" width="11.0" style="116"/>
    <col min="15661" max="15661" customWidth="1" width="14.28125" style="116"/>
    <col min="15662" max="15662" customWidth="1" width="12.0" style="116"/>
    <col min="15663" max="15669" customWidth="1" width="9.8515625" style="116"/>
    <col min="15670" max="15670" customWidth="1" width="6.4257812" style="116"/>
    <col min="15671" max="15671" customWidth="1" width="2.5703125" style="116"/>
    <col min="15672" max="15675" customWidth="1" width="9.0" style="116"/>
    <col min="15676" max="15869" customWidth="0" width="8.707031" style="116"/>
    <col min="15870" max="15871" customWidth="1" width="18.28125" style="116"/>
    <col min="15872" max="15874" customWidth="1" width="13.5703125" style="116"/>
    <col min="15875" max="15875" customWidth="1" width="12.425781" style="116"/>
    <col min="15876" max="15876" customWidth="1" width="10.707031" style="116"/>
    <col min="15877" max="15877" customWidth="1" width="11.707031" style="116"/>
    <col min="15878" max="15878" customWidth="1" width="13.1328125" style="116"/>
    <col min="15879" max="15879" customWidth="1" width="13.425781" style="116"/>
    <col min="15880" max="15881" customWidth="1" width="9.28125" style="116"/>
    <col min="15882" max="15882" customWidth="1" width="12.425781" style="116"/>
    <col min="15883" max="15884" customWidth="1" width="9.28125" style="116"/>
    <col min="15885" max="15885" customWidth="1" width="17.707031" style="116"/>
    <col min="15886" max="15916" customWidth="1" width="11.0" style="116"/>
    <col min="15917" max="15917" customWidth="1" width="14.28125" style="116"/>
    <col min="15918" max="15918" customWidth="1" width="12.0" style="116"/>
    <col min="15919" max="15925" customWidth="1" width="9.8515625" style="116"/>
    <col min="15926" max="15926" customWidth="1" width="6.4257812" style="116"/>
    <col min="15927" max="15927" customWidth="1" width="2.5703125" style="116"/>
    <col min="15928" max="15931" customWidth="1" width="9.0" style="116"/>
    <col min="15932" max="16125" customWidth="0" width="8.707031" style="116"/>
    <col min="16126" max="16127" customWidth="1" width="18.28125" style="116"/>
    <col min="16128" max="16130" customWidth="1" width="13.5703125" style="116"/>
    <col min="16131" max="16131" customWidth="1" width="12.425781" style="116"/>
    <col min="16132" max="16132" customWidth="1" width="10.707031" style="116"/>
    <col min="16133" max="16133" customWidth="1" width="11.707031" style="116"/>
    <col min="16134" max="16134" customWidth="1" width="13.1328125" style="116"/>
    <col min="16135" max="16135" customWidth="1" width="13.425781" style="116"/>
    <col min="16136" max="16137" customWidth="1" width="9.28125" style="116"/>
    <col min="16138" max="16138" customWidth="1" width="12.425781" style="116"/>
    <col min="16139" max="16140" customWidth="1" width="9.28125" style="116"/>
    <col min="16141" max="16141" customWidth="1" width="17.707031" style="116"/>
    <col min="16142" max="16172" customWidth="1" width="11.0" style="116"/>
    <col min="16173" max="16173" customWidth="1" width="14.28125" style="116"/>
    <col min="16174" max="16174" customWidth="1" width="12.0" style="116"/>
    <col min="16175" max="16181" customWidth="1" width="9.8515625" style="116"/>
    <col min="16182" max="16182" customWidth="1" width="6.4257812" style="116"/>
    <col min="16183" max="16183" customWidth="1" width="2.5703125" style="116"/>
    <col min="16184" max="16187" customWidth="1" width="9.0" style="116"/>
    <col min="16188" max="16384" customWidth="0" width="8.707031" style="116"/>
  </cols>
  <sheetData>
    <row r="1" spans="8:8" s="117" ht="37.5" customFormat="1" customHeight="1">
      <c r="A1" s="118" t="s">
        <v>107</v>
      </c>
      <c r="C1" s="119"/>
      <c r="D1" s="120"/>
      <c r="E1" s="120"/>
      <c r="F1" s="120"/>
      <c r="G1" s="120" t="s">
        <v>230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Y1" s="120"/>
      <c r="Z1" s="120"/>
      <c r="AA1" s="120"/>
      <c r="AB1" s="120"/>
      <c r="AC1" s="120" t="str">
        <f>G1</f>
        <v>T2产品流动(仓库)表 Proses pegerjaan/produksi</v>
      </c>
      <c r="AD1" s="120"/>
      <c r="AE1" s="120"/>
    </row>
    <row r="2" spans="8:8" s="119" ht="30.0" customFormat="1" customHeight="1">
      <c r="A2" s="121"/>
      <c r="B2" s="121"/>
      <c r="C2" s="122"/>
      <c r="D2" s="122"/>
      <c r="E2" s="122"/>
      <c r="F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1"/>
      <c r="W2" s="121"/>
      <c r="X2" s="121"/>
      <c r="Y2" s="121"/>
      <c r="Z2" s="121"/>
      <c r="AB2" s="121"/>
      <c r="AC2" s="123" t="str">
        <f>A5</f>
        <v>515644-07-12 
SUP11C, T25
 1"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</row>
    <row r="3" spans="8:8" ht="33.0" customHeight="1">
      <c r="A3" s="124" t="s">
        <v>109</v>
      </c>
      <c r="B3" s="125" t="s">
        <v>110</v>
      </c>
      <c r="C3" s="126" t="s">
        <v>111</v>
      </c>
      <c r="D3" s="127"/>
      <c r="E3" s="128"/>
      <c r="F3" s="127" t="s">
        <v>112</v>
      </c>
      <c r="G3" s="128"/>
      <c r="H3" s="129" t="s">
        <v>113</v>
      </c>
      <c r="I3" s="130"/>
      <c r="J3" s="130"/>
      <c r="K3" s="131" t="s">
        <v>114</v>
      </c>
      <c r="L3" s="132"/>
      <c r="M3" s="133" t="s">
        <v>115</v>
      </c>
      <c r="N3" s="134">
        <v>2021.0</v>
      </c>
      <c r="O3" s="134">
        <v>2021.0</v>
      </c>
      <c r="P3" s="134">
        <v>2021.0</v>
      </c>
      <c r="Q3" s="134">
        <v>2021.0</v>
      </c>
      <c r="R3" s="134">
        <v>2021.0</v>
      </c>
      <c r="S3" s="134">
        <v>2021.0</v>
      </c>
      <c r="T3" s="134">
        <v>2021.0</v>
      </c>
      <c r="U3" s="134">
        <v>2021.0</v>
      </c>
      <c r="V3" s="134">
        <v>2021.0</v>
      </c>
      <c r="W3" s="134">
        <v>2021.0</v>
      </c>
      <c r="X3" s="134">
        <v>2021.0</v>
      </c>
      <c r="Y3" s="134">
        <v>2021.0</v>
      </c>
      <c r="Z3" s="134">
        <v>2021.0</v>
      </c>
      <c r="AA3" s="134">
        <v>2021.0</v>
      </c>
      <c r="AB3" s="134">
        <v>2021.0</v>
      </c>
      <c r="AC3" s="134">
        <v>2021.0</v>
      </c>
      <c r="AD3" s="134">
        <v>2021.0</v>
      </c>
      <c r="AE3" s="134">
        <v>2021.0</v>
      </c>
      <c r="AF3" s="134">
        <v>2021.0</v>
      </c>
      <c r="AG3" s="134">
        <v>2021.0</v>
      </c>
      <c r="AH3" s="134">
        <v>2021.0</v>
      </c>
      <c r="AI3" s="134">
        <v>2021.0</v>
      </c>
      <c r="AJ3" s="134">
        <v>2021.0</v>
      </c>
      <c r="AK3" s="134">
        <v>2021.0</v>
      </c>
      <c r="AL3" s="134">
        <v>2021.0</v>
      </c>
      <c r="AM3" s="134">
        <v>2021.0</v>
      </c>
      <c r="AN3" s="134">
        <v>2021.0</v>
      </c>
      <c r="AO3" s="134">
        <v>2021.0</v>
      </c>
      <c r="AP3" s="134">
        <v>2021.0</v>
      </c>
      <c r="AQ3" s="134">
        <v>2021.0</v>
      </c>
      <c r="AR3" s="134">
        <v>2021.0</v>
      </c>
      <c r="AS3" s="135" t="s">
        <v>116</v>
      </c>
      <c r="AT3" s="136"/>
    </row>
    <row r="4" spans="8:8" ht="37.5" customHeight="1">
      <c r="A4" s="137"/>
      <c r="B4" s="138"/>
      <c r="C4" s="139" t="s">
        <v>117</v>
      </c>
      <c r="D4" s="140" t="s">
        <v>118</v>
      </c>
      <c r="E4" s="141" t="s">
        <v>119</v>
      </c>
      <c r="F4" s="140" t="s">
        <v>119</v>
      </c>
      <c r="G4" s="141" t="s">
        <v>120</v>
      </c>
      <c r="H4" s="142" t="s">
        <v>121</v>
      </c>
      <c r="I4" s="143" t="s">
        <v>122</v>
      </c>
      <c r="J4" s="143" t="s">
        <v>123</v>
      </c>
      <c r="K4" s="144" t="s">
        <v>124</v>
      </c>
      <c r="L4" s="145" t="s">
        <v>125</v>
      </c>
      <c r="M4" s="146"/>
      <c r="N4" s="147">
        <v>44197.0</v>
      </c>
      <c r="O4" s="147">
        <v>44198.0</v>
      </c>
      <c r="P4" s="147">
        <v>44199.0</v>
      </c>
      <c r="Q4" s="147">
        <v>44200.0</v>
      </c>
      <c r="R4" s="147">
        <v>44201.0</v>
      </c>
      <c r="S4" s="147">
        <v>44202.0</v>
      </c>
      <c r="T4" s="147">
        <v>44203.0</v>
      </c>
      <c r="U4" s="147">
        <v>44204.0</v>
      </c>
      <c r="V4" s="147">
        <v>44205.0</v>
      </c>
      <c r="W4" s="147">
        <v>44206.0</v>
      </c>
      <c r="X4" s="147">
        <v>44207.0</v>
      </c>
      <c r="Y4" s="147">
        <v>44208.0</v>
      </c>
      <c r="Z4" s="147">
        <v>44209.0</v>
      </c>
      <c r="AA4" s="147">
        <v>44210.0</v>
      </c>
      <c r="AB4" s="147">
        <v>44211.0</v>
      </c>
      <c r="AC4" s="147">
        <v>44212.0</v>
      </c>
      <c r="AD4" s="147">
        <v>44213.0</v>
      </c>
      <c r="AE4" s="147">
        <v>44214.0</v>
      </c>
      <c r="AF4" s="147">
        <v>44215.0</v>
      </c>
      <c r="AG4" s="147">
        <v>44216.0</v>
      </c>
      <c r="AH4" s="147">
        <v>44217.0</v>
      </c>
      <c r="AI4" s="147">
        <v>44218.0</v>
      </c>
      <c r="AJ4" s="147">
        <v>44219.0</v>
      </c>
      <c r="AK4" s="147">
        <v>44220.0</v>
      </c>
      <c r="AL4" s="147">
        <v>44221.0</v>
      </c>
      <c r="AM4" s="147">
        <v>44222.0</v>
      </c>
      <c r="AN4" s="147">
        <v>44223.0</v>
      </c>
      <c r="AO4" s="147">
        <v>44224.0</v>
      </c>
      <c r="AP4" s="147">
        <v>44225.0</v>
      </c>
      <c r="AQ4" s="147">
        <v>44226.0</v>
      </c>
      <c r="AR4" s="147">
        <v>44227.0</v>
      </c>
      <c r="AS4" s="148" t="s">
        <v>126</v>
      </c>
      <c r="AT4" s="149" t="s">
        <v>127</v>
      </c>
    </row>
    <row r="5" spans="8:8" s="150" ht="23.25" customFormat="1" customHeight="1">
      <c r="A5" s="151" t="s">
        <v>264</v>
      </c>
      <c r="B5" s="152" t="s">
        <v>129</v>
      </c>
      <c r="C5" s="153"/>
      <c r="D5" s="154">
        <f>F5+AS8-AS12+AS13</f>
        <v>0.0</v>
      </c>
      <c r="E5" s="155"/>
      <c r="F5" s="156">
        <v>0.0</v>
      </c>
      <c r="G5" s="157"/>
      <c r="H5" s="158"/>
      <c r="I5" s="159"/>
      <c r="J5" s="160"/>
      <c r="K5" s="161"/>
      <c r="L5" s="162"/>
      <c r="M5" s="163" t="s">
        <v>130</v>
      </c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318"/>
      <c r="AF5" s="318"/>
      <c r="AG5" s="318"/>
      <c r="AH5" s="318"/>
      <c r="AI5" s="318"/>
      <c r="AJ5" s="318"/>
      <c r="AK5" s="318"/>
      <c r="AL5" s="318"/>
      <c r="AM5" s="318"/>
      <c r="AN5" s="318"/>
      <c r="AO5" s="318"/>
      <c r="AP5" s="318"/>
      <c r="AQ5" s="318"/>
      <c r="AR5" s="319"/>
      <c r="AS5" s="167"/>
      <c r="AT5" s="168"/>
    </row>
    <row r="6" spans="8:8" s="150" ht="23.25" customFormat="1" customHeight="1">
      <c r="A6" s="169"/>
      <c r="B6" s="170"/>
      <c r="C6" s="171"/>
      <c r="D6" s="172"/>
      <c r="E6" s="173"/>
      <c r="F6" s="174"/>
      <c r="G6" s="175"/>
      <c r="H6" s="176"/>
      <c r="I6" s="177"/>
      <c r="J6" s="178"/>
      <c r="K6" s="179"/>
      <c r="L6" s="180"/>
      <c r="M6" s="181" t="s">
        <v>131</v>
      </c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320"/>
      <c r="AQ6" s="288"/>
      <c r="AR6" s="288"/>
      <c r="AS6" s="184">
        <f>SUM(N6:AR6)</f>
        <v>0.0</v>
      </c>
      <c r="AT6" s="185"/>
    </row>
    <row r="7" spans="8:8" s="150" ht="23.25" customFormat="1" customHeight="1">
      <c r="A7" s="169"/>
      <c r="B7" s="170"/>
      <c r="C7" s="171"/>
      <c r="D7" s="172"/>
      <c r="E7" s="173"/>
      <c r="F7" s="174"/>
      <c r="G7" s="175"/>
      <c r="H7" s="176"/>
      <c r="I7" s="177"/>
      <c r="J7" s="178"/>
      <c r="K7" s="179"/>
      <c r="L7" s="180"/>
      <c r="M7" s="186" t="s">
        <v>132</v>
      </c>
      <c r="N7" s="288">
        <f t="shared" si="0" ref="N7:AR7">N6-N8-N9</f>
        <v>0.0</v>
      </c>
      <c r="O7" s="321">
        <f t="shared" si="0"/>
        <v>0.0</v>
      </c>
      <c r="P7" s="321">
        <f t="shared" si="0"/>
        <v>0.0</v>
      </c>
      <c r="Q7" s="288">
        <f t="shared" si="0"/>
        <v>0.0</v>
      </c>
      <c r="R7" s="288">
        <f t="shared" si="0"/>
        <v>0.0</v>
      </c>
      <c r="S7" s="288">
        <f t="shared" si="0"/>
        <v>0.0</v>
      </c>
      <c r="T7" s="288">
        <f t="shared" si="0"/>
        <v>0.0</v>
      </c>
      <c r="U7" s="288">
        <f t="shared" si="0"/>
        <v>0.0</v>
      </c>
      <c r="V7" s="288">
        <f t="shared" si="0"/>
        <v>0.0</v>
      </c>
      <c r="W7" s="288">
        <f t="shared" si="0"/>
        <v>0.0</v>
      </c>
      <c r="X7" s="288">
        <f t="shared" si="0"/>
        <v>0.0</v>
      </c>
      <c r="Y7" s="288">
        <f t="shared" si="0"/>
        <v>0.0</v>
      </c>
      <c r="Z7" s="288">
        <f t="shared" si="0"/>
        <v>0.0</v>
      </c>
      <c r="AA7" s="288">
        <f t="shared" si="0"/>
        <v>0.0</v>
      </c>
      <c r="AB7" s="288">
        <f t="shared" si="0"/>
        <v>0.0</v>
      </c>
      <c r="AC7" s="288">
        <f t="shared" si="0"/>
        <v>0.0</v>
      </c>
      <c r="AD7" s="288">
        <f t="shared" si="0"/>
        <v>0.0</v>
      </c>
      <c r="AE7" s="288">
        <f t="shared" si="0"/>
        <v>0.0</v>
      </c>
      <c r="AF7" s="288">
        <f t="shared" si="0"/>
        <v>0.0</v>
      </c>
      <c r="AG7" s="288">
        <f t="shared" si="0"/>
        <v>0.0</v>
      </c>
      <c r="AH7" s="288">
        <f t="shared" si="0"/>
        <v>0.0</v>
      </c>
      <c r="AI7" s="288">
        <f t="shared" si="0"/>
        <v>0.0</v>
      </c>
      <c r="AJ7" s="288">
        <f t="shared" si="0"/>
        <v>0.0</v>
      </c>
      <c r="AK7" s="288">
        <f t="shared" si="0"/>
        <v>0.0</v>
      </c>
      <c r="AL7" s="288">
        <f t="shared" si="0"/>
        <v>0.0</v>
      </c>
      <c r="AM7" s="288">
        <f t="shared" si="0"/>
        <v>0.0</v>
      </c>
      <c r="AN7" s="288">
        <f t="shared" si="0"/>
        <v>0.0</v>
      </c>
      <c r="AO7" s="288">
        <f t="shared" si="0"/>
        <v>0.0</v>
      </c>
      <c r="AP7" s="288">
        <f t="shared" si="0"/>
        <v>0.0</v>
      </c>
      <c r="AQ7" s="288">
        <f t="shared" si="0"/>
        <v>0.0</v>
      </c>
      <c r="AR7" s="288">
        <f t="shared" si="0"/>
        <v>0.0</v>
      </c>
      <c r="AS7" s="184">
        <v>0.0</v>
      </c>
      <c r="AT7" s="187"/>
    </row>
    <row r="8" spans="8:8" s="150" ht="23.25" customFormat="1" customHeight="1">
      <c r="A8" s="169"/>
      <c r="B8" s="170"/>
      <c r="C8" s="171"/>
      <c r="D8" s="172"/>
      <c r="E8" s="173"/>
      <c r="F8" s="174"/>
      <c r="G8" s="175"/>
      <c r="H8" s="176"/>
      <c r="I8" s="177"/>
      <c r="J8" s="178"/>
      <c r="K8" s="179"/>
      <c r="L8" s="180"/>
      <c r="M8" s="188" t="s">
        <v>133</v>
      </c>
      <c r="N8" s="287"/>
      <c r="O8" s="287"/>
      <c r="P8" s="287"/>
      <c r="Q8" s="287"/>
      <c r="R8" s="287"/>
      <c r="S8" s="287"/>
      <c r="T8" s="287"/>
      <c r="U8" s="288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8"/>
      <c r="AQ8" s="287"/>
      <c r="AR8" s="287"/>
      <c r="AS8" s="189">
        <f>SUM(N8:AR8)</f>
        <v>0.0</v>
      </c>
      <c r="AT8" s="190" t="e">
        <f>(AS8/(AS6-AS7))*100%</f>
        <v>#DIV/0!</v>
      </c>
    </row>
    <row r="9" spans="8:8" s="150" ht="23.25" customFormat="1" customHeight="1">
      <c r="A9" s="169"/>
      <c r="B9" s="170"/>
      <c r="C9" s="171"/>
      <c r="D9" s="172"/>
      <c r="E9" s="173"/>
      <c r="F9" s="174"/>
      <c r="G9" s="175"/>
      <c r="H9" s="176"/>
      <c r="I9" s="177"/>
      <c r="J9" s="178"/>
      <c r="K9" s="179"/>
      <c r="L9" s="180"/>
      <c r="M9" s="191" t="s">
        <v>134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289"/>
      <c r="AQ9" s="322"/>
      <c r="AR9" s="322"/>
      <c r="AS9" s="184">
        <f>SUM(N9:AR9)</f>
        <v>0.0</v>
      </c>
      <c r="AT9" s="193" t="e">
        <f>(AS9/(AS6-AS7))*100%</f>
        <v>#DIV/0!</v>
      </c>
    </row>
    <row r="10" spans="8:8" s="150" ht="23.25" customFormat="1" customHeight="1">
      <c r="A10" s="169"/>
      <c r="B10" s="194"/>
      <c r="C10" s="195"/>
      <c r="D10" s="196"/>
      <c r="E10" s="197"/>
      <c r="F10" s="198"/>
      <c r="G10" s="199"/>
      <c r="H10" s="200"/>
      <c r="I10" s="201"/>
      <c r="J10" s="202"/>
      <c r="K10" s="203"/>
      <c r="L10" s="204"/>
      <c r="M10" s="205" t="s">
        <v>135</v>
      </c>
      <c r="N10" s="323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5"/>
      <c r="AS10" s="207"/>
      <c r="AT10" s="208"/>
    </row>
    <row r="11" spans="8:8" s="150" ht="23.25" customFormat="1" customHeight="1">
      <c r="A11" s="169"/>
      <c r="B11" s="209" t="s">
        <v>136</v>
      </c>
      <c r="C11" s="153"/>
      <c r="D11" s="326">
        <f>F11+AS14-AS18+AS19</f>
        <v>-533767.0</v>
      </c>
      <c r="E11" s="155"/>
      <c r="F11" s="156">
        <v>0.0</v>
      </c>
      <c r="G11" s="157"/>
      <c r="H11" s="158"/>
      <c r="I11" s="159"/>
      <c r="J11" s="160"/>
      <c r="K11" s="161"/>
      <c r="L11" s="162"/>
      <c r="M11" s="163" t="s">
        <v>130</v>
      </c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  <c r="AK11" s="318"/>
      <c r="AL11" s="327"/>
      <c r="AM11" s="327"/>
      <c r="AN11" s="327"/>
      <c r="AO11" s="327"/>
      <c r="AP11" s="327"/>
      <c r="AQ11" s="327"/>
      <c r="AR11" s="327"/>
      <c r="AS11" s="167"/>
      <c r="AT11" s="168"/>
    </row>
    <row r="12" spans="8:8" s="150" ht="23.25" customFormat="1" customHeight="1">
      <c r="A12" s="169"/>
      <c r="B12" s="210"/>
      <c r="C12" s="171"/>
      <c r="D12" s="328"/>
      <c r="E12" s="173"/>
      <c r="F12" s="174"/>
      <c r="G12" s="175"/>
      <c r="H12" s="176"/>
      <c r="I12" s="177"/>
      <c r="J12" s="178"/>
      <c r="K12" s="179"/>
      <c r="L12" s="180"/>
      <c r="M12" s="211" t="s">
        <v>131</v>
      </c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9"/>
      <c r="AQ12" s="320"/>
      <c r="AR12" s="320"/>
      <c r="AS12" s="212">
        <f>SUM(N12:AR12)</f>
        <v>0.0</v>
      </c>
      <c r="AT12" s="185"/>
    </row>
    <row r="13" spans="8:8" s="150" ht="23.25" customFormat="1" customHeight="1">
      <c r="A13" s="169"/>
      <c r="B13" s="210"/>
      <c r="C13" s="171"/>
      <c r="D13" s="328"/>
      <c r="E13" s="173"/>
      <c r="F13" s="174"/>
      <c r="G13" s="175"/>
      <c r="H13" s="176"/>
      <c r="I13" s="177"/>
      <c r="J13" s="178"/>
      <c r="K13" s="179"/>
      <c r="L13" s="180"/>
      <c r="M13" s="213" t="s">
        <v>132</v>
      </c>
      <c r="N13" s="288">
        <f t="shared" si="1" ref="N13:AR13">N12-N14-N15</f>
        <v>0.0</v>
      </c>
      <c r="O13" s="321">
        <f t="shared" si="1"/>
        <v>0.0</v>
      </c>
      <c r="P13" s="321">
        <f t="shared" si="1"/>
        <v>0.0</v>
      </c>
      <c r="Q13" s="288">
        <f t="shared" si="1"/>
        <v>0.0</v>
      </c>
      <c r="R13" s="288">
        <f t="shared" si="1"/>
        <v>0.0</v>
      </c>
      <c r="S13" s="288">
        <f t="shared" si="1"/>
        <v>0.0</v>
      </c>
      <c r="T13" s="288">
        <f t="shared" si="1"/>
        <v>0.0</v>
      </c>
      <c r="U13" s="288">
        <f t="shared" si="1"/>
        <v>0.0</v>
      </c>
      <c r="V13" s="288">
        <f t="shared" si="1"/>
        <v>0.0</v>
      </c>
      <c r="W13" s="288">
        <f t="shared" si="1"/>
        <v>0.0</v>
      </c>
      <c r="X13" s="288">
        <f t="shared" si="1"/>
        <v>0.0</v>
      </c>
      <c r="Y13" s="288">
        <f t="shared" si="1"/>
        <v>0.0</v>
      </c>
      <c r="Z13" s="288">
        <f t="shared" si="1"/>
        <v>0.0</v>
      </c>
      <c r="AA13" s="288">
        <f t="shared" si="1"/>
        <v>0.0</v>
      </c>
      <c r="AB13" s="288">
        <f t="shared" si="1"/>
        <v>0.0</v>
      </c>
      <c r="AC13" s="288">
        <f t="shared" si="1"/>
        <v>0.0</v>
      </c>
      <c r="AD13" s="288">
        <f t="shared" si="1"/>
        <v>0.0</v>
      </c>
      <c r="AE13" s="288">
        <f t="shared" si="1"/>
        <v>0.0</v>
      </c>
      <c r="AF13" s="288">
        <f t="shared" si="1"/>
        <v>0.0</v>
      </c>
      <c r="AG13" s="288">
        <f t="shared" si="1"/>
        <v>0.0</v>
      </c>
      <c r="AH13" s="288">
        <f t="shared" si="1"/>
        <v>0.0</v>
      </c>
      <c r="AI13" s="288">
        <f t="shared" si="1"/>
        <v>0.0</v>
      </c>
      <c r="AJ13" s="288">
        <f t="shared" si="1"/>
        <v>0.0</v>
      </c>
      <c r="AK13" s="288">
        <f t="shared" si="1"/>
        <v>0.0</v>
      </c>
      <c r="AL13" s="288">
        <f t="shared" si="1"/>
        <v>0.0</v>
      </c>
      <c r="AM13" s="288">
        <f t="shared" si="1"/>
        <v>0.0</v>
      </c>
      <c r="AN13" s="288">
        <f t="shared" si="1"/>
        <v>0.0</v>
      </c>
      <c r="AO13" s="288">
        <f t="shared" si="1"/>
        <v>0.0</v>
      </c>
      <c r="AP13" s="288">
        <f t="shared" si="1"/>
        <v>0.0</v>
      </c>
      <c r="AQ13" s="288">
        <f t="shared" si="1"/>
        <v>0.0</v>
      </c>
      <c r="AR13" s="288">
        <f t="shared" si="1"/>
        <v>0.0</v>
      </c>
      <c r="AS13" s="214">
        <f>SUM(N13:AR13)</f>
        <v>0.0</v>
      </c>
      <c r="AT13" s="187"/>
    </row>
    <row r="14" spans="8:8" s="150" ht="23.25" customFormat="1" customHeight="1">
      <c r="A14" s="169"/>
      <c r="B14" s="210"/>
      <c r="C14" s="171"/>
      <c r="D14" s="328"/>
      <c r="E14" s="173"/>
      <c r="F14" s="174"/>
      <c r="G14" s="175"/>
      <c r="H14" s="176"/>
      <c r="I14" s="177"/>
      <c r="J14" s="178"/>
      <c r="K14" s="179"/>
      <c r="L14" s="180"/>
      <c r="M14" s="186" t="s">
        <v>133</v>
      </c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329"/>
      <c r="AQ14" s="288"/>
      <c r="AR14" s="288"/>
      <c r="AS14" s="184">
        <f>SUM(N14:AR14)</f>
        <v>0.0</v>
      </c>
      <c r="AT14" s="190" t="e">
        <f>(AS14/(AS12-AS13))*100%</f>
        <v>#DIV/0!</v>
      </c>
    </row>
    <row r="15" spans="8:8" s="150" ht="23.25" customFormat="1" customHeight="1">
      <c r="A15" s="169"/>
      <c r="B15" s="210"/>
      <c r="C15" s="171"/>
      <c r="D15" s="328"/>
      <c r="E15" s="173"/>
      <c r="F15" s="174"/>
      <c r="G15" s="175"/>
      <c r="H15" s="176"/>
      <c r="I15" s="177"/>
      <c r="J15" s="178"/>
      <c r="K15" s="179"/>
      <c r="L15" s="180"/>
      <c r="M15" s="191" t="s">
        <v>134</v>
      </c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289"/>
      <c r="AD15" s="289"/>
      <c r="AE15" s="289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  <c r="AP15" s="329"/>
      <c r="AQ15" s="289"/>
      <c r="AR15" s="289"/>
      <c r="AS15" s="215">
        <f>SUM(N15:AR15)</f>
        <v>0.0</v>
      </c>
      <c r="AT15" s="193" t="e">
        <f>(AS15/(AS12-AS13))*100%</f>
        <v>#DIV/0!</v>
      </c>
    </row>
    <row r="16" spans="8:8" s="150" ht="23.25" customFormat="1" customHeight="1">
      <c r="A16" s="169"/>
      <c r="B16" s="216"/>
      <c r="C16" s="195"/>
      <c r="D16" s="330"/>
      <c r="E16" s="197"/>
      <c r="F16" s="198"/>
      <c r="G16" s="199"/>
      <c r="H16" s="200"/>
      <c r="I16" s="201"/>
      <c r="J16" s="202"/>
      <c r="K16" s="203"/>
      <c r="L16" s="204"/>
      <c r="M16" s="205" t="s">
        <v>135</v>
      </c>
      <c r="N16" s="323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5"/>
      <c r="AS16" s="207"/>
      <c r="AT16" s="208"/>
    </row>
    <row r="17" spans="8:8" s="150" ht="23.25" customFormat="1" customHeight="1">
      <c r="A17" s="169"/>
      <c r="B17" s="217" t="s">
        <v>137</v>
      </c>
      <c r="C17" s="153"/>
      <c r="D17" s="154">
        <f>F17+AS20-AS24+AS25</f>
        <v>33258.0</v>
      </c>
      <c r="E17" s="155"/>
      <c r="F17" s="156">
        <v>141990.0</v>
      </c>
      <c r="G17" s="157">
        <v>44197.0</v>
      </c>
      <c r="H17" s="158"/>
      <c r="I17" s="159"/>
      <c r="J17" s="160"/>
      <c r="K17" s="161"/>
      <c r="L17" s="162"/>
      <c r="M17" s="163" t="s">
        <v>130</v>
      </c>
      <c r="N17" s="327"/>
      <c r="O17" s="327" t="s">
        <v>181</v>
      </c>
      <c r="P17" s="327" t="s">
        <v>182</v>
      </c>
      <c r="Q17" s="327" t="s">
        <v>183</v>
      </c>
      <c r="R17" s="327"/>
      <c r="S17" s="327" t="s">
        <v>265</v>
      </c>
      <c r="T17" s="327" t="s">
        <v>185</v>
      </c>
      <c r="U17" s="327" t="s">
        <v>186</v>
      </c>
      <c r="V17" s="327" t="s">
        <v>187</v>
      </c>
      <c r="W17" s="327"/>
      <c r="X17" s="327" t="s">
        <v>188</v>
      </c>
      <c r="Y17" s="327" t="s">
        <v>189</v>
      </c>
      <c r="Z17" s="327" t="s">
        <v>190</v>
      </c>
      <c r="AA17" s="327"/>
      <c r="AB17" s="327" t="s">
        <v>192</v>
      </c>
      <c r="AC17" s="327" t="s">
        <v>266</v>
      </c>
      <c r="AD17" s="331"/>
      <c r="AE17" s="327" t="s">
        <v>194</v>
      </c>
      <c r="AF17" s="327" t="s">
        <v>195</v>
      </c>
      <c r="AG17" s="327" t="s">
        <v>196</v>
      </c>
      <c r="AH17" s="327" t="s">
        <v>197</v>
      </c>
      <c r="AI17" s="327" t="s">
        <v>198</v>
      </c>
      <c r="AJ17" s="327" t="s">
        <v>168</v>
      </c>
      <c r="AK17" s="327"/>
      <c r="AL17" s="327"/>
      <c r="AM17" s="327"/>
      <c r="AN17" s="327"/>
      <c r="AO17" s="327"/>
      <c r="AP17" s="327"/>
      <c r="AQ17" s="327"/>
      <c r="AR17" s="327"/>
      <c r="AS17" s="167"/>
      <c r="AT17" s="168"/>
    </row>
    <row r="18" spans="8:8" s="150" ht="23.25" customFormat="1" customHeight="1">
      <c r="A18" s="169"/>
      <c r="B18" s="170"/>
      <c r="C18" s="171"/>
      <c r="D18" s="172"/>
      <c r="E18" s="173"/>
      <c r="F18" s="174"/>
      <c r="G18" s="175"/>
      <c r="H18" s="176"/>
      <c r="I18" s="177"/>
      <c r="J18" s="178"/>
      <c r="K18" s="179"/>
      <c r="L18" s="180"/>
      <c r="M18" s="211" t="s">
        <v>131</v>
      </c>
      <c r="N18" s="320">
        <f>56600+18748+14</f>
        <v>75362.0</v>
      </c>
      <c r="O18" s="320">
        <f>8000*4</f>
        <v>32000.0</v>
      </c>
      <c r="P18" s="320">
        <f>8000*4</f>
        <v>32000.0</v>
      </c>
      <c r="Q18" s="320">
        <f>10000*4</f>
        <v>40000.0</v>
      </c>
      <c r="R18" s="320">
        <f>10000*4</f>
        <v>40000.0</v>
      </c>
      <c r="S18" s="320">
        <f>10000*4</f>
        <v>40000.0</v>
      </c>
      <c r="T18" s="320">
        <f>10000*4</f>
        <v>40000.0</v>
      </c>
      <c r="U18" s="320">
        <f t="shared" si="2" ref="U18:Z18">8000*3</f>
        <v>24000.0</v>
      </c>
      <c r="V18" s="320">
        <f t="shared" si="2"/>
        <v>24000.0</v>
      </c>
      <c r="W18" s="320"/>
      <c r="X18" s="320">
        <f t="shared" si="2"/>
        <v>24000.0</v>
      </c>
      <c r="Y18" s="320">
        <f t="shared" si="2"/>
        <v>24000.0</v>
      </c>
      <c r="Z18" s="320">
        <f t="shared" si="3" ref="Z18:AC18">8000*2</f>
        <v>16000.0</v>
      </c>
      <c r="AA18" s="320">
        <f t="shared" si="3"/>
        <v>16000.0</v>
      </c>
      <c r="AB18" s="320">
        <f t="shared" si="3"/>
        <v>16000.0</v>
      </c>
      <c r="AC18" s="320">
        <f t="shared" si="3"/>
        <v>16000.0</v>
      </c>
      <c r="AD18" s="329"/>
      <c r="AE18" s="320">
        <f t="shared" si="4" ref="AE18:AJ18">8000*2</f>
        <v>16000.0</v>
      </c>
      <c r="AF18" s="320">
        <f t="shared" si="4"/>
        <v>16000.0</v>
      </c>
      <c r="AG18" s="320">
        <f t="shared" si="4"/>
        <v>16000.0</v>
      </c>
      <c r="AH18" s="320">
        <f t="shared" si="4"/>
        <v>16000.0</v>
      </c>
      <c r="AI18" s="320">
        <f t="shared" si="4"/>
        <v>16000.0</v>
      </c>
      <c r="AJ18" s="320">
        <f t="shared" si="4"/>
        <v>16000.0</v>
      </c>
      <c r="AK18" s="320"/>
      <c r="AL18" s="320"/>
      <c r="AM18" s="320"/>
      <c r="AN18" s="320"/>
      <c r="AO18" s="320"/>
      <c r="AP18" s="320"/>
      <c r="AQ18" s="320"/>
      <c r="AR18" s="320"/>
      <c r="AS18" s="212">
        <f>SUM(N18:AR18)</f>
        <v>555362.0</v>
      </c>
      <c r="AT18" s="185"/>
    </row>
    <row r="19" spans="8:8" s="150" ht="23.25" customFormat="1" customHeight="1">
      <c r="A19" s="169"/>
      <c r="B19" s="170"/>
      <c r="C19" s="171"/>
      <c r="D19" s="172"/>
      <c r="E19" s="173"/>
      <c r="F19" s="174"/>
      <c r="G19" s="175"/>
      <c r="H19" s="176"/>
      <c r="I19" s="177"/>
      <c r="J19" s="178"/>
      <c r="K19" s="179"/>
      <c r="L19" s="180"/>
      <c r="M19" s="213" t="s">
        <v>132</v>
      </c>
      <c r="N19" s="321">
        <f>N18-N20-N21</f>
        <v>0.0</v>
      </c>
      <c r="O19" s="321">
        <f t="shared" si="5" ref="N19:AR19">O18-O20-O21</f>
        <v>-281.0</v>
      </c>
      <c r="P19" s="321">
        <f t="shared" si="5"/>
        <v>2305.0</v>
      </c>
      <c r="Q19" s="288">
        <f t="shared" si="5"/>
        <v>1216.0</v>
      </c>
      <c r="R19" s="288">
        <f t="shared" si="5"/>
        <v>-2811.0</v>
      </c>
      <c r="S19" s="288">
        <f t="shared" si="5"/>
        <v>2418.0</v>
      </c>
      <c r="T19" s="288">
        <f t="shared" si="5"/>
        <v>129.0</v>
      </c>
      <c r="U19" s="288">
        <f t="shared" si="5"/>
        <v>3301.0</v>
      </c>
      <c r="V19" s="288">
        <f t="shared" si="5"/>
        <v>9862.0</v>
      </c>
      <c r="W19" s="288">
        <f t="shared" si="5"/>
        <v>0.0</v>
      </c>
      <c r="X19" s="288">
        <f t="shared" si="5"/>
        <v>4044.0</v>
      </c>
      <c r="Y19" s="288">
        <f t="shared" si="5"/>
        <v>6733.0</v>
      </c>
      <c r="Z19" s="288">
        <f t="shared" si="5"/>
        <v>-86.0</v>
      </c>
      <c r="AA19" s="288">
        <f t="shared" si="5"/>
        <v>131.0</v>
      </c>
      <c r="AB19" s="288">
        <f t="shared" si="5"/>
        <v>-269.0</v>
      </c>
      <c r="AC19" s="288">
        <f t="shared" si="5"/>
        <v>4132.0</v>
      </c>
      <c r="AD19" s="288">
        <f t="shared" si="5"/>
        <v>0.0</v>
      </c>
      <c r="AE19" s="288">
        <f t="shared" si="5"/>
        <v>33.0</v>
      </c>
      <c r="AF19" s="288">
        <f t="shared" si="5"/>
        <v>-1483.0</v>
      </c>
      <c r="AG19" s="288">
        <f t="shared" si="5"/>
        <v>-3323.0</v>
      </c>
      <c r="AH19" s="288">
        <f t="shared" si="5"/>
        <v>-2751.0</v>
      </c>
      <c r="AI19" s="288">
        <f t="shared" si="5"/>
        <v>-2486.0</v>
      </c>
      <c r="AJ19" s="288">
        <f t="shared" si="5"/>
        <v>781.0</v>
      </c>
      <c r="AK19" s="288">
        <f t="shared" si="5"/>
        <v>0.0</v>
      </c>
      <c r="AL19" s="288">
        <f t="shared" si="5"/>
        <v>0.0</v>
      </c>
      <c r="AM19" s="288">
        <f t="shared" si="5"/>
        <v>0.0</v>
      </c>
      <c r="AN19" s="288">
        <f t="shared" si="5"/>
        <v>0.0</v>
      </c>
      <c r="AO19" s="288">
        <f t="shared" si="5"/>
        <v>0.0</v>
      </c>
      <c r="AP19" s="288">
        <f t="shared" si="5"/>
        <v>0.0</v>
      </c>
      <c r="AQ19" s="288">
        <f t="shared" si="5"/>
        <v>0.0</v>
      </c>
      <c r="AR19" s="288">
        <f t="shared" si="5"/>
        <v>0.0</v>
      </c>
      <c r="AS19" s="214">
        <f>SUM(N19:AR19)</f>
        <v>21595.0</v>
      </c>
      <c r="AT19" s="187"/>
    </row>
    <row r="20" spans="8:8" s="150" ht="23.25" customFormat="1" customHeight="1">
      <c r="A20" s="169"/>
      <c r="B20" s="170"/>
      <c r="C20" s="171"/>
      <c r="D20" s="172"/>
      <c r="E20" s="173"/>
      <c r="F20" s="174"/>
      <c r="G20" s="175"/>
      <c r="H20" s="176"/>
      <c r="I20" s="177"/>
      <c r="J20" s="178"/>
      <c r="K20" s="179"/>
      <c r="L20" s="180"/>
      <c r="M20" s="186" t="s">
        <v>133</v>
      </c>
      <c r="N20" s="320">
        <f>56600+18748+14</f>
        <v>75362.0</v>
      </c>
      <c r="O20" s="288">
        <f>6921+9570+7024+8762</f>
        <v>32277.0</v>
      </c>
      <c r="P20" s="288">
        <f>5758+8958+8238+6737</f>
        <v>29691.0</v>
      </c>
      <c r="Q20" s="288">
        <f>9535+9933+9348+9961</f>
        <v>38777.0</v>
      </c>
      <c r="R20" s="288">
        <f>11760+10845+9182+11020</f>
        <v>42807.0</v>
      </c>
      <c r="S20" s="288">
        <f>8644+11279+8387+9266</f>
        <v>37576.0</v>
      </c>
      <c r="T20" s="288">
        <f>10942+8244+10427+10254</f>
        <v>39867.0</v>
      </c>
      <c r="U20" s="288">
        <f>10570+10123</f>
        <v>20693.0</v>
      </c>
      <c r="V20" s="288">
        <f>7204+6931</f>
        <v>14135.0</v>
      </c>
      <c r="W20" s="288"/>
      <c r="X20" s="288">
        <f>9641+10308</f>
        <v>19949.0</v>
      </c>
      <c r="Y20" s="288">
        <f>8726+8536</f>
        <v>17262.0</v>
      </c>
      <c r="Z20" s="288">
        <f>8301+7781</f>
        <v>16082.0</v>
      </c>
      <c r="AA20" s="288">
        <f>7877+7992</f>
        <v>15869.0</v>
      </c>
      <c r="AB20" s="288">
        <f>8142+8127</f>
        <v>16269.0</v>
      </c>
      <c r="AC20" s="288">
        <f>6555+5310</f>
        <v>11865.0</v>
      </c>
      <c r="AD20" s="288"/>
      <c r="AE20" s="288">
        <f>8310+7655</f>
        <v>15965.0</v>
      </c>
      <c r="AF20" s="288">
        <f>8592+8887</f>
        <v>17479.0</v>
      </c>
      <c r="AG20" s="288">
        <f>9898+9423</f>
        <v>19321.0</v>
      </c>
      <c r="AH20" s="288">
        <f>8930+9818</f>
        <v>18748.0</v>
      </c>
      <c r="AI20" s="288">
        <f>9923+8559</f>
        <v>18482.0</v>
      </c>
      <c r="AJ20" s="288">
        <f>7875+7340</f>
        <v>15215.0</v>
      </c>
      <c r="AK20" s="288"/>
      <c r="AL20" s="288"/>
      <c r="AM20" s="288"/>
      <c r="AN20" s="288"/>
      <c r="AO20" s="288"/>
      <c r="AP20" s="288"/>
      <c r="AQ20" s="288"/>
      <c r="AR20" s="288"/>
      <c r="AS20" s="184">
        <f>SUM(N20:AR20)</f>
        <v>533691.0</v>
      </c>
      <c r="AT20" s="190">
        <f>(AS20/(AS18-AS19))*100%</f>
        <v>0.999857615776172</v>
      </c>
    </row>
    <row r="21" spans="8:8" s="150" ht="23.25" customFormat="1" customHeight="1">
      <c r="A21" s="169"/>
      <c r="B21" s="170"/>
      <c r="C21" s="171"/>
      <c r="D21" s="172"/>
      <c r="E21" s="173"/>
      <c r="F21" s="174"/>
      <c r="G21" s="175"/>
      <c r="H21" s="176"/>
      <c r="I21" s="177"/>
      <c r="J21" s="178"/>
      <c r="K21" s="179"/>
      <c r="L21" s="180"/>
      <c r="M21" s="191" t="s">
        <v>134</v>
      </c>
      <c r="N21" s="289"/>
      <c r="O21" s="289">
        <v>4.0</v>
      </c>
      <c r="P21" s="289">
        <f>2+2</f>
        <v>4.0</v>
      </c>
      <c r="Q21" s="289">
        <f>2+3+1+1</f>
        <v>7.0</v>
      </c>
      <c r="R21" s="289">
        <f>2+2</f>
        <v>4.0</v>
      </c>
      <c r="S21" s="289">
        <f>2+2+2</f>
        <v>6.0</v>
      </c>
      <c r="T21" s="289">
        <f>1+1+2</f>
        <v>4.0</v>
      </c>
      <c r="U21" s="289">
        <f>4+2</f>
        <v>6.0</v>
      </c>
      <c r="V21" s="289">
        <f>1+2</f>
        <v>3.0</v>
      </c>
      <c r="W21" s="289"/>
      <c r="X21" s="289">
        <v>7.0</v>
      </c>
      <c r="Y21" s="289">
        <f>3+2</f>
        <v>5.0</v>
      </c>
      <c r="Z21" s="289">
        <f>2+2</f>
        <v>4.0</v>
      </c>
      <c r="AA21" s="289"/>
      <c r="AB21" s="289"/>
      <c r="AC21" s="289">
        <v>3.0</v>
      </c>
      <c r="AD21" s="289"/>
      <c r="AE21" s="289">
        <v>2.0</v>
      </c>
      <c r="AF21" s="289">
        <f>4</f>
        <v>4.0</v>
      </c>
      <c r="AG21" s="289">
        <f>2</f>
        <v>2.0</v>
      </c>
      <c r="AH21" s="289">
        <v>3.0</v>
      </c>
      <c r="AI21" s="289">
        <v>4.0</v>
      </c>
      <c r="AJ21" s="289">
        <v>4.0</v>
      </c>
      <c r="AK21" s="289"/>
      <c r="AL21" s="289"/>
      <c r="AM21" s="289"/>
      <c r="AN21" s="289"/>
      <c r="AO21" s="289"/>
      <c r="AP21" s="289"/>
      <c r="AQ21" s="289"/>
      <c r="AR21" s="289"/>
      <c r="AS21" s="215">
        <f>SUM(N21:AR21)</f>
        <v>76.0</v>
      </c>
      <c r="AT21" s="193">
        <f>(AS21/(AS18-AS19))*100%</f>
        <v>1.4238422382799985E-4</v>
      </c>
    </row>
    <row r="22" spans="8:8" s="150" ht="23.25" customFormat="1" customHeight="1">
      <c r="A22" s="169"/>
      <c r="B22" s="194"/>
      <c r="C22" s="195"/>
      <c r="D22" s="196"/>
      <c r="E22" s="197"/>
      <c r="F22" s="198"/>
      <c r="G22" s="199"/>
      <c r="H22" s="200"/>
      <c r="I22" s="201"/>
      <c r="J22" s="202"/>
      <c r="K22" s="203"/>
      <c r="L22" s="204"/>
      <c r="M22" s="205" t="s">
        <v>135</v>
      </c>
      <c r="N22" s="323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324"/>
      <c r="AF22" s="324"/>
      <c r="AG22" s="324"/>
      <c r="AH22" s="324"/>
      <c r="AI22" s="324"/>
      <c r="AJ22" s="324"/>
      <c r="AK22" s="324"/>
      <c r="AL22" s="324"/>
      <c r="AM22" s="324"/>
      <c r="AN22" s="324"/>
      <c r="AO22" s="324"/>
      <c r="AP22" s="324"/>
      <c r="AQ22" s="324"/>
      <c r="AR22" s="325"/>
      <c r="AS22" s="207"/>
      <c r="AT22" s="208"/>
    </row>
    <row r="23" spans="8:8" s="150" ht="23.25" customFormat="1" customHeight="1">
      <c r="A23" s="169"/>
      <c r="B23" s="217" t="s">
        <v>147</v>
      </c>
      <c r="C23" s="153"/>
      <c r="D23" s="326">
        <f>F23+AS26-AS30+AS31</f>
        <v>113721.0</v>
      </c>
      <c r="E23" s="155"/>
      <c r="F23" s="156">
        <v>44919.0</v>
      </c>
      <c r="G23" s="157">
        <v>44197.0</v>
      </c>
      <c r="H23" s="158"/>
      <c r="I23" s="159"/>
      <c r="J23" s="160"/>
      <c r="K23" s="161"/>
      <c r="L23" s="162"/>
      <c r="M23" s="163" t="s">
        <v>130</v>
      </c>
      <c r="N23" s="318"/>
      <c r="O23" s="318"/>
      <c r="P23" s="318"/>
      <c r="Q23" s="318" t="s">
        <v>159</v>
      </c>
      <c r="R23" s="318"/>
      <c r="S23" s="318" t="s">
        <v>200</v>
      </c>
      <c r="T23" s="318" t="s">
        <v>267</v>
      </c>
      <c r="U23" s="318" t="s">
        <v>268</v>
      </c>
      <c r="V23" s="318" t="s">
        <v>202</v>
      </c>
      <c r="W23" s="318"/>
      <c r="X23" s="318" t="s">
        <v>155</v>
      </c>
      <c r="Y23" s="318" t="s">
        <v>156</v>
      </c>
      <c r="Z23" s="318" t="s">
        <v>257</v>
      </c>
      <c r="AA23" s="318"/>
      <c r="AB23" s="318" t="s">
        <v>203</v>
      </c>
      <c r="AC23" s="318" t="s">
        <v>204</v>
      </c>
      <c r="AD23" s="318"/>
      <c r="AE23" s="318" t="s">
        <v>205</v>
      </c>
      <c r="AF23" s="318" t="s">
        <v>206</v>
      </c>
      <c r="AG23" s="318" t="s">
        <v>207</v>
      </c>
      <c r="AH23" s="318" t="s">
        <v>208</v>
      </c>
      <c r="AI23" s="318" t="s">
        <v>167</v>
      </c>
      <c r="AJ23" s="318"/>
      <c r="AK23" s="318"/>
      <c r="AL23" s="318"/>
      <c r="AM23" s="318"/>
      <c r="AN23" s="318"/>
      <c r="AO23" s="318"/>
      <c r="AP23" s="318"/>
      <c r="AQ23" s="318"/>
      <c r="AR23" s="319"/>
      <c r="AS23" s="167"/>
      <c r="AT23" s="168"/>
    </row>
    <row r="24" spans="8:8" s="150" ht="23.25" customFormat="1" customHeight="1">
      <c r="A24" s="169"/>
      <c r="B24" s="170"/>
      <c r="C24" s="171"/>
      <c r="D24" s="328"/>
      <c r="E24" s="173"/>
      <c r="F24" s="174"/>
      <c r="G24" s="175"/>
      <c r="H24" s="176"/>
      <c r="I24" s="177"/>
      <c r="J24" s="178"/>
      <c r="K24" s="179"/>
      <c r="L24" s="180"/>
      <c r="M24" s="211" t="s">
        <v>131</v>
      </c>
      <c r="N24" s="288"/>
      <c r="O24" s="320"/>
      <c r="P24" s="288">
        <v>48957.0</v>
      </c>
      <c r="Q24" s="288">
        <f>13120+3318+5624+5068-606-304-2300+14</f>
        <v>23934.0</v>
      </c>
      <c r="R24" s="320">
        <v>50000.0</v>
      </c>
      <c r="S24" s="320">
        <v>50000.0</v>
      </c>
      <c r="T24" s="320">
        <f>50000*2</f>
        <v>100000.0</v>
      </c>
      <c r="U24" s="320">
        <v>10571.0</v>
      </c>
      <c r="V24" s="320">
        <v>11087.0</v>
      </c>
      <c r="W24" s="320"/>
      <c r="X24" s="320">
        <v>10003.0</v>
      </c>
      <c r="Y24" s="320">
        <v>36002.0</v>
      </c>
      <c r="Z24" s="320">
        <f>28770+9809</f>
        <v>38579.0</v>
      </c>
      <c r="AA24" s="320">
        <v>65438.0</v>
      </c>
      <c r="AB24" s="320">
        <v>26955.0</v>
      </c>
      <c r="AC24" s="320">
        <v>45000.0</v>
      </c>
      <c r="AD24" s="320"/>
      <c r="AE24" s="320">
        <v>31252.0</v>
      </c>
      <c r="AF24" s="320">
        <v>16199.0</v>
      </c>
      <c r="AG24" s="320">
        <v>13925.0</v>
      </c>
      <c r="AH24" s="320">
        <f>23705</f>
        <v>23705.0</v>
      </c>
      <c r="AI24" s="320">
        <v>19170.0</v>
      </c>
      <c r="AJ24" s="320"/>
      <c r="AK24" s="320"/>
      <c r="AL24" s="320"/>
      <c r="AM24" s="320"/>
      <c r="AN24" s="320"/>
      <c r="AO24" s="320"/>
      <c r="AP24" s="320"/>
      <c r="AQ24" s="320"/>
      <c r="AR24" s="320"/>
      <c r="AS24" s="212">
        <f>SUM(N24:AR24)</f>
        <v>620777.0</v>
      </c>
      <c r="AT24" s="185"/>
    </row>
    <row r="25" spans="8:8" s="150" ht="23.25" customFormat="1" customHeight="1">
      <c r="A25" s="169"/>
      <c r="B25" s="170"/>
      <c r="C25" s="171"/>
      <c r="D25" s="328"/>
      <c r="E25" s="173"/>
      <c r="F25" s="174"/>
      <c r="G25" s="175"/>
      <c r="H25" s="176"/>
      <c r="I25" s="177"/>
      <c r="J25" s="178"/>
      <c r="K25" s="179"/>
      <c r="L25" s="180"/>
      <c r="M25" s="213" t="s">
        <v>132</v>
      </c>
      <c r="N25" s="288">
        <f t="shared" si="6" ref="N25:AR25">N24-N26-N27</f>
        <v>0.0</v>
      </c>
      <c r="O25" s="321">
        <f t="shared" si="6"/>
        <v>0.0</v>
      </c>
      <c r="P25" s="321">
        <f t="shared" si="6"/>
        <v>-10.0</v>
      </c>
      <c r="Q25" s="288">
        <f t="shared" si="6"/>
        <v>0.0</v>
      </c>
      <c r="R25" s="288">
        <f t="shared" si="6"/>
        <v>30985.0</v>
      </c>
      <c r="S25" s="288">
        <f t="shared" si="6"/>
        <v>9567.0</v>
      </c>
      <c r="T25" s="288">
        <f t="shared" si="6"/>
        <v>273.0</v>
      </c>
      <c r="U25" s="288">
        <f t="shared" si="6"/>
        <v>-20.0</v>
      </c>
      <c r="V25" s="288">
        <f t="shared" si="6"/>
        <v>0.0</v>
      </c>
      <c r="W25" s="288">
        <f t="shared" si="6"/>
        <v>0.0</v>
      </c>
      <c r="X25" s="288">
        <f t="shared" si="6"/>
        <v>-105.0</v>
      </c>
      <c r="Y25" s="288">
        <f t="shared" si="6"/>
        <v>-58970.0</v>
      </c>
      <c r="Z25" s="288">
        <f t="shared" si="6"/>
        <v>-122.0</v>
      </c>
      <c r="AA25" s="288">
        <f t="shared" si="6"/>
        <v>-65.0</v>
      </c>
      <c r="AB25" s="288">
        <f t="shared" si="6"/>
        <v>-82.0</v>
      </c>
      <c r="AC25" s="288">
        <f t="shared" si="6"/>
        <v>-42.0</v>
      </c>
      <c r="AD25" s="288">
        <f t="shared" si="6"/>
        <v>0.0</v>
      </c>
      <c r="AE25" s="288">
        <f t="shared" si="6"/>
        <v>0.0</v>
      </c>
      <c r="AF25" s="288">
        <f t="shared" si="6"/>
        <v>-9.0</v>
      </c>
      <c r="AG25" s="288">
        <f t="shared" si="6"/>
        <v>-3000.0</v>
      </c>
      <c r="AH25" s="288">
        <f t="shared" si="6"/>
        <v>-29.0</v>
      </c>
      <c r="AI25" s="288">
        <f t="shared" si="6"/>
        <v>-17.0</v>
      </c>
      <c r="AJ25" s="288">
        <f t="shared" si="6"/>
        <v>0.0</v>
      </c>
      <c r="AK25" s="288">
        <f t="shared" si="6"/>
        <v>0.0</v>
      </c>
      <c r="AL25" s="288">
        <f t="shared" si="6"/>
        <v>0.0</v>
      </c>
      <c r="AM25" s="288">
        <f t="shared" si="6"/>
        <v>0.0</v>
      </c>
      <c r="AN25" s="288">
        <f t="shared" si="6"/>
        <v>0.0</v>
      </c>
      <c r="AO25" s="288">
        <f t="shared" si="6"/>
        <v>0.0</v>
      </c>
      <c r="AP25" s="288">
        <f t="shared" si="6"/>
        <v>0.0</v>
      </c>
      <c r="AQ25" s="288">
        <f t="shared" si="6"/>
        <v>0.0</v>
      </c>
      <c r="AR25" s="288">
        <f t="shared" si="6"/>
        <v>0.0</v>
      </c>
      <c r="AS25" s="214">
        <f>SUM(N25:AR25)</f>
        <v>-21646.0</v>
      </c>
      <c r="AT25" s="187"/>
    </row>
    <row r="26" spans="8:8" s="150" ht="23.25" customFormat="1" customHeight="1">
      <c r="A26" s="169"/>
      <c r="B26" s="170"/>
      <c r="C26" s="171"/>
      <c r="D26" s="328"/>
      <c r="E26" s="173"/>
      <c r="F26" s="174"/>
      <c r="G26" s="175"/>
      <c r="H26" s="176"/>
      <c r="I26" s="177"/>
      <c r="J26" s="178"/>
      <c r="K26" s="179"/>
      <c r="L26" s="180"/>
      <c r="M26" s="186" t="s">
        <v>133</v>
      </c>
      <c r="N26" s="288"/>
      <c r="O26" s="288"/>
      <c r="P26" s="288">
        <v>48967.0</v>
      </c>
      <c r="Q26" s="288">
        <f>13120+3318+5624+5068-606-304-2300+14</f>
        <v>23934.0</v>
      </c>
      <c r="R26" s="288">
        <v>18947.0</v>
      </c>
      <c r="S26" s="288">
        <v>40352.0</v>
      </c>
      <c r="T26" s="288">
        <v>99635.0</v>
      </c>
      <c r="U26" s="288">
        <v>10571.0</v>
      </c>
      <c r="V26" s="288">
        <v>11087.0</v>
      </c>
      <c r="W26" s="288"/>
      <c r="X26" s="288">
        <v>10003.0</v>
      </c>
      <c r="Y26" s="288">
        <f>36002+58710</f>
        <v>94712.0</v>
      </c>
      <c r="Z26" s="320">
        <f>28770+9809</f>
        <v>38579.0</v>
      </c>
      <c r="AA26" s="288">
        <v>65438.0</v>
      </c>
      <c r="AB26" s="288">
        <v>26955.0</v>
      </c>
      <c r="AC26" s="288">
        <v>45000.0</v>
      </c>
      <c r="AD26" s="288"/>
      <c r="AE26" s="320">
        <v>31252.0</v>
      </c>
      <c r="AF26" s="288">
        <v>16199.0</v>
      </c>
      <c r="AG26" s="288">
        <v>16925.0</v>
      </c>
      <c r="AH26" s="288">
        <v>23705.0</v>
      </c>
      <c r="AI26" s="288">
        <v>19170.0</v>
      </c>
      <c r="AJ26" s="288"/>
      <c r="AK26" s="288"/>
      <c r="AL26" s="288"/>
      <c r="AM26" s="288"/>
      <c r="AN26" s="288"/>
      <c r="AO26" s="288"/>
      <c r="AP26" s="288"/>
      <c r="AQ26" s="288"/>
      <c r="AR26" s="288"/>
      <c r="AS26" s="184">
        <f>SUM(N26:AR26)</f>
        <v>641431.0</v>
      </c>
      <c r="AT26" s="190">
        <f>(AS26/(AS24-AS25))*100%</f>
        <v>0.9984558460702684</v>
      </c>
    </row>
    <row r="27" spans="8:8" s="150" ht="23.25" customFormat="1" customHeight="1">
      <c r="A27" s="169"/>
      <c r="B27" s="170"/>
      <c r="C27" s="171"/>
      <c r="D27" s="328"/>
      <c r="E27" s="173"/>
      <c r="F27" s="174"/>
      <c r="G27" s="175"/>
      <c r="H27" s="176"/>
      <c r="I27" s="177"/>
      <c r="J27" s="178"/>
      <c r="K27" s="179"/>
      <c r="L27" s="180"/>
      <c r="M27" s="191" t="s">
        <v>134</v>
      </c>
      <c r="N27" s="289"/>
      <c r="O27" s="289"/>
      <c r="P27" s="289"/>
      <c r="Q27" s="289">
        <v>0.0</v>
      </c>
      <c r="R27" s="289">
        <v>68.0</v>
      </c>
      <c r="S27" s="289">
        <v>81.0</v>
      </c>
      <c r="T27" s="289">
        <v>92.0</v>
      </c>
      <c r="U27" s="289">
        <v>20.0</v>
      </c>
      <c r="V27" s="289">
        <v>0.0</v>
      </c>
      <c r="W27" s="289"/>
      <c r="X27" s="289">
        <v>105.0</v>
      </c>
      <c r="Y27" s="289">
        <f>36+224</f>
        <v>260.0</v>
      </c>
      <c r="Z27" s="289">
        <f>106+16</f>
        <v>122.0</v>
      </c>
      <c r="AA27" s="289">
        <v>65.0</v>
      </c>
      <c r="AB27" s="289">
        <v>82.0</v>
      </c>
      <c r="AC27" s="289">
        <v>42.0</v>
      </c>
      <c r="AD27" s="289"/>
      <c r="AE27" s="289"/>
      <c r="AF27" s="289">
        <v>9.0</v>
      </c>
      <c r="AG27" s="289"/>
      <c r="AH27" s="289">
        <v>29.0</v>
      </c>
      <c r="AI27" s="289">
        <v>17.0</v>
      </c>
      <c r="AJ27" s="289"/>
      <c r="AK27" s="289"/>
      <c r="AL27" s="289"/>
      <c r="AM27" s="289"/>
      <c r="AN27" s="289"/>
      <c r="AO27" s="289"/>
      <c r="AP27" s="289"/>
      <c r="AQ27" s="289"/>
      <c r="AR27" s="289"/>
      <c r="AS27" s="215">
        <f>SUM(N27:AR27)</f>
        <v>992.0</v>
      </c>
      <c r="AT27" s="193">
        <f>(AS27/(AS24-AS25))*100%</f>
        <v>0.0015441539297316566</v>
      </c>
    </row>
    <row r="28" spans="8:8" s="150" ht="23.25" customFormat="1" customHeight="1">
      <c r="A28" s="169"/>
      <c r="B28" s="194"/>
      <c r="C28" s="195"/>
      <c r="D28" s="330"/>
      <c r="E28" s="197"/>
      <c r="F28" s="198"/>
      <c r="G28" s="199"/>
      <c r="H28" s="200"/>
      <c r="I28" s="201"/>
      <c r="J28" s="202"/>
      <c r="K28" s="203"/>
      <c r="L28" s="204"/>
      <c r="M28" s="205" t="s">
        <v>135</v>
      </c>
      <c r="N28" s="323"/>
      <c r="O28" s="324"/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H28" s="324"/>
      <c r="AI28" s="324"/>
      <c r="AJ28" s="324"/>
      <c r="AK28" s="324"/>
      <c r="AL28" s="324"/>
      <c r="AM28" s="324"/>
      <c r="AN28" s="324"/>
      <c r="AO28" s="324"/>
      <c r="AP28" s="324"/>
      <c r="AQ28" s="324"/>
      <c r="AR28" s="325"/>
      <c r="AS28" s="207"/>
      <c r="AT28" s="208"/>
    </row>
    <row r="29" spans="8:8" s="150" ht="23.25" customFormat="1" customHeight="1">
      <c r="A29" s="169"/>
      <c r="B29" s="217" t="s">
        <v>158</v>
      </c>
      <c r="C29" s="153"/>
      <c r="D29" s="154">
        <f>F29+AS32-AS36+AS37</f>
        <v>0.0</v>
      </c>
      <c r="E29" s="155"/>
      <c r="F29" s="156">
        <v>0.0</v>
      </c>
      <c r="G29" s="157"/>
      <c r="H29" s="158"/>
      <c r="I29" s="159"/>
      <c r="J29" s="160"/>
      <c r="K29" s="161"/>
      <c r="L29" s="162"/>
      <c r="M29" s="163" t="s">
        <v>130</v>
      </c>
      <c r="N29" s="318" t="s">
        <v>159</v>
      </c>
      <c r="O29" s="318" t="s">
        <v>269</v>
      </c>
      <c r="P29" s="318" t="s">
        <v>270</v>
      </c>
      <c r="Q29" s="318" t="s">
        <v>271</v>
      </c>
      <c r="R29" s="318"/>
      <c r="S29" s="318" t="s">
        <v>272</v>
      </c>
      <c r="T29" s="318" t="s">
        <v>273</v>
      </c>
      <c r="U29" s="318" t="s">
        <v>213</v>
      </c>
      <c r="V29" s="318" t="s">
        <v>214</v>
      </c>
      <c r="W29" s="318"/>
      <c r="X29" s="318" t="s">
        <v>215</v>
      </c>
      <c r="Y29" s="318" t="s">
        <v>216</v>
      </c>
      <c r="Z29" s="318" t="s">
        <v>217</v>
      </c>
      <c r="AA29" s="318"/>
      <c r="AB29" s="332" t="s">
        <v>218</v>
      </c>
      <c r="AC29" s="332" t="s">
        <v>219</v>
      </c>
      <c r="AD29" s="331"/>
      <c r="AE29" s="327" t="s">
        <v>220</v>
      </c>
      <c r="AF29" s="318" t="s">
        <v>221</v>
      </c>
      <c r="AG29" s="327" t="s">
        <v>222</v>
      </c>
      <c r="AH29" s="327" t="s">
        <v>223</v>
      </c>
      <c r="AI29" s="327" t="s">
        <v>224</v>
      </c>
      <c r="AJ29" s="327" t="s">
        <v>225</v>
      </c>
      <c r="AK29" s="327"/>
      <c r="AL29" s="327"/>
      <c r="AM29" s="327"/>
      <c r="AN29" s="327"/>
      <c r="AO29" s="327"/>
      <c r="AP29" s="327"/>
      <c r="AQ29" s="327"/>
      <c r="AR29" s="327"/>
      <c r="AS29" s="167"/>
      <c r="AT29" s="168"/>
    </row>
    <row r="30" spans="8:8" s="150" ht="23.25" customFormat="1" customHeight="1">
      <c r="A30" s="169"/>
      <c r="B30" s="170"/>
      <c r="C30" s="171"/>
      <c r="D30" s="172"/>
      <c r="E30" s="173"/>
      <c r="F30" s="174"/>
      <c r="G30" s="175"/>
      <c r="H30" s="176"/>
      <c r="I30" s="177"/>
      <c r="J30" s="178"/>
      <c r="K30" s="179"/>
      <c r="L30" s="180"/>
      <c r="M30" s="211" t="s">
        <v>131</v>
      </c>
      <c r="N30" s="320">
        <f>200-170-60+3033+36+2+1456+578+290+5+304-606+14-198</f>
        <v>4884.0</v>
      </c>
      <c r="O30" s="320">
        <f>6000*4</f>
        <v>24000.0</v>
      </c>
      <c r="P30" s="320">
        <f>6000*4</f>
        <v>24000.0</v>
      </c>
      <c r="Q30" s="320">
        <f>6000*4</f>
        <v>24000.0</v>
      </c>
      <c r="R30" s="320">
        <f>8000*4</f>
        <v>32000.0</v>
      </c>
      <c r="S30" s="288">
        <f>8000*4</f>
        <v>32000.0</v>
      </c>
      <c r="T30" s="320">
        <f>8000*4</f>
        <v>32000.0</v>
      </c>
      <c r="U30" s="320">
        <f t="shared" si="7" ref="U30:Z30">5000*4</f>
        <v>20000.0</v>
      </c>
      <c r="V30" s="320">
        <f t="shared" si="7"/>
        <v>20000.0</v>
      </c>
      <c r="W30" s="320"/>
      <c r="X30" s="320">
        <f t="shared" si="7"/>
        <v>20000.0</v>
      </c>
      <c r="Y30" s="320">
        <f t="shared" si="7"/>
        <v>20000.0</v>
      </c>
      <c r="Z30" s="320">
        <f t="shared" si="8" ref="Z30:AC30">5000*6</f>
        <v>30000.0</v>
      </c>
      <c r="AA30" s="320">
        <f t="shared" si="8"/>
        <v>30000.0</v>
      </c>
      <c r="AB30" s="320">
        <f t="shared" si="8"/>
        <v>30000.0</v>
      </c>
      <c r="AC30" s="320">
        <f t="shared" si="8"/>
        <v>30000.0</v>
      </c>
      <c r="AD30" s="320"/>
      <c r="AE30" s="320">
        <f t="shared" si="9" ref="AE30:AH30">5000*6</f>
        <v>30000.0</v>
      </c>
      <c r="AF30" s="320">
        <f t="shared" si="9"/>
        <v>30000.0</v>
      </c>
      <c r="AG30" s="320">
        <f t="shared" si="9"/>
        <v>30000.0</v>
      </c>
      <c r="AH30" s="320">
        <f>5000*8</f>
        <v>40000.0</v>
      </c>
      <c r="AI30" s="320">
        <f>5000*10</f>
        <v>50000.0</v>
      </c>
      <c r="AJ30" s="320">
        <f>5000*10</f>
        <v>50000.0</v>
      </c>
      <c r="AK30" s="320"/>
      <c r="AL30" s="320"/>
      <c r="AM30" s="320"/>
      <c r="AN30" s="320"/>
      <c r="AO30" s="320"/>
      <c r="AP30" s="320"/>
      <c r="AQ30" s="320"/>
      <c r="AR30" s="320"/>
      <c r="AS30" s="212">
        <f>SUM(N30:AR30)</f>
        <v>602884.0</v>
      </c>
      <c r="AT30" s="185"/>
    </row>
    <row r="31" spans="8:8" s="150" ht="23.25" customFormat="1" customHeight="1">
      <c r="A31" s="169"/>
      <c r="B31" s="170"/>
      <c r="C31" s="171"/>
      <c r="D31" s="172"/>
      <c r="E31" s="173"/>
      <c r="F31" s="174"/>
      <c r="G31" s="175"/>
      <c r="H31" s="176"/>
      <c r="I31" s="177"/>
      <c r="J31" s="178"/>
      <c r="K31" s="179"/>
      <c r="L31" s="180"/>
      <c r="M31" s="213" t="s">
        <v>132</v>
      </c>
      <c r="N31" s="288">
        <f t="shared" si="10" ref="N31:AR31">N30-N32-N33</f>
        <v>0.0</v>
      </c>
      <c r="O31" s="321">
        <f t="shared" si="10"/>
        <v>3698.0</v>
      </c>
      <c r="P31" s="321">
        <f t="shared" si="10"/>
        <v>6287.0</v>
      </c>
      <c r="Q31" s="288">
        <f t="shared" si="10"/>
        <v>3976.0</v>
      </c>
      <c r="R31" s="288">
        <f t="shared" si="10"/>
        <v>9735.0</v>
      </c>
      <c r="S31" s="288">
        <f t="shared" si="10"/>
        <v>10353.0</v>
      </c>
      <c r="T31" s="288">
        <f t="shared" si="10"/>
        <v>8404.0</v>
      </c>
      <c r="U31" s="288">
        <f t="shared" si="10"/>
        <v>-2851.0</v>
      </c>
      <c r="V31" s="288">
        <f t="shared" si="10"/>
        <v>928.0</v>
      </c>
      <c r="W31" s="288">
        <f t="shared" si="10"/>
        <v>0.0</v>
      </c>
      <c r="X31" s="288">
        <f t="shared" si="10"/>
        <v>-2984.0</v>
      </c>
      <c r="Y31" s="288">
        <f t="shared" si="10"/>
        <v>-3983.0</v>
      </c>
      <c r="Z31" s="288">
        <f t="shared" si="10"/>
        <v>-1912.0</v>
      </c>
      <c r="AA31" s="288">
        <f t="shared" si="10"/>
        <v>2109.0</v>
      </c>
      <c r="AB31" s="288">
        <f t="shared" si="10"/>
        <v>2135.0</v>
      </c>
      <c r="AC31" s="288">
        <f t="shared" si="10"/>
        <v>8864.0</v>
      </c>
      <c r="AD31" s="288">
        <f t="shared" si="10"/>
        <v>0.0</v>
      </c>
      <c r="AE31" s="288">
        <f t="shared" si="10"/>
        <v>-5656.0</v>
      </c>
      <c r="AF31" s="288">
        <f t="shared" si="10"/>
        <v>-6126.0</v>
      </c>
      <c r="AG31" s="288">
        <f t="shared" si="10"/>
        <v>-4765.0</v>
      </c>
      <c r="AH31" s="288">
        <f t="shared" si="10"/>
        <v>-531.0</v>
      </c>
      <c r="AI31" s="288">
        <f t="shared" si="10"/>
        <v>60.0</v>
      </c>
      <c r="AJ31" s="288">
        <f t="shared" si="10"/>
        <v>2514.0</v>
      </c>
      <c r="AK31" s="288">
        <f t="shared" si="10"/>
        <v>0.0</v>
      </c>
      <c r="AL31" s="288">
        <f t="shared" si="10"/>
        <v>0.0</v>
      </c>
      <c r="AM31" s="288">
        <f t="shared" si="10"/>
        <v>0.0</v>
      </c>
      <c r="AN31" s="288">
        <f t="shared" si="10"/>
        <v>0.0</v>
      </c>
      <c r="AO31" s="288">
        <f t="shared" si="10"/>
        <v>0.0</v>
      </c>
      <c r="AP31" s="288">
        <f t="shared" si="10"/>
        <v>0.0</v>
      </c>
      <c r="AQ31" s="288">
        <f t="shared" si="10"/>
        <v>0.0</v>
      </c>
      <c r="AR31" s="288">
        <f t="shared" si="10"/>
        <v>0.0</v>
      </c>
      <c r="AS31" s="214">
        <f>SUM(N31:AR31)</f>
        <v>30255.0</v>
      </c>
      <c r="AT31" s="187"/>
    </row>
    <row r="32" spans="8:8" s="150" ht="23.25" customFormat="1" customHeight="1">
      <c r="A32" s="169"/>
      <c r="B32" s="170"/>
      <c r="C32" s="171"/>
      <c r="D32" s="172"/>
      <c r="E32" s="173"/>
      <c r="F32" s="174"/>
      <c r="G32" s="175"/>
      <c r="H32" s="176"/>
      <c r="I32" s="177"/>
      <c r="J32" s="178"/>
      <c r="K32" s="179"/>
      <c r="L32" s="180"/>
      <c r="M32" s="186" t="s">
        <v>133</v>
      </c>
      <c r="N32" s="320">
        <f>200-170-60+3033+36+2+1456+578+290+5+304-606+14-198</f>
        <v>4884.0</v>
      </c>
      <c r="O32" s="288">
        <f>4677+4452+5921+5252</f>
        <v>20302.0</v>
      </c>
      <c r="P32" s="288">
        <f>4772+2727+5524+4690</f>
        <v>17713.0</v>
      </c>
      <c r="Q32" s="288">
        <f>4475+4585+5474+5490</f>
        <v>20024.0</v>
      </c>
      <c r="R32" s="288">
        <f>5166+5502+5651+5923</f>
        <v>22242.0</v>
      </c>
      <c r="S32" s="288">
        <f>5468+5664+4845+5648</f>
        <v>21625.0</v>
      </c>
      <c r="T32" s="288">
        <f>5885+5803+6095+5795</f>
        <v>23578.0</v>
      </c>
      <c r="U32" s="288">
        <f>5806+5323+5980+5730</f>
        <v>22839.0</v>
      </c>
      <c r="V32" s="288">
        <f>4450+4690+5061+4862</f>
        <v>19063.0</v>
      </c>
      <c r="W32" s="288"/>
      <c r="X32" s="288">
        <f>6277+4049+6160+6486</f>
        <v>22972.0</v>
      </c>
      <c r="Y32" s="288">
        <f>6414+6492+6260+4806</f>
        <v>23972.0</v>
      </c>
      <c r="Z32" s="288">
        <f>6000+5921+1810+6155+5790+6220</f>
        <v>31896.0</v>
      </c>
      <c r="AA32" s="288">
        <f>4902+4380+5000+5010+5084+3500</f>
        <v>27876.0</v>
      </c>
      <c r="AB32" s="288">
        <f>5385+3890+4278+5057+4240+4992</f>
        <v>27842.0</v>
      </c>
      <c r="AC32" s="288">
        <f>4210+3914+3240+3490+3028+3234</f>
        <v>21116.0</v>
      </c>
      <c r="AD32" s="288"/>
      <c r="AE32" s="288">
        <f>6128+6560+4938+6085+6099+5823</f>
        <v>35633.0</v>
      </c>
      <c r="AF32" s="288">
        <f>6624+6044+4937+6563+6378+5564</f>
        <v>36110.0</v>
      </c>
      <c r="AG32" s="288">
        <f>6505+5880+5264+6172+5843+5086</f>
        <v>34750.0</v>
      </c>
      <c r="AH32" s="288">
        <f>6463+5869+5542+1950+3963+6382+6040+4290</f>
        <v>40499.0</v>
      </c>
      <c r="AI32" s="288">
        <f>6302+5475+5173+4365+4867+5016+4798+3621+5460+4813</f>
        <v>49890.0</v>
      </c>
      <c r="AJ32" s="288">
        <f>4930+4798+4723+4607+3848+5012+5013+4248+5321+4950</f>
        <v>47450.0</v>
      </c>
      <c r="AK32" s="288"/>
      <c r="AL32" s="288"/>
      <c r="AM32" s="288"/>
      <c r="AN32" s="288"/>
      <c r="AO32" s="288"/>
      <c r="AP32" s="288"/>
      <c r="AQ32" s="288"/>
      <c r="AR32" s="288"/>
      <c r="AS32" s="184">
        <f>SUM(N32:AR32)</f>
        <v>572276.0</v>
      </c>
      <c r="AT32" s="190">
        <f>(AS32/(AS30-AS31))*100%</f>
        <v>0.9993835450178038</v>
      </c>
    </row>
    <row r="33" spans="8:8" s="150" ht="23.25" customFormat="1" customHeight="1">
      <c r="A33" s="169"/>
      <c r="B33" s="170"/>
      <c r="C33" s="171"/>
      <c r="D33" s="172"/>
      <c r="E33" s="173"/>
      <c r="F33" s="174"/>
      <c r="G33" s="175"/>
      <c r="H33" s="176"/>
      <c r="I33" s="177"/>
      <c r="J33" s="178"/>
      <c r="K33" s="179"/>
      <c r="L33" s="180"/>
      <c r="M33" s="191" t="s">
        <v>134</v>
      </c>
      <c r="N33" s="289"/>
      <c r="O33" s="289">
        <v>0.0</v>
      </c>
      <c r="P33" s="289">
        <v>0.0</v>
      </c>
      <c r="Q33" s="289"/>
      <c r="R33" s="289">
        <f>6+5+5+7</f>
        <v>23.0</v>
      </c>
      <c r="S33" s="289">
        <f>13+5+3+1</f>
        <v>22.0</v>
      </c>
      <c r="T33" s="289">
        <f>5+3+6+4</f>
        <v>18.0</v>
      </c>
      <c r="U33" s="289">
        <f>4+3+3+2</f>
        <v>12.0</v>
      </c>
      <c r="V33" s="289">
        <f>5+4</f>
        <v>9.0</v>
      </c>
      <c r="W33" s="289"/>
      <c r="X33" s="289">
        <f>7+5</f>
        <v>12.0</v>
      </c>
      <c r="Y33" s="289">
        <f>7+4</f>
        <v>11.0</v>
      </c>
      <c r="Z33" s="289">
        <f>3+2+2+3+3+3</f>
        <v>16.0</v>
      </c>
      <c r="AA33" s="289">
        <f>1+4+2+2+2+4</f>
        <v>15.0</v>
      </c>
      <c r="AB33" s="289">
        <f>12+4+3+4</f>
        <v>23.0</v>
      </c>
      <c r="AC33" s="289">
        <f>10+3+4+3</f>
        <v>20.0</v>
      </c>
      <c r="AD33" s="289"/>
      <c r="AE33" s="289">
        <f>7+4+7+5</f>
        <v>23.0</v>
      </c>
      <c r="AF33" s="289">
        <f>4+3+2+4+3</f>
        <v>16.0</v>
      </c>
      <c r="AG33" s="289">
        <f>9+6</f>
        <v>15.0</v>
      </c>
      <c r="AH33" s="289">
        <f>9+11+7+5</f>
        <v>32.0</v>
      </c>
      <c r="AI33" s="289">
        <f>13+6+5+9+5+12</f>
        <v>50.0</v>
      </c>
      <c r="AJ33" s="289">
        <f>6+4+8+6+4+8</f>
        <v>36.0</v>
      </c>
      <c r="AK33" s="289"/>
      <c r="AL33" s="289"/>
      <c r="AM33" s="289"/>
      <c r="AN33" s="289"/>
      <c r="AO33" s="289"/>
      <c r="AP33" s="289"/>
      <c r="AQ33" s="289"/>
      <c r="AR33" s="289"/>
      <c r="AS33" s="215">
        <f>SUM(N33:AR33)</f>
        <v>353.0</v>
      </c>
      <c r="AT33" s="193">
        <f>(AS33/(AS30-AS31))*100%</f>
        <v>6.164549821961515E-4</v>
      </c>
    </row>
    <row r="34" spans="8:8" s="150" ht="23.25" customFormat="1" customHeight="1">
      <c r="A34" s="169"/>
      <c r="B34" s="194"/>
      <c r="C34" s="195"/>
      <c r="D34" s="196"/>
      <c r="E34" s="197"/>
      <c r="F34" s="198"/>
      <c r="G34" s="199"/>
      <c r="H34" s="200"/>
      <c r="I34" s="201"/>
      <c r="J34" s="202"/>
      <c r="K34" s="203"/>
      <c r="L34" s="204"/>
      <c r="M34" s="205" t="s">
        <v>135</v>
      </c>
      <c r="N34" s="323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24"/>
      <c r="AB34" s="324"/>
      <c r="AC34" s="324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5"/>
      <c r="AS34" s="207"/>
      <c r="AT34" s="208"/>
    </row>
    <row r="35" spans="8:8" s="150" ht="23.25" customFormat="1" customHeight="1">
      <c r="A35" s="169"/>
      <c r="B35" s="217" t="s">
        <v>274</v>
      </c>
      <c r="C35" s="153"/>
      <c r="D35" s="326">
        <f>F35+AS38-AS42+AS43</f>
        <v>0.0</v>
      </c>
      <c r="E35" s="155"/>
      <c r="F35" s="156">
        <v>15083.0</v>
      </c>
      <c r="G35" s="218">
        <v>44197.0</v>
      </c>
      <c r="H35" s="158"/>
      <c r="I35" s="159"/>
      <c r="J35" s="160"/>
      <c r="K35" s="161"/>
      <c r="L35" s="162"/>
      <c r="M35" s="163" t="s">
        <v>130</v>
      </c>
      <c r="N35" s="318"/>
      <c r="O35" s="318"/>
      <c r="P35" s="318"/>
      <c r="Q35" s="318"/>
      <c r="R35" s="318"/>
      <c r="S35" s="318"/>
      <c r="T35" s="318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27"/>
      <c r="AM35" s="318"/>
      <c r="AN35" s="318"/>
      <c r="AO35" s="318"/>
      <c r="AP35" s="318"/>
      <c r="AQ35" s="318"/>
      <c r="AR35" s="319"/>
      <c r="AS35" s="167"/>
      <c r="AT35" s="168"/>
    </row>
    <row r="36" spans="8:8" s="150" ht="23.25" customFormat="1" customHeight="1">
      <c r="A36" s="169"/>
      <c r="B36" s="170"/>
      <c r="C36" s="171"/>
      <c r="D36" s="328"/>
      <c r="E36" s="173"/>
      <c r="F36" s="174"/>
      <c r="G36" s="175"/>
      <c r="H36" s="176"/>
      <c r="I36" s="177"/>
      <c r="J36" s="178"/>
      <c r="K36" s="179"/>
      <c r="L36" s="180"/>
      <c r="M36" s="211" t="s">
        <v>131</v>
      </c>
      <c r="N36" s="288">
        <v>4489.0</v>
      </c>
      <c r="O36" s="288">
        <f>9132+11173</f>
        <v>20305.0</v>
      </c>
      <c r="P36" s="288">
        <v>17713.0</v>
      </c>
      <c r="Q36" s="288">
        <v>20024.0</v>
      </c>
      <c r="R36" s="320">
        <v>22242.0</v>
      </c>
      <c r="S36" s="288">
        <v>21625.0</v>
      </c>
      <c r="T36" s="288">
        <v>22839.0</v>
      </c>
      <c r="U36" s="288">
        <v>22839.0</v>
      </c>
      <c r="V36" s="320">
        <v>18863.0</v>
      </c>
      <c r="W36" s="288"/>
      <c r="X36" s="320">
        <v>23008.0</v>
      </c>
      <c r="Y36" s="320">
        <v>23974.0</v>
      </c>
      <c r="Z36" s="320">
        <v>31896.0</v>
      </c>
      <c r="AA36" s="320">
        <v>27876.0</v>
      </c>
      <c r="AB36" s="320">
        <v>27842.0</v>
      </c>
      <c r="AC36" s="320">
        <v>21202.0</v>
      </c>
      <c r="AD36" s="320"/>
      <c r="AE36" s="320">
        <v>36125.0</v>
      </c>
      <c r="AF36" s="320">
        <v>36400.0</v>
      </c>
      <c r="AG36" s="320">
        <v>35059.0</v>
      </c>
      <c r="AH36" s="320">
        <v>39893.0</v>
      </c>
      <c r="AI36" s="333">
        <v>49904.0</v>
      </c>
      <c r="AJ36" s="320">
        <v>47252.0</v>
      </c>
      <c r="AK36" s="320"/>
      <c r="AL36" s="320"/>
      <c r="AM36" s="320"/>
      <c r="AN36" s="320"/>
      <c r="AO36" s="320"/>
      <c r="AP36" s="320"/>
      <c r="AQ36" s="320"/>
      <c r="AR36" s="320"/>
      <c r="AS36" s="212">
        <f>SUM(N36:AR36)</f>
        <v>571370.0</v>
      </c>
      <c r="AT36" s="185"/>
    </row>
    <row r="37" spans="8:8" s="150" ht="23.25" customFormat="1" customHeight="1">
      <c r="A37" s="169"/>
      <c r="B37" s="170"/>
      <c r="C37" s="171"/>
      <c r="D37" s="328"/>
      <c r="E37" s="173"/>
      <c r="F37" s="174"/>
      <c r="G37" s="175"/>
      <c r="H37" s="176"/>
      <c r="I37" s="177"/>
      <c r="J37" s="178"/>
      <c r="K37" s="179"/>
      <c r="L37" s="180"/>
      <c r="M37" s="213" t="s">
        <v>132</v>
      </c>
      <c r="N37" s="321">
        <f>N36-N38-N39</f>
        <v>0.0</v>
      </c>
      <c r="O37" s="321">
        <f t="shared" si="11" ref="N37:AR37">O36-O38-O39</f>
        <v>3.0</v>
      </c>
      <c r="P37" s="321">
        <f t="shared" si="11"/>
        <v>0.0</v>
      </c>
      <c r="Q37" s="288">
        <f t="shared" si="11"/>
        <v>0.0</v>
      </c>
      <c r="R37" s="288">
        <f t="shared" si="11"/>
        <v>0.0</v>
      </c>
      <c r="S37" s="288">
        <f t="shared" si="11"/>
        <v>-170.0</v>
      </c>
      <c r="T37" s="288">
        <f t="shared" si="11"/>
        <v>-739.0</v>
      </c>
      <c r="U37" s="288">
        <f t="shared" si="11"/>
        <v>0.0</v>
      </c>
      <c r="V37" s="288">
        <f t="shared" si="11"/>
        <v>0.0</v>
      </c>
      <c r="W37" s="288">
        <f t="shared" si="11"/>
        <v>0.0</v>
      </c>
      <c r="X37" s="288">
        <f t="shared" si="11"/>
        <v>0.0</v>
      </c>
      <c r="Y37" s="288">
        <f t="shared" si="11"/>
        <v>0.0</v>
      </c>
      <c r="Z37" s="288">
        <f t="shared" si="11"/>
        <v>0.0</v>
      </c>
      <c r="AA37" s="288">
        <f t="shared" si="11"/>
        <v>0.0</v>
      </c>
      <c r="AB37" s="288">
        <f t="shared" si="11"/>
        <v>0.0</v>
      </c>
      <c r="AC37" s="288">
        <f t="shared" si="11"/>
        <v>0.0</v>
      </c>
      <c r="AD37" s="288">
        <f t="shared" si="11"/>
        <v>0.0</v>
      </c>
      <c r="AE37" s="288">
        <f t="shared" si="11"/>
        <v>0.0</v>
      </c>
      <c r="AF37" s="288">
        <f t="shared" si="11"/>
        <v>0.0</v>
      </c>
      <c r="AG37" s="288">
        <f t="shared" si="11"/>
        <v>0.0</v>
      </c>
      <c r="AH37" s="288">
        <f t="shared" si="11"/>
        <v>0.0</v>
      </c>
      <c r="AI37" s="288">
        <f t="shared" si="11"/>
        <v>0.0</v>
      </c>
      <c r="AJ37" s="288">
        <f t="shared" si="11"/>
        <v>0.0</v>
      </c>
      <c r="AK37" s="288">
        <f t="shared" si="11"/>
        <v>0.0</v>
      </c>
      <c r="AL37" s="288">
        <f t="shared" si="11"/>
        <v>0.0</v>
      </c>
      <c r="AM37" s="288">
        <f t="shared" si="11"/>
        <v>0.0</v>
      </c>
      <c r="AN37" s="288">
        <f t="shared" si="11"/>
        <v>0.0</v>
      </c>
      <c r="AO37" s="288">
        <f t="shared" si="11"/>
        <v>0.0</v>
      </c>
      <c r="AP37" s="288">
        <f t="shared" si="11"/>
        <v>0.0</v>
      </c>
      <c r="AQ37" s="288">
        <f t="shared" si="11"/>
        <v>0.0</v>
      </c>
      <c r="AR37" s="288">
        <f t="shared" si="11"/>
        <v>0.0</v>
      </c>
      <c r="AS37" s="214">
        <f>SUM(N37:AR37)</f>
        <v>-906.0</v>
      </c>
      <c r="AT37" s="187"/>
    </row>
    <row r="38" spans="8:8" s="150" ht="23.25" customFormat="1" customHeight="1">
      <c r="A38" s="169"/>
      <c r="B38" s="170"/>
      <c r="C38" s="171"/>
      <c r="D38" s="328"/>
      <c r="E38" s="173"/>
      <c r="F38" s="174"/>
      <c r="G38" s="175"/>
      <c r="H38" s="176"/>
      <c r="I38" s="177"/>
      <c r="J38" s="178"/>
      <c r="K38" s="179"/>
      <c r="L38" s="180"/>
      <c r="M38" s="186" t="s">
        <v>133</v>
      </c>
      <c r="N38" s="288">
        <v>4489.0</v>
      </c>
      <c r="O38" s="288">
        <f>9128+11165</f>
        <v>20293.0</v>
      </c>
      <c r="P38" s="288">
        <v>17689.0</v>
      </c>
      <c r="Q38" s="288">
        <v>20024.0</v>
      </c>
      <c r="R38" s="288">
        <v>22372.0</v>
      </c>
      <c r="S38" s="288">
        <v>21795.0</v>
      </c>
      <c r="T38" s="288">
        <v>21625.0</v>
      </c>
      <c r="U38" s="288">
        <v>22839.0</v>
      </c>
      <c r="V38" s="288">
        <v>18863.0</v>
      </c>
      <c r="W38" s="288"/>
      <c r="X38" s="288">
        <v>23008.0</v>
      </c>
      <c r="Y38" s="288">
        <v>23974.0</v>
      </c>
      <c r="Z38" s="288">
        <v>31896.0</v>
      </c>
      <c r="AA38" s="288">
        <v>27876.0</v>
      </c>
      <c r="AB38" s="320">
        <v>27842.0</v>
      </c>
      <c r="AC38" s="288">
        <v>21202.0</v>
      </c>
      <c r="AD38" s="288"/>
      <c r="AE38" s="288">
        <v>36125.0</v>
      </c>
      <c r="AF38" s="320">
        <v>36400.0</v>
      </c>
      <c r="AG38" s="320">
        <v>35059.0</v>
      </c>
      <c r="AH38" s="320">
        <v>39893.0</v>
      </c>
      <c r="AI38" s="333">
        <v>49904.0</v>
      </c>
      <c r="AJ38" s="320">
        <v>47252.0</v>
      </c>
      <c r="AK38" s="288"/>
      <c r="AL38" s="288"/>
      <c r="AM38" s="288"/>
      <c r="AN38" s="288"/>
      <c r="AO38" s="288"/>
      <c r="AP38" s="288"/>
      <c r="AQ38" s="288"/>
      <c r="AR38" s="288"/>
      <c r="AS38" s="184">
        <f>SUM(N38:AR38)</f>
        <v>570420.0</v>
      </c>
      <c r="AT38" s="190">
        <f>(AS38/(AS36-AS37))*100%</f>
        <v>0.9967568096512871</v>
      </c>
    </row>
    <row r="39" spans="8:8" s="150" ht="23.25" customFormat="1" customHeight="1">
      <c r="A39" s="169"/>
      <c r="B39" s="170"/>
      <c r="C39" s="171"/>
      <c r="D39" s="328"/>
      <c r="E39" s="173"/>
      <c r="F39" s="174"/>
      <c r="G39" s="175"/>
      <c r="H39" s="176"/>
      <c r="I39" s="177"/>
      <c r="J39" s="178"/>
      <c r="K39" s="179"/>
      <c r="L39" s="180"/>
      <c r="M39" s="191" t="s">
        <v>134</v>
      </c>
      <c r="N39" s="289"/>
      <c r="O39" s="289">
        <v>9.0</v>
      </c>
      <c r="P39" s="289">
        <v>24.0</v>
      </c>
      <c r="Q39" s="289">
        <v>0.0</v>
      </c>
      <c r="R39" s="289">
        <v>-130.0</v>
      </c>
      <c r="S39" s="289">
        <v>0.0</v>
      </c>
      <c r="T39" s="289">
        <v>1953.0</v>
      </c>
      <c r="U39" s="289"/>
      <c r="V39" s="289"/>
      <c r="W39" s="289"/>
      <c r="X39" s="289"/>
      <c r="Y39" s="289"/>
      <c r="Z39" s="289"/>
      <c r="AA39" s="289"/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89"/>
      <c r="AO39" s="289"/>
      <c r="AP39" s="289"/>
      <c r="AQ39" s="289"/>
      <c r="AR39" s="289"/>
      <c r="AS39" s="215">
        <f>SUM(N39:AR39)</f>
        <v>1856.0</v>
      </c>
      <c r="AT39" s="193">
        <f>(AS39/(AS36-AS37))*100%</f>
        <v>0.003243190348712859</v>
      </c>
    </row>
    <row r="40" spans="8:8" s="150" ht="23.25" customFormat="1" customHeight="1">
      <c r="A40" s="169"/>
      <c r="B40" s="194"/>
      <c r="C40" s="195"/>
      <c r="D40" s="330"/>
      <c r="E40" s="197"/>
      <c r="F40" s="198"/>
      <c r="G40" s="199"/>
      <c r="H40" s="200"/>
      <c r="I40" s="201"/>
      <c r="J40" s="202"/>
      <c r="K40" s="203"/>
      <c r="L40" s="204"/>
      <c r="M40" s="205" t="s">
        <v>135</v>
      </c>
      <c r="N40" s="323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4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5"/>
      <c r="AS40" s="207"/>
      <c r="AT40" s="208"/>
    </row>
    <row r="41" spans="8:8" s="150" ht="23.25" customFormat="1" customHeight="1">
      <c r="A41" s="169"/>
      <c r="B41" s="217" t="s">
        <v>275</v>
      </c>
      <c r="C41" s="153"/>
      <c r="D41" s="326">
        <f>F41+AS44-AS48+AS49</f>
        <v>401887.0</v>
      </c>
      <c r="E41" s="155"/>
      <c r="F41" s="156">
        <v>81836.0</v>
      </c>
      <c r="G41" s="218">
        <v>44197.0</v>
      </c>
      <c r="H41" s="158"/>
      <c r="I41" s="159"/>
      <c r="J41" s="160"/>
      <c r="K41" s="161"/>
      <c r="L41" s="162"/>
      <c r="M41" s="163" t="s">
        <v>130</v>
      </c>
      <c r="N41" s="318"/>
      <c r="O41" s="318"/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9"/>
      <c r="AS41" s="167"/>
      <c r="AT41" s="168"/>
    </row>
    <row r="42" spans="8:8" s="150" ht="23.25" customFormat="1" customHeight="1">
      <c r="A42" s="169"/>
      <c r="B42" s="170"/>
      <c r="C42" s="171"/>
      <c r="D42" s="328"/>
      <c r="E42" s="173"/>
      <c r="F42" s="174"/>
      <c r="G42" s="175"/>
      <c r="H42" s="176"/>
      <c r="I42" s="177"/>
      <c r="J42" s="178"/>
      <c r="K42" s="179"/>
      <c r="L42" s="180"/>
      <c r="M42" s="211" t="s">
        <v>131</v>
      </c>
      <c r="N42" s="320"/>
      <c r="O42" s="320"/>
      <c r="P42" s="320">
        <v>53065.0</v>
      </c>
      <c r="Q42" s="320"/>
      <c r="R42" s="320"/>
      <c r="S42" s="320"/>
      <c r="T42" s="320"/>
      <c r="U42" s="320"/>
      <c r="V42" s="320">
        <v>130551.0</v>
      </c>
      <c r="W42" s="320"/>
      <c r="X42" s="320"/>
      <c r="Y42" s="320"/>
      <c r="Z42" s="320"/>
      <c r="AA42" s="320"/>
      <c r="AB42" s="320"/>
      <c r="AC42" s="320"/>
      <c r="AD42" s="320"/>
      <c r="AE42" s="320"/>
      <c r="AF42" s="320"/>
      <c r="AG42" s="320"/>
      <c r="AH42" s="320"/>
      <c r="AI42" s="320"/>
      <c r="AJ42" s="320">
        <v>304731.0</v>
      </c>
      <c r="AK42" s="320"/>
      <c r="AL42" s="320">
        <v>37156.0</v>
      </c>
      <c r="AM42" s="320"/>
      <c r="AN42" s="320"/>
      <c r="AO42" s="320"/>
      <c r="AP42" s="320"/>
      <c r="AQ42" s="320"/>
      <c r="AR42" s="320"/>
      <c r="AS42" s="212">
        <f>SUM(N42:AR42)</f>
        <v>525503.0</v>
      </c>
      <c r="AT42" s="185"/>
    </row>
    <row r="43" spans="8:8" s="150" ht="23.25" customFormat="1" customHeight="1">
      <c r="A43" s="169"/>
      <c r="B43" s="170"/>
      <c r="C43" s="171"/>
      <c r="D43" s="328"/>
      <c r="E43" s="173"/>
      <c r="F43" s="174"/>
      <c r="G43" s="175"/>
      <c r="H43" s="176"/>
      <c r="I43" s="177"/>
      <c r="J43" s="178"/>
      <c r="K43" s="179"/>
      <c r="L43" s="180"/>
      <c r="M43" s="213" t="s">
        <v>132</v>
      </c>
      <c r="N43" s="288">
        <f t="shared" si="12" ref="N43:AR43">N42-N44-N45</f>
        <v>0.0</v>
      </c>
      <c r="O43" s="321">
        <f t="shared" si="12"/>
        <v>0.0</v>
      </c>
      <c r="P43" s="321">
        <f t="shared" si="12"/>
        <v>0.0</v>
      </c>
      <c r="Q43" s="288">
        <f t="shared" si="12"/>
        <v>0.0</v>
      </c>
      <c r="R43" s="288">
        <f t="shared" si="12"/>
        <v>0.0</v>
      </c>
      <c r="S43" s="288">
        <f t="shared" si="12"/>
        <v>0.0</v>
      </c>
      <c r="T43" s="288">
        <f t="shared" si="12"/>
        <v>0.0</v>
      </c>
      <c r="U43" s="288">
        <f t="shared" si="12"/>
        <v>0.0</v>
      </c>
      <c r="V43" s="288">
        <f t="shared" si="12"/>
        <v>0.0</v>
      </c>
      <c r="W43" s="288">
        <f t="shared" si="12"/>
        <v>0.0</v>
      </c>
      <c r="X43" s="288">
        <f t="shared" si="12"/>
        <v>0.0</v>
      </c>
      <c r="Y43" s="288">
        <f t="shared" si="12"/>
        <v>0.0</v>
      </c>
      <c r="Z43" s="288">
        <f t="shared" si="12"/>
        <v>0.0</v>
      </c>
      <c r="AA43" s="288">
        <f t="shared" si="12"/>
        <v>0.0</v>
      </c>
      <c r="AB43" s="288">
        <f t="shared" si="12"/>
        <v>0.0</v>
      </c>
      <c r="AC43" s="288">
        <f t="shared" si="12"/>
        <v>0.0</v>
      </c>
      <c r="AD43" s="288">
        <f t="shared" si="12"/>
        <v>0.0</v>
      </c>
      <c r="AE43" s="288">
        <f t="shared" si="12"/>
        <v>0.0</v>
      </c>
      <c r="AF43" s="288">
        <f t="shared" si="12"/>
        <v>0.0</v>
      </c>
      <c r="AG43" s="288">
        <f t="shared" si="12"/>
        <v>0.0</v>
      </c>
      <c r="AH43" s="288">
        <f t="shared" si="12"/>
        <v>0.0</v>
      </c>
      <c r="AI43" s="288">
        <f t="shared" si="12"/>
        <v>0.0</v>
      </c>
      <c r="AJ43" s="288">
        <f t="shared" si="12"/>
        <v>0.0</v>
      </c>
      <c r="AK43" s="288">
        <f t="shared" si="12"/>
        <v>0.0</v>
      </c>
      <c r="AL43" s="288">
        <f t="shared" si="12"/>
        <v>-60000.0</v>
      </c>
      <c r="AM43" s="288">
        <f t="shared" si="12"/>
        <v>0.0</v>
      </c>
      <c r="AN43" s="288">
        <f t="shared" si="12"/>
        <v>0.0</v>
      </c>
      <c r="AO43" s="288">
        <f t="shared" si="12"/>
        <v>0.0</v>
      </c>
      <c r="AP43" s="288">
        <f t="shared" si="12"/>
        <v>0.0</v>
      </c>
      <c r="AQ43" s="288">
        <f t="shared" si="12"/>
        <v>0.0</v>
      </c>
      <c r="AR43" s="288">
        <f t="shared" si="12"/>
        <v>0.0</v>
      </c>
      <c r="AS43" s="214">
        <f>SUM(N43:AR43)</f>
        <v>-60000.0</v>
      </c>
      <c r="AT43" s="187"/>
    </row>
    <row r="44" spans="8:8" s="150" ht="23.25" customFormat="1" customHeight="1">
      <c r="A44" s="169"/>
      <c r="B44" s="170"/>
      <c r="C44" s="171"/>
      <c r="D44" s="328"/>
      <c r="E44" s="173"/>
      <c r="F44" s="174"/>
      <c r="G44" s="175"/>
      <c r="H44" s="176"/>
      <c r="I44" s="177"/>
      <c r="J44" s="178"/>
      <c r="K44" s="179"/>
      <c r="L44" s="180"/>
      <c r="M44" s="186" t="s">
        <v>133</v>
      </c>
      <c r="N44" s="288"/>
      <c r="O44" s="288"/>
      <c r="P44" s="288">
        <v>53065.0</v>
      </c>
      <c r="Q44" s="288"/>
      <c r="R44" s="288"/>
      <c r="S44" s="288"/>
      <c r="T44" s="288"/>
      <c r="U44" s="288"/>
      <c r="V44" s="288">
        <v>130551.0</v>
      </c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320">
        <v>304731.0</v>
      </c>
      <c r="AK44" s="288"/>
      <c r="AL44" s="288">
        <v>97156.0</v>
      </c>
      <c r="AM44" s="288"/>
      <c r="AN44" s="288"/>
      <c r="AO44" s="288"/>
      <c r="AP44" s="288"/>
      <c r="AQ44" s="288"/>
      <c r="AR44" s="288"/>
      <c r="AS44" s="184">
        <f>SUM(N44:AR44)</f>
        <v>585503.0</v>
      </c>
      <c r="AT44" s="190">
        <f>(AS44/(AS42-AS43))*100%</f>
        <v>1.0</v>
      </c>
    </row>
    <row r="45" spans="8:8" s="150" ht="23.25" customFormat="1" customHeight="1">
      <c r="A45" s="169"/>
      <c r="B45" s="170"/>
      <c r="C45" s="171"/>
      <c r="D45" s="328"/>
      <c r="E45" s="173"/>
      <c r="F45" s="174"/>
      <c r="G45" s="175"/>
      <c r="H45" s="176"/>
      <c r="I45" s="177"/>
      <c r="J45" s="178"/>
      <c r="K45" s="179"/>
      <c r="L45" s="180"/>
      <c r="M45" s="191" t="s">
        <v>134</v>
      </c>
      <c r="N45" s="289"/>
      <c r="O45" s="289"/>
      <c r="P45" s="289">
        <v>0.0</v>
      </c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89"/>
      <c r="AD45" s="289"/>
      <c r="AE45" s="289"/>
      <c r="AF45" s="289"/>
      <c r="AG45" s="289"/>
      <c r="AH45" s="289"/>
      <c r="AI45" s="289"/>
      <c r="AJ45" s="289"/>
      <c r="AK45" s="289"/>
      <c r="AL45" s="289"/>
      <c r="AM45" s="289"/>
      <c r="AN45" s="289"/>
      <c r="AO45" s="289"/>
      <c r="AP45" s="289"/>
      <c r="AQ45" s="289"/>
      <c r="AR45" s="289"/>
      <c r="AS45" s="215">
        <f>SUM(N45:AR45)</f>
        <v>0.0</v>
      </c>
      <c r="AT45" s="193">
        <f>(AS45/(AS42-AS43))*100%</f>
        <v>0.0</v>
      </c>
    </row>
    <row r="46" spans="8:8" s="150" ht="23.25" customFormat="1" customHeight="1">
      <c r="A46" s="169"/>
      <c r="B46" s="194"/>
      <c r="C46" s="195"/>
      <c r="D46" s="330"/>
      <c r="E46" s="197"/>
      <c r="F46" s="198"/>
      <c r="G46" s="199"/>
      <c r="H46" s="200"/>
      <c r="I46" s="201"/>
      <c r="J46" s="202"/>
      <c r="K46" s="203"/>
      <c r="L46" s="204"/>
      <c r="M46" s="205" t="s">
        <v>135</v>
      </c>
      <c r="N46" s="323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5"/>
      <c r="AS46" s="207"/>
      <c r="AT46" s="208"/>
    </row>
    <row r="47" spans="8:8" s="150" ht="23.25" customFormat="1" customHeight="1">
      <c r="A47" s="169"/>
      <c r="B47" s="152" t="s">
        <v>69</v>
      </c>
      <c r="C47" s="153"/>
      <c r="D47" s="326">
        <f>F47+AS50-AS54+AS55</f>
        <v>0.0</v>
      </c>
      <c r="E47" s="155"/>
      <c r="F47" s="156">
        <v>0.0</v>
      </c>
      <c r="G47" s="218"/>
      <c r="H47" s="158"/>
      <c r="I47" s="159"/>
      <c r="J47" s="160"/>
      <c r="K47" s="161"/>
      <c r="L47" s="162"/>
      <c r="M47" s="163" t="s">
        <v>130</v>
      </c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18"/>
      <c r="Z47" s="318"/>
      <c r="AA47" s="318"/>
      <c r="AB47" s="318"/>
      <c r="AC47" s="318"/>
      <c r="AD47" s="318"/>
      <c r="AE47" s="318"/>
      <c r="AF47" s="318"/>
      <c r="AG47" s="318"/>
      <c r="AH47" s="318"/>
      <c r="AI47" s="318"/>
      <c r="AJ47" s="318"/>
      <c r="AK47" s="318"/>
      <c r="AL47" s="318"/>
      <c r="AM47" s="318"/>
      <c r="AN47" s="318"/>
      <c r="AO47" s="318"/>
      <c r="AP47" s="318"/>
      <c r="AQ47" s="318"/>
      <c r="AR47" s="319"/>
      <c r="AS47" s="167"/>
      <c r="AT47" s="168"/>
    </row>
    <row r="48" spans="8:8" s="150" ht="23.25" customFormat="1" customHeight="1">
      <c r="A48" s="169"/>
      <c r="B48" s="170"/>
      <c r="C48" s="171"/>
      <c r="D48" s="328"/>
      <c r="E48" s="173"/>
      <c r="F48" s="174"/>
      <c r="G48" s="175"/>
      <c r="H48" s="176"/>
      <c r="I48" s="177"/>
      <c r="J48" s="178"/>
      <c r="K48" s="179"/>
      <c r="L48" s="180"/>
      <c r="M48" s="211" t="s">
        <v>131</v>
      </c>
      <c r="N48" s="320">
        <v>81836.0</v>
      </c>
      <c r="O48" s="320"/>
      <c r="P48" s="320">
        <v>53065.0</v>
      </c>
      <c r="Q48" s="320"/>
      <c r="R48" s="320"/>
      <c r="S48" s="320"/>
      <c r="T48" s="320"/>
      <c r="U48" s="320"/>
      <c r="V48" s="320"/>
      <c r="W48" s="320"/>
      <c r="X48" s="320"/>
      <c r="Y48" s="320"/>
      <c r="Z48" s="320">
        <v>130551.0</v>
      </c>
      <c r="AA48" s="320"/>
      <c r="AB48" s="320"/>
      <c r="AC48" s="320"/>
      <c r="AD48" s="320"/>
      <c r="AE48" s="320"/>
      <c r="AF48" s="320"/>
      <c r="AG48" s="320"/>
      <c r="AH48" s="320"/>
      <c r="AI48" s="320"/>
      <c r="AJ48" s="320"/>
      <c r="AK48" s="320"/>
      <c r="AL48" s="320"/>
      <c r="AM48" s="320"/>
      <c r="AN48" s="320"/>
      <c r="AO48" s="320"/>
      <c r="AP48" s="320"/>
      <c r="AQ48" s="320"/>
      <c r="AR48" s="320"/>
      <c r="AS48" s="212">
        <f>SUM(N48:AR48)</f>
        <v>265452.0</v>
      </c>
      <c r="AT48" s="185"/>
    </row>
    <row r="49" spans="8:8" s="150" ht="23.25" customFormat="1" customHeight="1">
      <c r="A49" s="169"/>
      <c r="B49" s="170"/>
      <c r="C49" s="171"/>
      <c r="D49" s="328"/>
      <c r="E49" s="173"/>
      <c r="F49" s="174"/>
      <c r="G49" s="175"/>
      <c r="H49" s="176"/>
      <c r="I49" s="177"/>
      <c r="J49" s="178"/>
      <c r="K49" s="179"/>
      <c r="L49" s="180"/>
      <c r="M49" s="213" t="s">
        <v>132</v>
      </c>
      <c r="N49" s="288">
        <f t="shared" si="13" ref="N49:AR49">N48-N50-N51</f>
        <v>0.0</v>
      </c>
      <c r="O49" s="321">
        <f t="shared" si="13"/>
        <v>0.0</v>
      </c>
      <c r="P49" s="321">
        <f t="shared" si="13"/>
        <v>0.0</v>
      </c>
      <c r="Q49" s="288">
        <f t="shared" si="13"/>
        <v>0.0</v>
      </c>
      <c r="R49" s="288">
        <f t="shared" si="13"/>
        <v>0.0</v>
      </c>
      <c r="S49" s="288">
        <f t="shared" si="13"/>
        <v>0.0</v>
      </c>
      <c r="T49" s="288">
        <f t="shared" si="13"/>
        <v>0.0</v>
      </c>
      <c r="U49" s="288">
        <f t="shared" si="13"/>
        <v>0.0</v>
      </c>
      <c r="V49" s="288">
        <f t="shared" si="13"/>
        <v>0.0</v>
      </c>
      <c r="W49" s="288">
        <f t="shared" si="13"/>
        <v>0.0</v>
      </c>
      <c r="X49" s="288">
        <f t="shared" si="13"/>
        <v>0.0</v>
      </c>
      <c r="Y49" s="288">
        <f t="shared" si="13"/>
        <v>0.0</v>
      </c>
      <c r="Z49" s="288">
        <f t="shared" si="13"/>
        <v>0.0</v>
      </c>
      <c r="AA49" s="288">
        <f t="shared" si="13"/>
        <v>0.0</v>
      </c>
      <c r="AB49" s="288">
        <f t="shared" si="13"/>
        <v>0.0</v>
      </c>
      <c r="AC49" s="288">
        <f t="shared" si="13"/>
        <v>0.0</v>
      </c>
      <c r="AD49" s="288">
        <f t="shared" si="13"/>
        <v>0.0</v>
      </c>
      <c r="AE49" s="288">
        <f t="shared" si="13"/>
        <v>0.0</v>
      </c>
      <c r="AF49" s="288">
        <f t="shared" si="13"/>
        <v>0.0</v>
      </c>
      <c r="AG49" s="288">
        <f t="shared" si="13"/>
        <v>0.0</v>
      </c>
      <c r="AH49" s="288">
        <f t="shared" si="13"/>
        <v>0.0</v>
      </c>
      <c r="AI49" s="288">
        <f t="shared" si="13"/>
        <v>0.0</v>
      </c>
      <c r="AJ49" s="288">
        <f t="shared" si="13"/>
        <v>0.0</v>
      </c>
      <c r="AK49" s="288">
        <f t="shared" si="13"/>
        <v>0.0</v>
      </c>
      <c r="AL49" s="288">
        <f t="shared" si="13"/>
        <v>0.0</v>
      </c>
      <c r="AM49" s="288">
        <f t="shared" si="13"/>
        <v>0.0</v>
      </c>
      <c r="AN49" s="288">
        <f t="shared" si="13"/>
        <v>0.0</v>
      </c>
      <c r="AO49" s="288">
        <f t="shared" si="13"/>
        <v>0.0</v>
      </c>
      <c r="AP49" s="288">
        <f t="shared" si="13"/>
        <v>0.0</v>
      </c>
      <c r="AQ49" s="288">
        <f t="shared" si="13"/>
        <v>0.0</v>
      </c>
      <c r="AR49" s="288">
        <f t="shared" si="13"/>
        <v>0.0</v>
      </c>
      <c r="AS49" s="214">
        <f>SUM(N49:AR49)</f>
        <v>0.0</v>
      </c>
      <c r="AT49" s="187"/>
    </row>
    <row r="50" spans="8:8" s="150" ht="23.25" customFormat="1" customHeight="1">
      <c r="A50" s="169"/>
      <c r="B50" s="170"/>
      <c r="C50" s="171"/>
      <c r="D50" s="328"/>
      <c r="E50" s="173"/>
      <c r="F50" s="174"/>
      <c r="G50" s="175"/>
      <c r="H50" s="176"/>
      <c r="I50" s="177"/>
      <c r="J50" s="178"/>
      <c r="K50" s="179"/>
      <c r="L50" s="180"/>
      <c r="M50" s="186" t="s">
        <v>133</v>
      </c>
      <c r="N50" s="288">
        <v>81836.0</v>
      </c>
      <c r="O50" s="288"/>
      <c r="P50" s="288">
        <v>53065.0</v>
      </c>
      <c r="Q50" s="288"/>
      <c r="R50" s="288"/>
      <c r="S50" s="288"/>
      <c r="T50" s="288"/>
      <c r="U50" s="288"/>
      <c r="V50" s="288"/>
      <c r="W50" s="288"/>
      <c r="X50" s="288"/>
      <c r="Y50" s="288"/>
      <c r="Z50" s="288">
        <v>130551.0</v>
      </c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184">
        <f>SUM(N50:AR50)</f>
        <v>265452.0</v>
      </c>
      <c r="AT50" s="190">
        <f>(AS50/(AS48-AS49))*100%</f>
        <v>1.0</v>
      </c>
    </row>
    <row r="51" spans="8:8" s="150" ht="23.25" customFormat="1" customHeight="1">
      <c r="A51" s="169"/>
      <c r="B51" s="170"/>
      <c r="C51" s="171"/>
      <c r="D51" s="328"/>
      <c r="E51" s="173"/>
      <c r="F51" s="174"/>
      <c r="G51" s="175"/>
      <c r="H51" s="176"/>
      <c r="I51" s="177"/>
      <c r="J51" s="178"/>
      <c r="K51" s="179"/>
      <c r="L51" s="180"/>
      <c r="M51" s="191" t="s">
        <v>134</v>
      </c>
      <c r="N51" s="289">
        <v>0.0</v>
      </c>
      <c r="O51" s="289"/>
      <c r="P51" s="289"/>
      <c r="Q51" s="289"/>
      <c r="R51" s="289">
        <v>0.0</v>
      </c>
      <c r="S51" s="289"/>
      <c r="T51" s="289"/>
      <c r="U51" s="289"/>
      <c r="V51" s="289"/>
      <c r="W51" s="289"/>
      <c r="X51" s="289">
        <v>0.0</v>
      </c>
      <c r="Y51" s="289"/>
      <c r="Z51" s="289"/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89"/>
      <c r="AO51" s="289"/>
      <c r="AP51" s="289"/>
      <c r="AQ51" s="289"/>
      <c r="AR51" s="289"/>
      <c r="AS51" s="215">
        <f>SUM(N51:AR51)</f>
        <v>0.0</v>
      </c>
      <c r="AT51" s="193">
        <f>(AS51/(AS48-AS49))*100%</f>
        <v>0.0</v>
      </c>
    </row>
    <row r="52" spans="8:8" s="150" ht="23.25" customFormat="1" customHeight="1">
      <c r="A52" s="169"/>
      <c r="B52" s="194"/>
      <c r="C52" s="195"/>
      <c r="D52" s="330"/>
      <c r="E52" s="197"/>
      <c r="F52" s="198"/>
      <c r="G52" s="199"/>
      <c r="H52" s="200"/>
      <c r="I52" s="201"/>
      <c r="J52" s="202"/>
      <c r="K52" s="203"/>
      <c r="L52" s="204"/>
      <c r="M52" s="205" t="s">
        <v>135</v>
      </c>
      <c r="N52" s="323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4"/>
      <c r="AI52" s="324"/>
      <c r="AJ52" s="324"/>
      <c r="AK52" s="324"/>
      <c r="AL52" s="324"/>
      <c r="AM52" s="324"/>
      <c r="AN52" s="324"/>
      <c r="AO52" s="324"/>
      <c r="AP52" s="324"/>
      <c r="AQ52" s="324"/>
      <c r="AR52" s="325"/>
      <c r="AS52" s="207"/>
      <c r="AT52" s="208"/>
    </row>
    <row r="53" spans="8:8" s="150" ht="23.25" customFormat="1" customHeight="1">
      <c r="A53" s="169"/>
      <c r="B53" s="217" t="s">
        <v>172</v>
      </c>
      <c r="C53" s="229"/>
      <c r="D53" s="230"/>
      <c r="E53" s="231">
        <f>F53+AS56-AS59</f>
        <v>0.0</v>
      </c>
      <c r="F53" s="232">
        <v>0.0</v>
      </c>
      <c r="G53" s="157"/>
      <c r="H53" s="233"/>
      <c r="I53" s="234"/>
      <c r="J53" s="234"/>
      <c r="K53" s="160"/>
      <c r="L53" s="162"/>
      <c r="M53" s="163" t="s">
        <v>130</v>
      </c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318"/>
      <c r="AD53" s="318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9"/>
      <c r="AS53" s="167"/>
      <c r="AT53" s="168"/>
    </row>
    <row r="54" spans="8:8" s="150" ht="23.25" customFormat="1" customHeight="1">
      <c r="A54" s="169"/>
      <c r="B54" s="170"/>
      <c r="C54" s="176"/>
      <c r="D54" s="235"/>
      <c r="E54" s="236"/>
      <c r="F54" s="237"/>
      <c r="G54" s="175"/>
      <c r="H54" s="238"/>
      <c r="I54" s="239"/>
      <c r="J54" s="239"/>
      <c r="K54" s="178"/>
      <c r="L54" s="180"/>
      <c r="M54" s="211" t="s">
        <v>131</v>
      </c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>
        <f>37000+67000</f>
        <v>104000.0</v>
      </c>
      <c r="Y54" s="320"/>
      <c r="Z54" s="320"/>
      <c r="AA54" s="320"/>
      <c r="AB54" s="320">
        <v>111000.0</v>
      </c>
      <c r="AC54" s="320">
        <v>45819.0</v>
      </c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20"/>
      <c r="AP54" s="320"/>
      <c r="AQ54" s="320"/>
      <c r="AR54" s="320"/>
      <c r="AS54" s="212">
        <f>SUM(N54:AR54)</f>
        <v>260819.0</v>
      </c>
      <c r="AT54" s="185"/>
    </row>
    <row r="55" spans="8:8" s="150" ht="23.25" customFormat="1" customHeight="1">
      <c r="A55" s="169"/>
      <c r="B55" s="170"/>
      <c r="C55" s="176"/>
      <c r="D55" s="235"/>
      <c r="E55" s="236"/>
      <c r="F55" s="237"/>
      <c r="G55" s="175"/>
      <c r="H55" s="238"/>
      <c r="I55" s="239"/>
      <c r="J55" s="239"/>
      <c r="K55" s="178"/>
      <c r="L55" s="180"/>
      <c r="M55" s="213" t="s">
        <v>132</v>
      </c>
      <c r="N55" s="288">
        <f t="shared" si="14" ref="N55:AR55">N54-N56-N57</f>
        <v>0.0</v>
      </c>
      <c r="O55" s="321">
        <f t="shared" si="14"/>
        <v>0.0</v>
      </c>
      <c r="P55" s="321">
        <f t="shared" si="14"/>
        <v>0.0</v>
      </c>
      <c r="Q55" s="288">
        <f t="shared" si="14"/>
        <v>0.0</v>
      </c>
      <c r="R55" s="288">
        <f t="shared" si="14"/>
        <v>0.0</v>
      </c>
      <c r="S55" s="288">
        <f t="shared" si="14"/>
        <v>0.0</v>
      </c>
      <c r="T55" s="288">
        <f t="shared" si="14"/>
        <v>0.0</v>
      </c>
      <c r="U55" s="288">
        <f t="shared" si="14"/>
        <v>0.0</v>
      </c>
      <c r="V55" s="288">
        <f t="shared" si="14"/>
        <v>0.0</v>
      </c>
      <c r="W55" s="288">
        <f t="shared" si="14"/>
        <v>0.0</v>
      </c>
      <c r="X55" s="288">
        <f t="shared" si="14"/>
        <v>0.0</v>
      </c>
      <c r="Y55" s="288">
        <f t="shared" si="14"/>
        <v>0.0</v>
      </c>
      <c r="Z55" s="288">
        <f t="shared" si="14"/>
        <v>0.0</v>
      </c>
      <c r="AA55" s="288">
        <f t="shared" si="14"/>
        <v>0.0</v>
      </c>
      <c r="AB55" s="288">
        <f t="shared" si="14"/>
        <v>0.0</v>
      </c>
      <c r="AC55" s="288">
        <f t="shared" si="14"/>
        <v>-4633.0</v>
      </c>
      <c r="AD55" s="288">
        <f t="shared" si="14"/>
        <v>0.0</v>
      </c>
      <c r="AE55" s="288">
        <f t="shared" si="14"/>
        <v>0.0</v>
      </c>
      <c r="AF55" s="288">
        <f t="shared" si="14"/>
        <v>0.0</v>
      </c>
      <c r="AG55" s="288">
        <f t="shared" si="14"/>
        <v>0.0</v>
      </c>
      <c r="AH55" s="288">
        <f t="shared" si="14"/>
        <v>0.0</v>
      </c>
      <c r="AI55" s="288">
        <f t="shared" si="14"/>
        <v>0.0</v>
      </c>
      <c r="AJ55" s="288">
        <f t="shared" si="14"/>
        <v>0.0</v>
      </c>
      <c r="AK55" s="288">
        <f t="shared" si="14"/>
        <v>0.0</v>
      </c>
      <c r="AL55" s="288">
        <f t="shared" si="14"/>
        <v>0.0</v>
      </c>
      <c r="AM55" s="288">
        <f t="shared" si="14"/>
        <v>0.0</v>
      </c>
      <c r="AN55" s="288">
        <f t="shared" si="14"/>
        <v>0.0</v>
      </c>
      <c r="AO55" s="288">
        <f t="shared" si="14"/>
        <v>0.0</v>
      </c>
      <c r="AP55" s="288">
        <f t="shared" si="14"/>
        <v>0.0</v>
      </c>
      <c r="AQ55" s="288">
        <f t="shared" si="14"/>
        <v>0.0</v>
      </c>
      <c r="AR55" s="288">
        <f t="shared" si="14"/>
        <v>0.0</v>
      </c>
      <c r="AS55" s="214">
        <f>SUM(N55:AR55)</f>
        <v>-4633.0</v>
      </c>
      <c r="AT55" s="187"/>
    </row>
    <row r="56" spans="8:8" s="150" ht="23.25" customFormat="1" customHeight="1">
      <c r="A56" s="169"/>
      <c r="B56" s="170"/>
      <c r="C56" s="176"/>
      <c r="D56" s="235"/>
      <c r="E56" s="236"/>
      <c r="F56" s="237"/>
      <c r="G56" s="175"/>
      <c r="H56" s="238"/>
      <c r="I56" s="239"/>
      <c r="J56" s="239"/>
      <c r="K56" s="178"/>
      <c r="L56" s="180"/>
      <c r="M56" s="186" t="s">
        <v>133</v>
      </c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320">
        <f>37000+67000</f>
        <v>104000.0</v>
      </c>
      <c r="Y56" s="288"/>
      <c r="Z56" s="288"/>
      <c r="AA56" s="288"/>
      <c r="AB56" s="288">
        <v>111000.0</v>
      </c>
      <c r="AC56" s="288">
        <v>45819.0</v>
      </c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184">
        <f>SUM(N56:AR56)</f>
        <v>260819.0</v>
      </c>
      <c r="AT56" s="190">
        <f>(AS56/(AS54-AS55))*100%</f>
        <v>0.982546750448292</v>
      </c>
    </row>
    <row r="57" spans="8:8" s="150" ht="23.25" customFormat="1" customHeight="1">
      <c r="A57" s="169"/>
      <c r="B57" s="194"/>
      <c r="C57" s="200"/>
      <c r="D57" s="240"/>
      <c r="E57" s="241"/>
      <c r="F57" s="242"/>
      <c r="G57" s="199"/>
      <c r="H57" s="243"/>
      <c r="I57" s="244"/>
      <c r="J57" s="244"/>
      <c r="K57" s="202"/>
      <c r="L57" s="204"/>
      <c r="M57" s="191" t="s">
        <v>134</v>
      </c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>
        <v>0.0</v>
      </c>
      <c r="Y57" s="289"/>
      <c r="Z57" s="289"/>
      <c r="AA57" s="289"/>
      <c r="AB57" s="289"/>
      <c r="AC57" s="289">
        <v>4633.0</v>
      </c>
      <c r="AD57" s="289"/>
      <c r="AE57" s="289"/>
      <c r="AF57" s="289"/>
      <c r="AG57" s="289"/>
      <c r="AH57" s="289"/>
      <c r="AI57" s="289"/>
      <c r="AJ57" s="289"/>
      <c r="AK57" s="289"/>
      <c r="AL57" s="289"/>
      <c r="AM57" s="289"/>
      <c r="AN57" s="289"/>
      <c r="AO57" s="289"/>
      <c r="AP57" s="289"/>
      <c r="AQ57" s="289"/>
      <c r="AR57" s="289"/>
      <c r="AS57" s="215">
        <f>SUM(N57:AR57)</f>
        <v>4633.0</v>
      </c>
      <c r="AT57" s="193">
        <f>(AS57/(AS54-AS55))*100%</f>
        <v>0.01745324955170803</v>
      </c>
    </row>
    <row r="58" spans="8:8" s="150" ht="28.5" customFormat="1" customHeight="1">
      <c r="A58" s="245" t="s">
        <v>173</v>
      </c>
      <c r="B58" s="246"/>
      <c r="C58" s="246"/>
      <c r="D58" s="247">
        <f>D5+D11+D17+D23+D29+D35+D41+D47+E53</f>
        <v>15099.0</v>
      </c>
      <c r="E58" s="248"/>
      <c r="F58" s="245" t="s">
        <v>228</v>
      </c>
      <c r="G58" s="246"/>
      <c r="H58" s="246"/>
      <c r="I58" s="246"/>
      <c r="J58" s="246"/>
      <c r="K58" s="246"/>
      <c r="L58" s="250"/>
      <c r="M58" s="163" t="s">
        <v>175</v>
      </c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 t="s">
        <v>176</v>
      </c>
      <c r="Z58" s="290"/>
      <c r="AA58" s="290"/>
      <c r="AB58" s="290"/>
      <c r="AC58" s="290"/>
      <c r="AD58" s="290"/>
      <c r="AE58" s="290"/>
      <c r="AF58" s="290" t="s">
        <v>276</v>
      </c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1"/>
      <c r="AS58" s="253"/>
      <c r="AT58" s="254"/>
    </row>
    <row r="59" spans="8:8" s="150" ht="23.25" customFormat="1" customHeight="1">
      <c r="A59" s="255"/>
      <c r="B59" s="256"/>
      <c r="C59" s="256"/>
      <c r="D59" s="257"/>
      <c r="E59" s="258"/>
      <c r="F59" s="255"/>
      <c r="G59" s="256"/>
      <c r="H59" s="256"/>
      <c r="I59" s="256"/>
      <c r="J59" s="256"/>
      <c r="K59" s="256"/>
      <c r="L59" s="259"/>
      <c r="M59" s="260" t="s">
        <v>179</v>
      </c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>
        <v>104000.0</v>
      </c>
      <c r="Z59" s="292"/>
      <c r="AA59" s="292"/>
      <c r="AB59" s="292"/>
      <c r="AC59" s="292"/>
      <c r="AD59" s="292"/>
      <c r="AE59" s="292"/>
      <c r="AF59" s="292">
        <f>125112+31707</f>
        <v>156819.0</v>
      </c>
      <c r="AG59" s="292"/>
      <c r="AH59" s="292"/>
      <c r="AI59" s="292"/>
      <c r="AJ59" s="292"/>
      <c r="AK59" s="292"/>
      <c r="AL59" s="292"/>
      <c r="AM59" s="292"/>
      <c r="AN59" s="292"/>
      <c r="AO59" s="292"/>
      <c r="AP59" s="292"/>
      <c r="AQ59" s="292"/>
      <c r="AR59" s="293"/>
      <c r="AS59" s="263">
        <f>SUM(N59:AR59)</f>
        <v>260819.0</v>
      </c>
      <c r="AT59" s="264"/>
    </row>
    <row r="60" spans="8:8" s="150" ht="23.25" customFormat="1" customHeight="1">
      <c r="A60" s="265"/>
      <c r="B60" s="266"/>
      <c r="C60" s="266"/>
      <c r="D60" s="267"/>
      <c r="E60" s="268"/>
      <c r="F60" s="265"/>
      <c r="G60" s="266"/>
      <c r="H60" s="266"/>
      <c r="I60" s="266"/>
      <c r="J60" s="266"/>
      <c r="K60" s="266"/>
      <c r="L60" s="269"/>
      <c r="M60" s="270" t="s">
        <v>135</v>
      </c>
      <c r="N60" s="271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3"/>
      <c r="AS60" s="274"/>
      <c r="AT60" s="275"/>
    </row>
  </sheetData>
  <mergeCells count="121">
    <mergeCell ref="C3:E3"/>
    <mergeCell ref="AS17:AT17"/>
    <mergeCell ref="AS11:AT11"/>
    <mergeCell ref="AS5:AT5"/>
    <mergeCell ref="AS3:AT3"/>
    <mergeCell ref="K3:L3"/>
    <mergeCell ref="H3:J3"/>
    <mergeCell ref="F53:F57"/>
    <mergeCell ref="F23:F28"/>
    <mergeCell ref="E41:E46"/>
    <mergeCell ref="F11:F16"/>
    <mergeCell ref="B29:B34"/>
    <mergeCell ref="E11:E16"/>
    <mergeCell ref="D41:D46"/>
    <mergeCell ref="B35:B40"/>
    <mergeCell ref="A5:A57"/>
    <mergeCell ref="B3:B4"/>
    <mergeCell ref="AS23:AT23"/>
    <mergeCell ref="F3:G3"/>
    <mergeCell ref="AS29:AT29"/>
    <mergeCell ref="AS35:AT35"/>
    <mergeCell ref="AS41:AT41"/>
    <mergeCell ref="AS47:AT47"/>
    <mergeCell ref="AS53:AT53"/>
    <mergeCell ref="D11:D16"/>
    <mergeCell ref="C29:C34"/>
    <mergeCell ref="B17:B22"/>
    <mergeCell ref="D29:D34"/>
    <mergeCell ref="D23:D28"/>
    <mergeCell ref="C23:C28"/>
    <mergeCell ref="D5:D10"/>
    <mergeCell ref="B23:B28"/>
    <mergeCell ref="C35:C40"/>
    <mergeCell ref="B53:B57"/>
    <mergeCell ref="C11:C16"/>
    <mergeCell ref="B5:B10"/>
    <mergeCell ref="A3:A4"/>
    <mergeCell ref="B47:B52"/>
    <mergeCell ref="A58:C60"/>
    <mergeCell ref="H11:H16"/>
    <mergeCell ref="H41:H46"/>
    <mergeCell ref="F29:F34"/>
    <mergeCell ref="E53:E57"/>
    <mergeCell ref="F17:F22"/>
    <mergeCell ref="D35:D40"/>
    <mergeCell ref="B11:B16"/>
    <mergeCell ref="D53:D57"/>
    <mergeCell ref="D47:D52"/>
    <mergeCell ref="C53:C57"/>
    <mergeCell ref="C47:C52"/>
    <mergeCell ref="C41:C46"/>
    <mergeCell ref="H47:H52"/>
    <mergeCell ref="I23:I28"/>
    <mergeCell ref="H17:H22"/>
    <mergeCell ref="F47:F52"/>
    <mergeCell ref="G17:G22"/>
    <mergeCell ref="G47:G52"/>
    <mergeCell ref="G41:G46"/>
    <mergeCell ref="G35:G40"/>
    <mergeCell ref="G29:G34"/>
    <mergeCell ref="H5:H10"/>
    <mergeCell ref="D58:E60"/>
    <mergeCell ref="C17:C22"/>
    <mergeCell ref="B41:B46"/>
    <mergeCell ref="C5:C10"/>
    <mergeCell ref="E35:E40"/>
    <mergeCell ref="F5:F10"/>
    <mergeCell ref="K5:K10"/>
    <mergeCell ref="J53:J57"/>
    <mergeCell ref="I11:I16"/>
    <mergeCell ref="D17:D22"/>
    <mergeCell ref="E47:E52"/>
    <mergeCell ref="E23:E28"/>
    <mergeCell ref="E29:E34"/>
    <mergeCell ref="E5:E10"/>
    <mergeCell ref="J47:J52"/>
    <mergeCell ref="K23:K28"/>
    <mergeCell ref="J17:J22"/>
    <mergeCell ref="F58:L60"/>
    <mergeCell ref="I5:I10"/>
    <mergeCell ref="H53:H57"/>
    <mergeCell ref="G11:G16"/>
    <mergeCell ref="G5:G10"/>
    <mergeCell ref="F41:F46"/>
    <mergeCell ref="G23:G28"/>
    <mergeCell ref="F35:F40"/>
    <mergeCell ref="E17:E22"/>
    <mergeCell ref="M3:M4"/>
    <mergeCell ref="L53:L57"/>
    <mergeCell ref="K11:K16"/>
    <mergeCell ref="K53:K57"/>
    <mergeCell ref="L17:L22"/>
    <mergeCell ref="L47:L52"/>
    <mergeCell ref="L23:L28"/>
    <mergeCell ref="L29:L34"/>
    <mergeCell ref="L35:L40"/>
    <mergeCell ref="AT58:AT59"/>
    <mergeCell ref="H23:H28"/>
    <mergeCell ref="I47:I52"/>
    <mergeCell ref="I41:I46"/>
    <mergeCell ref="I29:I34"/>
    <mergeCell ref="I35:I40"/>
    <mergeCell ref="H35:H40"/>
    <mergeCell ref="J5:J10"/>
    <mergeCell ref="G53:G57"/>
    <mergeCell ref="I17:I22"/>
    <mergeCell ref="L11:L16"/>
    <mergeCell ref="L41:L46"/>
    <mergeCell ref="J29:J34"/>
    <mergeCell ref="I53:I57"/>
    <mergeCell ref="K17:K22"/>
    <mergeCell ref="J11:J16"/>
    <mergeCell ref="J41:J46"/>
    <mergeCell ref="H29:H34"/>
    <mergeCell ref="J23:J28"/>
    <mergeCell ref="K47:K52"/>
    <mergeCell ref="K41:K46"/>
    <mergeCell ref="K29:K34"/>
    <mergeCell ref="K35:K40"/>
    <mergeCell ref="J35:J40"/>
    <mergeCell ref="L5:L10"/>
  </mergeCells>
  <pageMargins left="0.31496062992126" right="0.31496062992126" top="0.354330708661417" bottom="0.354330708661417" header="0.31496062992126" footer="0.31496062992126"/>
  <pageSetup paperSize="9" scale="37" orientation="landscape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CPH2235</dc:creator>
  <cp:lastModifiedBy>PC</cp:lastModifiedBy>
  <dcterms:created xsi:type="dcterms:W3CDTF">2015-06-05T11:19:00Z</dcterms:created>
  <dcterms:modified xsi:type="dcterms:W3CDTF">2022-10-28T05:59:40Z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  <property fmtid="{D5CDD505-2E9C-101B-9397-08002B2CF9AE}" pid="3" name="ICV">
    <vt:lpwstr>bd7a780320934e32a2cf0cc7c6770714</vt:lpwstr>
  </property>
</Properties>
</file>