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 Estimació esforç" sheetId="1" r:id="rId4"/>
    <sheet state="visible" name="2.2 Pressupost" sheetId="2" r:id="rId5"/>
    <sheet state="visible" name="Caso de negocio 5. Previsión Fi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Estimación de 200 transacciones mensuales
	-Joan Carles Veny Martí
----
Revisar preu per nombre usuaris
	-Joan Carles Veny Martí</t>
      </text>
    </comment>
  </commentList>
</comments>
</file>

<file path=xl/sharedStrings.xml><?xml version="1.0" encoding="utf-8"?>
<sst xmlns="http://schemas.openxmlformats.org/spreadsheetml/2006/main" count="221" uniqueCount="158">
  <si>
    <t>Actores</t>
  </si>
  <si>
    <t>Casos de uso</t>
  </si>
  <si>
    <t>UAW + UUCW</t>
  </si>
  <si>
    <t>Complejidad técnica</t>
  </si>
  <si>
    <t>Factores de entorno</t>
  </si>
  <si>
    <t>UCP</t>
  </si>
  <si>
    <t>Temps esforç</t>
  </si>
  <si>
    <t>Nombre</t>
  </si>
  <si>
    <t xml:space="preserve">Pesos </t>
  </si>
  <si>
    <t>UAW</t>
  </si>
  <si>
    <t>UUCW</t>
  </si>
  <si>
    <t>Prioridad</t>
  </si>
  <si>
    <t>(PxP)/100</t>
  </si>
  <si>
    <t>TCF</t>
  </si>
  <si>
    <t>Evaluación</t>
  </si>
  <si>
    <t>PxE</t>
  </si>
  <si>
    <t>ECF</t>
  </si>
  <si>
    <t>Proveedor de login</t>
  </si>
  <si>
    <t>UC001</t>
  </si>
  <si>
    <t>Distributed System</t>
  </si>
  <si>
    <t>Familiarity with UML/UP</t>
  </si>
  <si>
    <t>Sistema de pagos</t>
  </si>
  <si>
    <t>UC002</t>
  </si>
  <si>
    <t>Performance</t>
  </si>
  <si>
    <t>Part-Time Workers</t>
  </si>
  <si>
    <t>Ubicación de servidor</t>
  </si>
  <si>
    <t>UC003</t>
  </si>
  <si>
    <t>End User Efficiency</t>
  </si>
  <si>
    <t>Analyst Capability</t>
  </si>
  <si>
    <t>Proveedor mapas</t>
  </si>
  <si>
    <t>UC004</t>
  </si>
  <si>
    <t>Complex Internal Processing</t>
  </si>
  <si>
    <t>Application Experience</t>
  </si>
  <si>
    <t>Servidor de ubicación (GPS)</t>
  </si>
  <si>
    <t>UC005</t>
  </si>
  <si>
    <t>Reusability</t>
  </si>
  <si>
    <t>Object-Oriented Experience</t>
  </si>
  <si>
    <t>Equipo externo de reportes</t>
  </si>
  <si>
    <t>UC006</t>
  </si>
  <si>
    <t>Easy to Install</t>
  </si>
  <si>
    <t>Motivation</t>
  </si>
  <si>
    <t>Usuario</t>
  </si>
  <si>
    <t>UC007</t>
  </si>
  <si>
    <t>Easy to Use</t>
  </si>
  <si>
    <t>Difficult Programming Language</t>
  </si>
  <si>
    <t>Organizador</t>
  </si>
  <si>
    <t>UC008</t>
  </si>
  <si>
    <t>Portability</t>
  </si>
  <si>
    <t>Stable Requirements</t>
  </si>
  <si>
    <t>Participante</t>
  </si>
  <si>
    <t>UC009</t>
  </si>
  <si>
    <t>Easy to Change</t>
  </si>
  <si>
    <t>UC010</t>
  </si>
  <si>
    <t>Concurrency</t>
  </si>
  <si>
    <t>UC011</t>
  </si>
  <si>
    <t>Special Security Features</t>
  </si>
  <si>
    <t>UC012</t>
  </si>
  <si>
    <t>Provides Direct Access for Third Parties</t>
  </si>
  <si>
    <t>UC013</t>
  </si>
  <si>
    <t>Special User Training Facilities Are Required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</si>
  <si>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</si>
  <si>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</si>
  <si>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</si>
  <si>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</si>
  <si>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</si>
  <si>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</si>
  <si>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</si>
  <si>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</si>
  <si>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</si>
  <si>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</si>
  <si>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</si>
  <si>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</si>
  <si>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</si>
  <si>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</si>
  <si>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</si>
  <si>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</si>
  <si>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</si>
  <si>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Trabajadores</t>
  </si>
  <si>
    <t xml:space="preserve">Meses </t>
  </si>
  <si>
    <t>Precio/mes</t>
  </si>
  <si>
    <t>Precio total meses + ss</t>
  </si>
  <si>
    <t>Gestor p.</t>
  </si>
  <si>
    <t>Arquitecto s.</t>
  </si>
  <si>
    <t>Back-end jr.</t>
  </si>
  <si>
    <t>Back-end sr.</t>
  </si>
  <si>
    <t>Front-end</t>
  </si>
  <si>
    <t>Precio Total (sin costes estruct ni riesgos)</t>
  </si>
  <si>
    <t>Precio Total (Sin riesgos)</t>
  </si>
  <si>
    <t xml:space="preserve">Precio Total </t>
  </si>
  <si>
    <t>Marketing</t>
  </si>
  <si>
    <t>Tester</t>
  </si>
  <si>
    <t>Instalaciones/Equipos</t>
  </si>
  <si>
    <t>Precio total meses</t>
  </si>
  <si>
    <t>Agua</t>
  </si>
  <si>
    <t>Luz</t>
  </si>
  <si>
    <t>Internet</t>
  </si>
  <si>
    <t>Local</t>
  </si>
  <si>
    <t>Equipos informáticos</t>
  </si>
  <si>
    <t>Servidores AWS</t>
  </si>
  <si>
    <t>Call center</t>
  </si>
  <si>
    <t>Festivos barcelona</t>
  </si>
  <si>
    <t>Tabla Esfuerzo en porcentaje</t>
  </si>
  <si>
    <t>enero</t>
  </si>
  <si>
    <t>Partes equipo</t>
  </si>
  <si>
    <t>Inception</t>
  </si>
  <si>
    <t>Elaboration</t>
  </si>
  <si>
    <t>Construction</t>
  </si>
  <si>
    <t>Transition</t>
  </si>
  <si>
    <t>febrero</t>
  </si>
  <si>
    <t>marzo</t>
  </si>
  <si>
    <t>Trabajo sobre 7 meses (Teniendo en cuenta festivos para las fechas límite)</t>
  </si>
  <si>
    <t>abril</t>
  </si>
  <si>
    <t>mayo</t>
  </si>
  <si>
    <t>Días</t>
  </si>
  <si>
    <t>14 días</t>
  </si>
  <si>
    <t>30 días</t>
  </si>
  <si>
    <t>90 días</t>
  </si>
  <si>
    <t>25 días</t>
  </si>
  <si>
    <t>junio</t>
  </si>
  <si>
    <t>Inicio - Final</t>
  </si>
  <si>
    <t>12 Febrero - 1 Marzo</t>
  </si>
  <si>
    <t>4 Marzo - 12 Abril</t>
  </si>
  <si>
    <t>15 Abril - 23 Agosto</t>
  </si>
  <si>
    <t>26 Agosto - 1 Octubre</t>
  </si>
  <si>
    <t>julio</t>
  </si>
  <si>
    <t>Esfuerzo (en h)</t>
  </si>
  <si>
    <t>agosto</t>
  </si>
  <si>
    <t>setiembre</t>
  </si>
  <si>
    <t>octubre</t>
  </si>
  <si>
    <t>Tabla Esfuerzo en horas (UCPA = 3793)</t>
  </si>
  <si>
    <t>noviembre</t>
  </si>
  <si>
    <t>Totales</t>
  </si>
  <si>
    <t>Núm. meses</t>
  </si>
  <si>
    <t>Núm. meses(Redondeado meses naturales laborales)</t>
  </si>
  <si>
    <t>diciembre</t>
  </si>
  <si>
    <t>-----&gt;</t>
  </si>
  <si>
    <t>Coste proyecto</t>
  </si>
  <si>
    <t>Primeros 6 meses, especatativa de hasta 10.000 Usuarios.</t>
  </si>
  <si>
    <t>Gastos</t>
  </si>
  <si>
    <t>Equipo de mantenimiento de 2 personas</t>
  </si>
  <si>
    <t>Usuarios</t>
  </si>
  <si>
    <t>Ingresos</t>
  </si>
  <si>
    <t>Total</t>
  </si>
  <si>
    <t>Encargado de publicidad</t>
  </si>
  <si>
    <t>Tiktok Influencer + ADS</t>
  </si>
  <si>
    <t>Instagram ADS</t>
  </si>
  <si>
    <t>Facebook ADS</t>
  </si>
  <si>
    <t>Marquesinas en 2 Paradas de buses 1 semana</t>
  </si>
  <si>
    <t>AWS</t>
  </si>
  <si>
    <t>Firebase</t>
  </si>
  <si>
    <t>Gastos local</t>
  </si>
  <si>
    <t>Call Center</t>
  </si>
  <si>
    <t>Api Google Maps</t>
  </si>
  <si>
    <t>Mes 7 y 8, ampliación de equipo para actualizar la aplicación. Hasta 15.000 usuarios</t>
  </si>
  <si>
    <t>Equipo de desarollo de 4 personas</t>
  </si>
  <si>
    <t>Facturación</t>
  </si>
  <si>
    <t>Beneficio</t>
  </si>
  <si>
    <t>A partir del 8vo mes, tras actualizar la aplicación. Hasta 20.000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</si>
</sst>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#,##0\ [$€-1]"/>
    <numFmt numFmtId="166" formatCode="#,##0.00\ [$€-1]"/>
    <numFmt numFmtId="167" formatCode="#,##0&quot;€&quot;"/>
    <numFmt numFmtId="168" formatCode="0.00000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u/>
      <color rgb="FF0000FF"/>
    </font>
    <font>
      <u/>
      <color rgb="FF0000FF"/>
    </font>
    <font>
      <sz val="12.0"/>
      <color theme="1"/>
      <name val="Arial"/>
      <scheme val="minor"/>
    </font>
    <font>
      <color rgb="FF222222"/>
      <name val="Arial"/>
      <scheme val="minor"/>
    </font>
    <font>
      <sz val="9.0"/>
      <color rgb="FF222222"/>
      <name val="&quot;Google Sans Mono&quot;"/>
    </font>
    <font/>
  </fonts>
  <fills count="1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2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5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3" fontId="0" numFmtId="0" xfId="0" applyFont="1"/>
    <xf borderId="0" fillId="0" fontId="2" numFmtId="1" xfId="0" applyFont="1" applyNumberFormat="1"/>
    <xf borderId="0" fillId="0" fontId="0" numFmtId="166" xfId="0" applyFont="1" applyNumberFormat="1"/>
    <xf borderId="0" fillId="0" fontId="2" numFmtId="166" xfId="0" applyAlignment="1" applyFont="1" applyNumberFormat="1">
      <alignment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vertical="center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9" xfId="0" applyFont="1" applyNumberFormat="1"/>
    <xf borderId="0" fillId="0" fontId="7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167" xfId="0" applyFont="1" applyNumberFormat="1"/>
    <xf borderId="0" fillId="0" fontId="6" numFmtId="167" xfId="0" applyAlignment="1" applyFont="1" applyNumberFormat="1">
      <alignment horizontal="right" readingOrder="0"/>
    </xf>
    <xf borderId="0" fillId="5" fontId="2" numFmtId="0" xfId="0" applyFont="1"/>
    <xf borderId="0" fillId="5" fontId="8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6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3" xfId="0" applyFont="1" applyNumberFormat="1"/>
    <xf borderId="0" fillId="2" fontId="2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8" xfId="0" applyFont="1" applyNumberFormat="1"/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3" fontId="1" numFmtId="0" xfId="0" applyAlignment="1" applyFont="1">
      <alignment horizontal="center" readingOrder="0"/>
    </xf>
    <xf borderId="0" fillId="0" fontId="5" numFmtId="0" xfId="0" applyAlignment="1" applyFont="1">
      <alignment shrinkToFit="0" vertical="bottom" wrapText="0"/>
    </xf>
    <xf borderId="1" fillId="7" fontId="1" numFmtId="0" xfId="0" applyAlignment="1" applyBorder="1" applyFill="1" applyFon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8" fontId="2" numFmtId="0" xfId="0" applyAlignment="1" applyBorder="1" applyFill="1" applyFont="1">
      <alignment horizontal="center" readingOrder="0"/>
    </xf>
    <xf borderId="3" fillId="0" fontId="12" numFmtId="0" xfId="0" applyBorder="1" applyFont="1"/>
    <xf borderId="4" fillId="0" fontId="12" numFmtId="0" xfId="0" applyBorder="1" applyFont="1"/>
    <xf borderId="2" fillId="9" fontId="2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12" numFmtId="0" xfId="0" applyBorder="1" applyFont="1"/>
    <xf borderId="7" fillId="0" fontId="2" numFmtId="167" xfId="0" applyAlignment="1" applyBorder="1" applyFont="1" applyNumberFormat="1">
      <alignment horizontal="center" readingOrder="0"/>
    </xf>
    <xf borderId="2" fillId="10" fontId="2" numFmtId="0" xfId="0" applyAlignment="1" applyBorder="1" applyFill="1" applyFont="1">
      <alignment horizontal="center" readingOrder="0"/>
    </xf>
    <xf borderId="2" fillId="11" fontId="2" numFmtId="0" xfId="0" applyAlignment="1" applyBorder="1" applyFill="1" applyFont="1">
      <alignment horizontal="center" readingOrder="0"/>
    </xf>
    <xf borderId="1" fillId="12" fontId="2" numFmtId="0" xfId="0" applyAlignment="1" applyBorder="1" applyFill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9" fillId="0" fontId="2" numFmtId="167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10" fillId="0" fontId="12" numFmtId="0" xfId="0" applyBorder="1" applyFont="1"/>
    <xf borderId="9" fillId="0" fontId="2" numFmtId="167" xfId="0" applyBorder="1" applyFont="1" applyNumberFormat="1"/>
    <xf borderId="8" fillId="0" fontId="2" numFmtId="0" xfId="0" applyAlignment="1" applyBorder="1" applyFont="1">
      <alignment horizontal="center"/>
    </xf>
    <xf borderId="11" fillId="0" fontId="12" numFmtId="0" xfId="0" applyBorder="1" applyFont="1"/>
    <xf borderId="8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167" xfId="0" applyAlignment="1" applyBorder="1" applyFont="1" applyNumberFormat="1">
      <alignment horizontal="center" readingOrder="0"/>
    </xf>
    <xf borderId="2" fillId="13" fontId="2" numFmtId="0" xfId="0" applyAlignment="1" applyBorder="1" applyFill="1" applyFont="1">
      <alignment horizontal="center" readingOrder="0"/>
    </xf>
    <xf borderId="1" fillId="0" fontId="2" numFmtId="167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6" fillId="0" fontId="2" numFmtId="0" xfId="0" applyBorder="1" applyFont="1"/>
    <xf borderId="2" fillId="14" fontId="2" numFmtId="0" xfId="0" applyAlignment="1" applyBorder="1" applyFill="1" applyFont="1">
      <alignment horizontal="center" readingOrder="0"/>
    </xf>
    <xf borderId="2" fillId="15" fontId="2" numFmtId="0" xfId="0" applyAlignment="1" applyBorder="1" applyFill="1" applyFont="1">
      <alignment horizontal="center" readingOrder="0"/>
    </xf>
    <xf borderId="1" fillId="3" fontId="2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iguesdebarcelona.cat/es/web/guest/servicio-agua/factura-y-tarifas-agua/tarifas-de-suministro" TargetMode="External"/><Relationship Id="rId3" Type="http://schemas.openxmlformats.org/officeDocument/2006/relationships/hyperlink" Target="https://www.enectiva.cz/es/blog/2015/06/ideas-energia-edificio-de-oficinas/" TargetMode="External"/><Relationship Id="rId4" Type="http://schemas.openxmlformats.org/officeDocument/2006/relationships/hyperlink" Target="https://selectra.es/internet-telefono/companias/adamo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2.xml"/><Relationship Id="rId9" Type="http://schemas.openxmlformats.org/officeDocument/2006/relationships/hyperlink" Target="https://factorialhr.es/blog/calendario-laboral-y-festivos-barcelona-descarga-gratis/" TargetMode="External"/><Relationship Id="rId5" Type="http://schemas.openxmlformats.org/officeDocument/2006/relationships/hyperlink" Target="https://www.idealista.com/inmueble/101659056/" TargetMode="External"/><Relationship Id="rId6" Type="http://schemas.openxmlformats.org/officeDocument/2006/relationships/hyperlink" Target="https://www.grover.com/es-es/computers/laptops?filter=price_max%3D7000" TargetMode="External"/><Relationship Id="rId7" Type="http://schemas.openxmlformats.org/officeDocument/2006/relationships/hyperlink" Target="https://aws.amazon.com/es/amplify/pricing/?p=ft&amp;c=wa&amp;z=2?p=ft&amp;c=wa&amp;z=2" TargetMode="External"/><Relationship Id="rId8" Type="http://schemas.openxmlformats.org/officeDocument/2006/relationships/hyperlink" Target="https://www.callgest.net/es/tarifa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7.13"/>
    <col customWidth="1" min="5" max="5" width="18.75"/>
    <col customWidth="1" min="6" max="6" width="15.63"/>
    <col customWidth="1" min="8" max="8" width="13.13"/>
    <col customWidth="1" min="12" max="12" width="34.5"/>
    <col customWidth="1" min="18" max="18" width="27.5"/>
    <col customWidth="1" min="19" max="19" width="15.88"/>
  </cols>
  <sheetData>
    <row r="1" ht="15.75" customHeight="1">
      <c r="A1" s="1" t="s">
        <v>0</v>
      </c>
      <c r="D1" s="2"/>
      <c r="E1" s="1" t="s">
        <v>1</v>
      </c>
      <c r="I1" s="1" t="s">
        <v>2</v>
      </c>
      <c r="L1" s="1" t="s">
        <v>3</v>
      </c>
      <c r="R1" s="1" t="s">
        <v>4</v>
      </c>
      <c r="X1" s="3" t="s">
        <v>5</v>
      </c>
      <c r="AA1" s="4" t="s">
        <v>6</v>
      </c>
    </row>
    <row r="2" ht="15.0" customHeight="1">
      <c r="A2" s="5" t="s">
        <v>7</v>
      </c>
      <c r="B2" s="5" t="s">
        <v>8</v>
      </c>
      <c r="C2" s="6" t="s">
        <v>9</v>
      </c>
      <c r="D2" s="2"/>
      <c r="E2" s="5" t="s">
        <v>7</v>
      </c>
      <c r="F2" s="5" t="s">
        <v>8</v>
      </c>
      <c r="G2" s="6" t="s">
        <v>10</v>
      </c>
      <c r="I2" s="7">
        <f>C3 + G3</f>
        <v>249</v>
      </c>
      <c r="L2" s="5" t="s">
        <v>7</v>
      </c>
      <c r="M2" s="5" t="s">
        <v>8</v>
      </c>
      <c r="N2" s="5" t="s">
        <v>11</v>
      </c>
      <c r="O2" s="5" t="s">
        <v>12</v>
      </c>
      <c r="P2" s="6" t="s">
        <v>13</v>
      </c>
      <c r="R2" s="5" t="s">
        <v>7</v>
      </c>
      <c r="S2" s="5" t="s">
        <v>8</v>
      </c>
      <c r="T2" s="5" t="s">
        <v>14</v>
      </c>
      <c r="U2" s="8" t="s">
        <v>15</v>
      </c>
      <c r="V2" s="6" t="s">
        <v>16</v>
      </c>
      <c r="X2" s="9">
        <f>V3 * P3 * I2  </f>
        <v>189.6384</v>
      </c>
      <c r="AA2" s="10">
        <f> X2 * 20 </f>
        <v>3792.768</v>
      </c>
    </row>
    <row r="3">
      <c r="A3" s="11" t="s">
        <v>17</v>
      </c>
      <c r="B3" s="11">
        <v>1.0</v>
      </c>
      <c r="C3" s="7">
        <f>SUM(B3:B11)</f>
        <v>19</v>
      </c>
      <c r="D3" s="2"/>
      <c r="E3" s="11" t="s">
        <v>18</v>
      </c>
      <c r="F3" s="11">
        <v>15.0</v>
      </c>
      <c r="G3" s="7">
        <f>SUM(F3:F32)</f>
        <v>230</v>
      </c>
      <c r="L3" s="11" t="s">
        <v>19</v>
      </c>
      <c r="M3" s="11">
        <v>2.0</v>
      </c>
      <c r="N3" s="11">
        <v>5.0</v>
      </c>
      <c r="O3" s="12">
        <f t="shared" ref="O3:O15" si="1">(M3*N3)/100</f>
        <v>0.1</v>
      </c>
      <c r="P3" s="7">
        <f>0.6+SUM(O3:O15)</f>
        <v>1.12</v>
      </c>
      <c r="R3" s="11" t="s">
        <v>20</v>
      </c>
      <c r="S3" s="11">
        <v>1.5</v>
      </c>
      <c r="T3" s="11">
        <v>5.0</v>
      </c>
      <c r="U3" s="11">
        <f t="shared" ref="U3:U10" si="2">S3*T3</f>
        <v>7.5</v>
      </c>
      <c r="V3" s="12">
        <f>1.4 + (-0.03)*SUM(U3:U10)</f>
        <v>0.68</v>
      </c>
    </row>
    <row r="4">
      <c r="A4" s="11" t="s">
        <v>21</v>
      </c>
      <c r="B4" s="11">
        <v>1.0</v>
      </c>
      <c r="D4" s="2"/>
      <c r="E4" s="11" t="s">
        <v>22</v>
      </c>
      <c r="F4" s="11">
        <v>10.0</v>
      </c>
      <c r="L4" s="11" t="s">
        <v>23</v>
      </c>
      <c r="M4" s="11">
        <v>1.0</v>
      </c>
      <c r="N4" s="11">
        <v>4.0</v>
      </c>
      <c r="O4" s="12">
        <f t="shared" si="1"/>
        <v>0.04</v>
      </c>
      <c r="R4" s="11" t="s">
        <v>24</v>
      </c>
      <c r="S4" s="11">
        <v>-1.0</v>
      </c>
      <c r="T4" s="11">
        <v>0.0</v>
      </c>
      <c r="U4" s="11">
        <f t="shared" si="2"/>
        <v>0</v>
      </c>
    </row>
    <row r="5">
      <c r="A5" s="11" t="s">
        <v>25</v>
      </c>
      <c r="B5" s="11">
        <v>2.0</v>
      </c>
      <c r="D5" s="2"/>
      <c r="E5" s="11" t="s">
        <v>26</v>
      </c>
      <c r="F5" s="13">
        <v>10.0</v>
      </c>
      <c r="L5" s="11" t="s">
        <v>27</v>
      </c>
      <c r="M5" s="11">
        <v>1.0</v>
      </c>
      <c r="N5" s="11">
        <v>4.0</v>
      </c>
      <c r="O5" s="12">
        <f t="shared" si="1"/>
        <v>0.04</v>
      </c>
      <c r="R5" s="11" t="s">
        <v>28</v>
      </c>
      <c r="S5" s="11">
        <v>0.5</v>
      </c>
      <c r="T5" s="11">
        <v>4.0</v>
      </c>
      <c r="U5" s="11">
        <f t="shared" si="2"/>
        <v>2</v>
      </c>
    </row>
    <row r="6">
      <c r="A6" s="11" t="s">
        <v>29</v>
      </c>
      <c r="B6" s="11">
        <v>1.0</v>
      </c>
      <c r="D6" s="2"/>
      <c r="E6" s="11" t="s">
        <v>30</v>
      </c>
      <c r="F6" s="14">
        <v>5.0</v>
      </c>
      <c r="L6" s="11" t="s">
        <v>31</v>
      </c>
      <c r="M6" s="11">
        <v>1.0</v>
      </c>
      <c r="N6" s="11">
        <v>2.0</v>
      </c>
      <c r="O6" s="12">
        <f t="shared" si="1"/>
        <v>0.02</v>
      </c>
      <c r="R6" s="11" t="s">
        <v>32</v>
      </c>
      <c r="S6" s="11">
        <v>0.5</v>
      </c>
      <c r="T6" s="11">
        <v>3.0</v>
      </c>
      <c r="U6" s="11">
        <f t="shared" si="2"/>
        <v>1.5</v>
      </c>
    </row>
    <row r="7">
      <c r="A7" s="11" t="s">
        <v>33</v>
      </c>
      <c r="B7" s="11">
        <v>2.0</v>
      </c>
      <c r="D7" s="2"/>
      <c r="E7" s="11" t="s">
        <v>34</v>
      </c>
      <c r="F7" s="14">
        <v>5.0</v>
      </c>
      <c r="L7" s="11" t="s">
        <v>35</v>
      </c>
      <c r="M7" s="11">
        <v>1.0</v>
      </c>
      <c r="N7" s="11">
        <v>5.0</v>
      </c>
      <c r="O7" s="12">
        <f t="shared" si="1"/>
        <v>0.05</v>
      </c>
      <c r="R7" s="11" t="s">
        <v>36</v>
      </c>
      <c r="S7" s="11">
        <v>1.0</v>
      </c>
      <c r="T7" s="11">
        <v>4.0</v>
      </c>
      <c r="U7" s="11">
        <f t="shared" si="2"/>
        <v>4</v>
      </c>
    </row>
    <row r="8">
      <c r="A8" s="11" t="s">
        <v>37</v>
      </c>
      <c r="B8" s="11">
        <v>3.0</v>
      </c>
      <c r="D8" s="2"/>
      <c r="E8" s="11" t="s">
        <v>38</v>
      </c>
      <c r="F8" s="13">
        <v>5.0</v>
      </c>
      <c r="L8" s="11" t="s">
        <v>39</v>
      </c>
      <c r="M8" s="11">
        <v>0.5</v>
      </c>
      <c r="N8" s="11">
        <v>1.0</v>
      </c>
      <c r="O8" s="12">
        <f t="shared" si="1"/>
        <v>0.005</v>
      </c>
      <c r="R8" s="11" t="s">
        <v>40</v>
      </c>
      <c r="S8" s="11">
        <v>1.0</v>
      </c>
      <c r="T8" s="11">
        <v>3.0</v>
      </c>
      <c r="U8" s="11">
        <f t="shared" si="2"/>
        <v>3</v>
      </c>
    </row>
    <row r="9">
      <c r="A9" s="11" t="s">
        <v>41</v>
      </c>
      <c r="B9" s="11">
        <v>3.0</v>
      </c>
      <c r="D9" s="2"/>
      <c r="E9" s="11" t="s">
        <v>42</v>
      </c>
      <c r="F9" s="13">
        <v>5.0</v>
      </c>
      <c r="L9" s="11" t="s">
        <v>43</v>
      </c>
      <c r="M9" s="11">
        <v>0.5</v>
      </c>
      <c r="N9" s="11">
        <v>3.0</v>
      </c>
      <c r="O9" s="12">
        <f t="shared" si="1"/>
        <v>0.015</v>
      </c>
      <c r="R9" s="11" t="s">
        <v>44</v>
      </c>
      <c r="S9" s="11">
        <v>-1.0</v>
      </c>
      <c r="T9" s="11">
        <v>2.0</v>
      </c>
      <c r="U9" s="11">
        <f t="shared" si="2"/>
        <v>-2</v>
      </c>
    </row>
    <row r="10">
      <c r="A10" s="11" t="s">
        <v>45</v>
      </c>
      <c r="B10" s="11">
        <v>3.0</v>
      </c>
      <c r="D10" s="2"/>
      <c r="E10" s="11" t="s">
        <v>46</v>
      </c>
      <c r="F10" s="14">
        <v>5.0</v>
      </c>
      <c r="L10" s="11" t="s">
        <v>47</v>
      </c>
      <c r="M10" s="11">
        <v>2.0</v>
      </c>
      <c r="N10" s="11">
        <v>2.0</v>
      </c>
      <c r="O10" s="12">
        <f t="shared" si="1"/>
        <v>0.04</v>
      </c>
      <c r="R10" s="11" t="s">
        <v>48</v>
      </c>
      <c r="S10" s="11">
        <v>2.0</v>
      </c>
      <c r="T10" s="11">
        <v>4.0</v>
      </c>
      <c r="U10" s="11">
        <f t="shared" si="2"/>
        <v>8</v>
      </c>
    </row>
    <row r="11">
      <c r="A11" s="11" t="s">
        <v>49</v>
      </c>
      <c r="B11" s="11">
        <v>3.0</v>
      </c>
      <c r="D11" s="2"/>
      <c r="E11" s="11" t="s">
        <v>50</v>
      </c>
      <c r="F11" s="14">
        <v>5.0</v>
      </c>
      <c r="L11" s="11" t="s">
        <v>51</v>
      </c>
      <c r="M11" s="11">
        <v>1.0</v>
      </c>
      <c r="N11" s="11">
        <v>2.0</v>
      </c>
      <c r="O11" s="12">
        <f t="shared" si="1"/>
        <v>0.02</v>
      </c>
    </row>
    <row r="12">
      <c r="D12" s="2"/>
      <c r="E12" s="11" t="s">
        <v>52</v>
      </c>
      <c r="F12" s="14">
        <v>5.0</v>
      </c>
      <c r="L12" s="11" t="s">
        <v>53</v>
      </c>
      <c r="M12" s="11">
        <v>1.0</v>
      </c>
      <c r="N12" s="11">
        <v>3.0</v>
      </c>
      <c r="O12" s="12">
        <f t="shared" si="1"/>
        <v>0.03</v>
      </c>
    </row>
    <row r="13">
      <c r="D13" s="2"/>
      <c r="E13" s="11" t="s">
        <v>54</v>
      </c>
      <c r="F13" s="14">
        <v>5.0</v>
      </c>
      <c r="L13" s="11" t="s">
        <v>55</v>
      </c>
      <c r="M13" s="11">
        <v>2.0</v>
      </c>
      <c r="N13" s="11">
        <v>5.0</v>
      </c>
      <c r="O13" s="12">
        <f t="shared" si="1"/>
        <v>0.1</v>
      </c>
    </row>
    <row r="14">
      <c r="D14" s="2"/>
      <c r="E14" s="11" t="s">
        <v>56</v>
      </c>
      <c r="F14" s="13">
        <v>15.0</v>
      </c>
      <c r="L14" s="11" t="s">
        <v>57</v>
      </c>
      <c r="M14" s="11">
        <v>1.0</v>
      </c>
      <c r="N14" s="11">
        <v>5.0</v>
      </c>
      <c r="O14" s="12">
        <f t="shared" si="1"/>
        <v>0.05</v>
      </c>
    </row>
    <row r="15">
      <c r="D15" s="2"/>
      <c r="E15" s="11" t="s">
        <v>58</v>
      </c>
      <c r="F15" s="13">
        <v>10.0</v>
      </c>
      <c r="L15" s="11" t="s">
        <v>59</v>
      </c>
      <c r="M15" s="11">
        <v>1.0</v>
      </c>
      <c r="N15" s="11">
        <v>1.0</v>
      </c>
      <c r="O15" s="12">
        <f t="shared" si="1"/>
        <v>0.01</v>
      </c>
    </row>
    <row r="16">
      <c r="D16" s="2"/>
      <c r="E16" s="11" t="s">
        <v>60</v>
      </c>
      <c r="F16" s="11">
        <v>10.0</v>
      </c>
    </row>
    <row r="17">
      <c r="D17" s="2"/>
      <c r="E17" s="11" t="s">
        <v>61</v>
      </c>
      <c r="F17" s="11">
        <v>5.0</v>
      </c>
    </row>
    <row r="18">
      <c r="D18" s="2"/>
      <c r="E18" s="11" t="s">
        <v>62</v>
      </c>
      <c r="F18" s="11">
        <v>5.0</v>
      </c>
    </row>
    <row r="19">
      <c r="E19" s="11" t="s">
        <v>63</v>
      </c>
      <c r="F19" s="13">
        <v>5.0</v>
      </c>
    </row>
    <row r="20">
      <c r="E20" s="11" t="s">
        <v>64</v>
      </c>
      <c r="F20" s="13">
        <v>5.0</v>
      </c>
    </row>
    <row r="21">
      <c r="E21" s="11" t="s">
        <v>65</v>
      </c>
      <c r="F21" s="13">
        <v>5.0</v>
      </c>
    </row>
    <row r="22">
      <c r="E22" s="11" t="s">
        <v>66</v>
      </c>
      <c r="F22" s="11">
        <v>10.0</v>
      </c>
    </row>
    <row r="23">
      <c r="E23" s="11" t="s">
        <v>67</v>
      </c>
      <c r="F23" s="11">
        <v>5.0</v>
      </c>
    </row>
    <row r="24">
      <c r="E24" s="11" t="s">
        <v>68</v>
      </c>
      <c r="F24" s="11">
        <v>10.0</v>
      </c>
    </row>
    <row r="25">
      <c r="E25" s="11" t="s">
        <v>69</v>
      </c>
      <c r="F25" s="11">
        <v>15.0</v>
      </c>
    </row>
    <row r="26">
      <c r="E26" s="11" t="s">
        <v>70</v>
      </c>
      <c r="F26" s="11">
        <v>5.0</v>
      </c>
    </row>
    <row r="27">
      <c r="E27" s="11" t="s">
        <v>71</v>
      </c>
      <c r="F27" s="11">
        <v>5.0</v>
      </c>
    </row>
    <row r="28">
      <c r="E28" s="11" t="s">
        <v>72</v>
      </c>
      <c r="F28" s="11">
        <v>5.0</v>
      </c>
    </row>
    <row r="29">
      <c r="E29" s="11" t="s">
        <v>73</v>
      </c>
      <c r="F29" s="11">
        <v>5.0</v>
      </c>
    </row>
    <row r="30">
      <c r="E30" s="11" t="s">
        <v>74</v>
      </c>
      <c r="F30" s="11">
        <v>15.0</v>
      </c>
    </row>
    <row r="31">
      <c r="E31" s="11" t="s">
        <v>75</v>
      </c>
      <c r="F31" s="11">
        <v>15.0</v>
      </c>
    </row>
    <row r="32">
      <c r="E32" s="11" t="s">
        <v>76</v>
      </c>
      <c r="F32" s="11">
        <v>5.0</v>
      </c>
    </row>
    <row r="44">
      <c r="E44" s="15"/>
    </row>
    <row r="45">
      <c r="E45" s="15"/>
    </row>
    <row r="46">
      <c r="E46" s="15"/>
    </row>
    <row r="47">
      <c r="E47" s="15"/>
    </row>
  </sheetData>
  <mergeCells count="10">
    <mergeCell ref="X1:Y1"/>
    <mergeCell ref="X2:Y3"/>
    <mergeCell ref="AA2:AB3"/>
    <mergeCell ref="A1:C1"/>
    <mergeCell ref="E1:G1"/>
    <mergeCell ref="I1:J1"/>
    <mergeCell ref="L1:P1"/>
    <mergeCell ref="R1:V1"/>
    <mergeCell ref="AA1:AB1"/>
    <mergeCell ref="I2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6.0"/>
    <col customWidth="1" min="3" max="3" width="17.13"/>
    <col customWidth="1" min="4" max="4" width="29.25"/>
    <col customWidth="1" min="5" max="5" width="35.38"/>
    <col customWidth="1" min="6" max="6" width="30.38"/>
    <col customWidth="1" min="7" max="7" width="22.13"/>
    <col customWidth="1" min="8" max="8" width="30.0"/>
    <col customWidth="1" min="9" max="9" width="45.25"/>
    <col customWidth="1" min="10" max="10" width="21.25"/>
    <col customWidth="1" min="11" max="11" width="17.5"/>
    <col customWidth="1" min="12" max="12" width="17.38"/>
    <col customWidth="1" min="14" max="14" width="14.88"/>
    <col customWidth="1" min="16" max="16" width="19.5"/>
    <col customWidth="1" min="17" max="18" width="18.5"/>
    <col customWidth="1" min="24" max="24" width="37.38"/>
  </cols>
  <sheetData>
    <row r="1">
      <c r="A1" s="1" t="s">
        <v>77</v>
      </c>
      <c r="B1" s="16" t="s">
        <v>78</v>
      </c>
      <c r="C1" s="1" t="s">
        <v>79</v>
      </c>
      <c r="D1" s="1" t="s">
        <v>80</v>
      </c>
      <c r="K1" s="17"/>
      <c r="L1" s="17"/>
      <c r="M1" s="17"/>
      <c r="N1" s="17"/>
      <c r="O1" s="17"/>
      <c r="Q1" s="17"/>
      <c r="R1" s="17"/>
      <c r="S1" s="17"/>
      <c r="T1" s="17"/>
      <c r="U1" s="17"/>
      <c r="V1" s="17"/>
      <c r="X1" s="17"/>
    </row>
    <row r="2">
      <c r="A2" s="11" t="s">
        <v>81</v>
      </c>
      <c r="B2" s="18">
        <f t="shared" ref="B2:B8" si="1">H32+2</f>
        <v>7.392844844</v>
      </c>
      <c r="C2" s="19">
        <v>4600.0</v>
      </c>
      <c r="D2" s="20">
        <f t="shared" ref="D2:D8" si="2">MULTIPLY(C2,B2) * 1.4 + 200</f>
        <v>47809.92079</v>
      </c>
      <c r="L2" s="21"/>
      <c r="Q2" s="22"/>
      <c r="R2" s="23"/>
      <c r="S2" s="23"/>
      <c r="T2" s="23"/>
      <c r="U2" s="23"/>
      <c r="V2" s="24"/>
    </row>
    <row r="3">
      <c r="A3" s="11" t="s">
        <v>82</v>
      </c>
      <c r="B3" s="18">
        <f t="shared" si="1"/>
        <v>5.081625625</v>
      </c>
      <c r="C3" s="19">
        <v>4250.0</v>
      </c>
      <c r="D3" s="20">
        <f t="shared" si="2"/>
        <v>30435.67247</v>
      </c>
      <c r="L3" s="21"/>
      <c r="Q3" s="22"/>
      <c r="R3" s="23"/>
      <c r="S3" s="23"/>
      <c r="T3" s="23"/>
      <c r="U3" s="23"/>
      <c r="V3" s="24"/>
    </row>
    <row r="4">
      <c r="A4" s="11" t="s">
        <v>83</v>
      </c>
      <c r="B4" s="18">
        <f t="shared" si="1"/>
        <v>6.029818125</v>
      </c>
      <c r="C4" s="19">
        <v>2150.0</v>
      </c>
      <c r="D4" s="20">
        <f t="shared" si="2"/>
        <v>18349.75256</v>
      </c>
      <c r="L4" s="21"/>
      <c r="Q4" s="22"/>
      <c r="R4" s="23"/>
      <c r="S4" s="23"/>
      <c r="T4" s="23"/>
      <c r="U4" s="23"/>
      <c r="V4" s="24"/>
    </row>
    <row r="5">
      <c r="A5" s="11" t="s">
        <v>84</v>
      </c>
      <c r="B5" s="18">
        <f t="shared" si="1"/>
        <v>7.037272656</v>
      </c>
      <c r="C5" s="19">
        <v>4025.0</v>
      </c>
      <c r="D5" s="20">
        <f t="shared" si="2"/>
        <v>39855.03142</v>
      </c>
      <c r="F5" s="11"/>
      <c r="L5" s="21"/>
      <c r="Q5" s="22"/>
      <c r="R5" s="23"/>
      <c r="S5" s="23"/>
      <c r="T5" s="23"/>
      <c r="U5" s="23"/>
      <c r="V5" s="24"/>
    </row>
    <row r="6">
      <c r="A6" s="11" t="s">
        <v>85</v>
      </c>
      <c r="B6" s="18">
        <f t="shared" si="1"/>
        <v>6.029818125</v>
      </c>
      <c r="C6" s="19">
        <v>2645.0</v>
      </c>
      <c r="D6" s="20">
        <f t="shared" si="2"/>
        <v>22528.41652</v>
      </c>
      <c r="E6" s="1" t="s">
        <v>86</v>
      </c>
      <c r="F6" s="25" t="s">
        <v>87</v>
      </c>
      <c r="G6" s="25" t="s">
        <v>88</v>
      </c>
      <c r="I6" s="26"/>
      <c r="L6" s="21"/>
      <c r="Q6" s="22"/>
      <c r="R6" s="23"/>
      <c r="S6" s="23"/>
      <c r="T6" s="23"/>
      <c r="U6" s="23"/>
      <c r="V6" s="24"/>
    </row>
    <row r="7">
      <c r="A7" s="11" t="s">
        <v>89</v>
      </c>
      <c r="B7" s="18">
        <f t="shared" si="1"/>
        <v>2.355572188</v>
      </c>
      <c r="C7" s="19">
        <v>2625.0</v>
      </c>
      <c r="D7" s="20">
        <f t="shared" si="2"/>
        <v>8856.727789</v>
      </c>
      <c r="E7" s="20">
        <f>SUM(D2,D3,D4,D5,D6,D7,D8,D10,D11,D12,D13,D14,D15,D16)</f>
        <v>187951.3332</v>
      </c>
      <c r="F7" s="27">
        <f>E7 * 1.15</f>
        <v>216144.0332</v>
      </c>
      <c r="G7" s="27">
        <f>MULTIPLY(F7,1.1)</f>
        <v>237758.4365</v>
      </c>
      <c r="I7" s="28"/>
      <c r="L7" s="21"/>
      <c r="Q7" s="22"/>
      <c r="R7" s="23"/>
      <c r="S7" s="23"/>
      <c r="T7" s="23"/>
      <c r="U7" s="23"/>
      <c r="V7" s="24"/>
    </row>
    <row r="8">
      <c r="A8" s="29" t="s">
        <v>90</v>
      </c>
      <c r="B8" s="18">
        <f t="shared" si="1"/>
        <v>3.777860938</v>
      </c>
      <c r="C8" s="19">
        <v>2200.0</v>
      </c>
      <c r="D8" s="20">
        <f t="shared" si="2"/>
        <v>11835.81169</v>
      </c>
      <c r="L8" s="21"/>
      <c r="Q8" s="22"/>
      <c r="R8" s="23"/>
      <c r="S8" s="23"/>
      <c r="T8" s="23"/>
      <c r="U8" s="23"/>
      <c r="V8" s="24"/>
    </row>
    <row r="9">
      <c r="A9" s="1" t="s">
        <v>91</v>
      </c>
      <c r="B9" s="16" t="s">
        <v>78</v>
      </c>
      <c r="C9" s="1" t="s">
        <v>79</v>
      </c>
      <c r="D9" s="1" t="s">
        <v>92</v>
      </c>
      <c r="G9" s="30"/>
      <c r="H9" s="30"/>
      <c r="Q9" s="22"/>
      <c r="R9" s="23"/>
      <c r="S9" s="23"/>
      <c r="T9" s="23"/>
      <c r="U9" s="23"/>
      <c r="V9" s="24"/>
    </row>
    <row r="10">
      <c r="A10" s="31" t="s">
        <v>93</v>
      </c>
      <c r="B10" s="11">
        <v>7.0</v>
      </c>
      <c r="C10" s="19">
        <v>24.0</v>
      </c>
      <c r="D10" s="20">
        <f t="shared" ref="D10:D15" si="3">MULTIPLY(C10,B10)</f>
        <v>168</v>
      </c>
      <c r="Q10" s="22"/>
      <c r="R10" s="23"/>
      <c r="S10" s="23"/>
      <c r="T10" s="23"/>
      <c r="U10" s="23"/>
      <c r="V10" s="24"/>
    </row>
    <row r="11">
      <c r="A11" s="31" t="s">
        <v>94</v>
      </c>
      <c r="B11" s="11">
        <v>7.0</v>
      </c>
      <c r="C11" s="32">
        <v>85.0</v>
      </c>
      <c r="D11" s="33">
        <f t="shared" si="3"/>
        <v>595</v>
      </c>
      <c r="Q11" s="22"/>
      <c r="R11" s="23"/>
      <c r="S11" s="23"/>
      <c r="T11" s="23"/>
      <c r="U11" s="23"/>
      <c r="V11" s="24"/>
    </row>
    <row r="12">
      <c r="A12" s="31" t="s">
        <v>95</v>
      </c>
      <c r="B12" s="11">
        <v>7.0</v>
      </c>
      <c r="C12" s="32">
        <v>36.0</v>
      </c>
      <c r="D12" s="33">
        <f t="shared" si="3"/>
        <v>252</v>
      </c>
    </row>
    <row r="13">
      <c r="A13" s="31" t="s">
        <v>96</v>
      </c>
      <c r="B13" s="11">
        <v>7.0</v>
      </c>
      <c r="C13" s="34">
        <v>600.0</v>
      </c>
      <c r="D13" s="33">
        <f t="shared" si="3"/>
        <v>4200</v>
      </c>
    </row>
    <row r="14">
      <c r="A14" s="31" t="s">
        <v>97</v>
      </c>
      <c r="B14" s="11">
        <v>7.0</v>
      </c>
      <c r="C14" s="32">
        <f> 7*50</f>
        <v>350</v>
      </c>
      <c r="D14" s="33">
        <f t="shared" si="3"/>
        <v>2450</v>
      </c>
    </row>
    <row r="15">
      <c r="A15" s="31" t="s">
        <v>98</v>
      </c>
      <c r="B15" s="11">
        <v>7.0</v>
      </c>
      <c r="C15" s="32">
        <v>70.0</v>
      </c>
      <c r="D15" s="33">
        <f t="shared" si="3"/>
        <v>490</v>
      </c>
    </row>
    <row r="16">
      <c r="A16" s="31" t="s">
        <v>99</v>
      </c>
      <c r="B16" s="11">
        <v>7.0</v>
      </c>
      <c r="C16" s="19">
        <v>125.0</v>
      </c>
      <c r="D16" s="19">
        <v>125.0</v>
      </c>
    </row>
    <row r="17">
      <c r="E17" s="11"/>
    </row>
    <row r="19">
      <c r="M19" s="35"/>
      <c r="N19" s="36" t="s">
        <v>100</v>
      </c>
    </row>
    <row r="20">
      <c r="A20" s="1" t="s">
        <v>101</v>
      </c>
      <c r="M20" s="37" t="s">
        <v>102</v>
      </c>
      <c r="N20" s="11">
        <v>2.0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M21" s="37" t="s">
        <v>108</v>
      </c>
    </row>
    <row r="22">
      <c r="A22" s="11" t="s">
        <v>81</v>
      </c>
      <c r="B22" s="38">
        <v>0.6</v>
      </c>
      <c r="C22" s="38">
        <v>0.3</v>
      </c>
      <c r="D22" s="38">
        <v>0.15</v>
      </c>
      <c r="E22" s="38">
        <v>0.4</v>
      </c>
      <c r="M22" s="37" t="s">
        <v>109</v>
      </c>
    </row>
    <row r="23">
      <c r="A23" s="11" t="s">
        <v>82</v>
      </c>
      <c r="B23" s="38">
        <v>0.3</v>
      </c>
      <c r="C23" s="38">
        <v>0.2</v>
      </c>
      <c r="D23" s="38">
        <v>0.1</v>
      </c>
      <c r="E23" s="38">
        <v>0.1</v>
      </c>
      <c r="G23" s="39">
        <v>3792.77</v>
      </c>
      <c r="H23" s="1" t="s">
        <v>110</v>
      </c>
      <c r="L23" s="21"/>
      <c r="M23" s="37" t="s">
        <v>111</v>
      </c>
      <c r="N23" s="11">
        <v>2.0</v>
      </c>
    </row>
    <row r="24">
      <c r="A24" s="11" t="s">
        <v>83</v>
      </c>
      <c r="B24" s="38">
        <v>0.0</v>
      </c>
      <c r="C24" s="38">
        <v>0.15</v>
      </c>
      <c r="D24" s="38">
        <v>0.2</v>
      </c>
      <c r="E24" s="38">
        <v>0.1</v>
      </c>
      <c r="H24" s="1" t="s">
        <v>104</v>
      </c>
      <c r="I24" s="1" t="s">
        <v>105</v>
      </c>
      <c r="J24" s="1" t="s">
        <v>106</v>
      </c>
      <c r="K24" s="1" t="s">
        <v>107</v>
      </c>
      <c r="L24" s="21"/>
      <c r="M24" s="37" t="s">
        <v>112</v>
      </c>
      <c r="N24" s="11">
        <v>1.0</v>
      </c>
    </row>
    <row r="25">
      <c r="A25" s="11" t="s">
        <v>84</v>
      </c>
      <c r="B25" s="38">
        <v>0.1</v>
      </c>
      <c r="C25" s="38">
        <v>0.15</v>
      </c>
      <c r="D25" s="38">
        <v>0.25</v>
      </c>
      <c r="E25" s="38">
        <v>0.15</v>
      </c>
      <c r="G25" s="1" t="s">
        <v>113</v>
      </c>
      <c r="H25" s="40" t="s">
        <v>114</v>
      </c>
      <c r="I25" s="40" t="s">
        <v>115</v>
      </c>
      <c r="J25" s="40" t="s">
        <v>116</v>
      </c>
      <c r="K25" s="40" t="s">
        <v>117</v>
      </c>
      <c r="L25" s="21"/>
      <c r="M25" s="37" t="s">
        <v>118</v>
      </c>
      <c r="N25" s="11">
        <v>2.0</v>
      </c>
    </row>
    <row r="26">
      <c r="A26" s="11" t="s">
        <v>85</v>
      </c>
      <c r="B26" s="38">
        <v>0.0</v>
      </c>
      <c r="C26" s="38">
        <v>0.15</v>
      </c>
      <c r="D26" s="38">
        <v>0.2</v>
      </c>
      <c r="E26" s="38">
        <v>0.1</v>
      </c>
      <c r="G26" s="1" t="s">
        <v>119</v>
      </c>
      <c r="H26" s="40" t="s">
        <v>120</v>
      </c>
      <c r="I26" s="40" t="s">
        <v>121</v>
      </c>
      <c r="J26" s="40" t="s">
        <v>122</v>
      </c>
      <c r="K26" s="40" t="s">
        <v>123</v>
      </c>
      <c r="L26" s="17"/>
      <c r="M26" s="37" t="s">
        <v>124</v>
      </c>
    </row>
    <row r="27">
      <c r="A27" s="11" t="s">
        <v>89</v>
      </c>
      <c r="B27" s="38">
        <v>0.0</v>
      </c>
      <c r="C27" s="38">
        <v>0.0</v>
      </c>
      <c r="D27" s="38">
        <v>0.0</v>
      </c>
      <c r="E27" s="38">
        <v>0.15</v>
      </c>
      <c r="G27" s="1" t="s">
        <v>125</v>
      </c>
      <c r="H27" s="41">
        <f> MULTIPLY(G23,0.05)</f>
        <v>189.6385</v>
      </c>
      <c r="I27" s="41">
        <f> MULTIPLY(G23,0.2)</f>
        <v>758.554</v>
      </c>
      <c r="J27" s="41">
        <f> MULTIPLY(G23,0.65)</f>
        <v>2465.3005</v>
      </c>
      <c r="K27" s="41">
        <f> MULTIPLY(G23,0.1)</f>
        <v>379.277</v>
      </c>
      <c r="M27" s="37" t="s">
        <v>126</v>
      </c>
      <c r="N27" s="11">
        <v>1.0</v>
      </c>
    </row>
    <row r="28">
      <c r="A28" s="11" t="s">
        <v>90</v>
      </c>
      <c r="B28" s="38">
        <v>0.0</v>
      </c>
      <c r="C28" s="38">
        <v>0.05</v>
      </c>
      <c r="D28" s="38">
        <v>0.1</v>
      </c>
      <c r="E28" s="38">
        <v>0.0</v>
      </c>
      <c r="M28" s="37" t="s">
        <v>127</v>
      </c>
      <c r="N28" s="11">
        <v>2.0</v>
      </c>
    </row>
    <row r="29">
      <c r="M29" s="37" t="s">
        <v>128</v>
      </c>
      <c r="N29" s="11">
        <v>1.0</v>
      </c>
      <c r="Q29" s="11"/>
    </row>
    <row r="30">
      <c r="A30" s="1" t="s">
        <v>129</v>
      </c>
      <c r="M30" s="37" t="s">
        <v>130</v>
      </c>
      <c r="N30" s="11">
        <v>1.0</v>
      </c>
    </row>
    <row r="31">
      <c r="A31" s="1" t="s">
        <v>103</v>
      </c>
      <c r="B31" s="1" t="s">
        <v>104</v>
      </c>
      <c r="C31" s="1" t="s">
        <v>105</v>
      </c>
      <c r="D31" s="1" t="s">
        <v>106</v>
      </c>
      <c r="E31" s="1" t="s">
        <v>107</v>
      </c>
      <c r="G31" s="42" t="s">
        <v>131</v>
      </c>
      <c r="H31" s="1" t="s">
        <v>132</v>
      </c>
      <c r="I31" s="1" t="s">
        <v>133</v>
      </c>
      <c r="M31" s="37" t="s">
        <v>134</v>
      </c>
      <c r="N31" s="11">
        <v>4.0</v>
      </c>
    </row>
    <row r="32">
      <c r="A32" s="11" t="s">
        <v>81</v>
      </c>
      <c r="B32" s="43">
        <f t="shared" ref="B32:B38" si="4"> MULTIPLY(B22,$H$27)</f>
        <v>113.7831</v>
      </c>
      <c r="C32" s="43">
        <f t="shared" ref="C32:C38" si="5"> MULTIPLY(C22,$I$27)</f>
        <v>227.5662</v>
      </c>
      <c r="D32" s="43">
        <f t="shared" ref="D32:D38" si="6"> MULTIPLY(D22,$J$27)</f>
        <v>369.795075</v>
      </c>
      <c r="E32" s="43">
        <f t="shared" ref="E32:E38" si="7"> MULTIPLY(E22,$K$27)</f>
        <v>151.7108</v>
      </c>
      <c r="F32" s="44" t="s">
        <v>135</v>
      </c>
      <c r="G32" s="41">
        <f t="shared" ref="G32:G38" si="8">SUM(B32,C32,D32,E32)</f>
        <v>862.855175</v>
      </c>
      <c r="H32" s="45">
        <f t="shared" ref="H32:H38" si="9"> G32/160</f>
        <v>5.392844844</v>
      </c>
      <c r="I32" s="18">
        <f t="shared" ref="I32:I38" si="10">H32+2</f>
        <v>7.392844844</v>
      </c>
    </row>
    <row r="33">
      <c r="A33" s="11" t="s">
        <v>82</v>
      </c>
      <c r="B33" s="43">
        <f t="shared" si="4"/>
        <v>56.89155</v>
      </c>
      <c r="C33" s="43">
        <f t="shared" si="5"/>
        <v>151.7108</v>
      </c>
      <c r="D33" s="43">
        <f t="shared" si="6"/>
        <v>246.53005</v>
      </c>
      <c r="E33" s="43">
        <f t="shared" si="7"/>
        <v>37.9277</v>
      </c>
      <c r="F33" s="44" t="s">
        <v>135</v>
      </c>
      <c r="G33" s="41">
        <f t="shared" si="8"/>
        <v>493.0601</v>
      </c>
      <c r="H33" s="45">
        <f t="shared" si="9"/>
        <v>3.081625625</v>
      </c>
      <c r="I33" s="18">
        <f t="shared" si="10"/>
        <v>5.081625625</v>
      </c>
    </row>
    <row r="34">
      <c r="A34" s="11" t="s">
        <v>83</v>
      </c>
      <c r="B34" s="43">
        <f t="shared" si="4"/>
        <v>0</v>
      </c>
      <c r="C34" s="43">
        <f t="shared" si="5"/>
        <v>113.7831</v>
      </c>
      <c r="D34" s="43">
        <f t="shared" si="6"/>
        <v>493.0601</v>
      </c>
      <c r="E34" s="43">
        <f t="shared" si="7"/>
        <v>37.9277</v>
      </c>
      <c r="F34" s="44" t="s">
        <v>135</v>
      </c>
      <c r="G34" s="41">
        <f t="shared" si="8"/>
        <v>644.7709</v>
      </c>
      <c r="H34" s="45">
        <f t="shared" si="9"/>
        <v>4.029818125</v>
      </c>
      <c r="I34" s="18">
        <f t="shared" si="10"/>
        <v>6.029818125</v>
      </c>
    </row>
    <row r="35">
      <c r="A35" s="11" t="s">
        <v>84</v>
      </c>
      <c r="B35" s="43">
        <f t="shared" si="4"/>
        <v>18.96385</v>
      </c>
      <c r="C35" s="43">
        <f t="shared" si="5"/>
        <v>113.7831</v>
      </c>
      <c r="D35" s="43">
        <f t="shared" si="6"/>
        <v>616.325125</v>
      </c>
      <c r="E35" s="43">
        <f t="shared" si="7"/>
        <v>56.89155</v>
      </c>
      <c r="F35" s="44" t="s">
        <v>135</v>
      </c>
      <c r="G35" s="41">
        <f t="shared" si="8"/>
        <v>805.963625</v>
      </c>
      <c r="H35" s="45">
        <f t="shared" si="9"/>
        <v>5.037272656</v>
      </c>
      <c r="I35" s="18">
        <f t="shared" si="10"/>
        <v>7.037272656</v>
      </c>
    </row>
    <row r="36">
      <c r="A36" s="11" t="s">
        <v>85</v>
      </c>
      <c r="B36" s="43">
        <f t="shared" si="4"/>
        <v>0</v>
      </c>
      <c r="C36" s="43">
        <f t="shared" si="5"/>
        <v>113.7831</v>
      </c>
      <c r="D36" s="43">
        <f t="shared" si="6"/>
        <v>493.0601</v>
      </c>
      <c r="E36" s="43">
        <f t="shared" si="7"/>
        <v>37.9277</v>
      </c>
      <c r="F36" s="44" t="s">
        <v>135</v>
      </c>
      <c r="G36" s="41">
        <f t="shared" si="8"/>
        <v>644.7709</v>
      </c>
      <c r="H36" s="45">
        <f t="shared" si="9"/>
        <v>4.029818125</v>
      </c>
      <c r="I36" s="18">
        <f t="shared" si="10"/>
        <v>6.029818125</v>
      </c>
    </row>
    <row r="37">
      <c r="A37" s="11" t="s">
        <v>89</v>
      </c>
      <c r="B37" s="43">
        <f t="shared" si="4"/>
        <v>0</v>
      </c>
      <c r="C37" s="43">
        <f t="shared" si="5"/>
        <v>0</v>
      </c>
      <c r="D37" s="43">
        <f t="shared" si="6"/>
        <v>0</v>
      </c>
      <c r="E37" s="43">
        <f t="shared" si="7"/>
        <v>56.89155</v>
      </c>
      <c r="F37" s="44" t="s">
        <v>135</v>
      </c>
      <c r="G37" s="41">
        <f t="shared" si="8"/>
        <v>56.89155</v>
      </c>
      <c r="H37" s="45">
        <f t="shared" si="9"/>
        <v>0.3555721875</v>
      </c>
      <c r="I37" s="18">
        <f t="shared" si="10"/>
        <v>2.355572188</v>
      </c>
    </row>
    <row r="38">
      <c r="A38" s="11" t="s">
        <v>90</v>
      </c>
      <c r="B38" s="43">
        <f t="shared" si="4"/>
        <v>0</v>
      </c>
      <c r="C38" s="43">
        <f t="shared" si="5"/>
        <v>37.9277</v>
      </c>
      <c r="D38" s="43">
        <f t="shared" si="6"/>
        <v>246.53005</v>
      </c>
      <c r="E38" s="43">
        <f t="shared" si="7"/>
        <v>0</v>
      </c>
      <c r="F38" s="44" t="s">
        <v>135</v>
      </c>
      <c r="G38" s="41">
        <f t="shared" si="8"/>
        <v>284.45775</v>
      </c>
      <c r="H38" s="45">
        <f t="shared" si="9"/>
        <v>1.777860938</v>
      </c>
      <c r="I38" s="18">
        <f t="shared" si="10"/>
        <v>3.777860938</v>
      </c>
    </row>
    <row r="41">
      <c r="A41" s="44"/>
      <c r="B41" s="44"/>
      <c r="C41" s="44"/>
      <c r="D41" s="44"/>
      <c r="E41" s="44"/>
      <c r="F41" s="46"/>
      <c r="G41" s="46"/>
    </row>
    <row r="42">
      <c r="A42" s="44"/>
      <c r="B42" s="44"/>
      <c r="C42" s="44"/>
      <c r="D42" s="44"/>
      <c r="E42" s="44"/>
    </row>
    <row r="43">
      <c r="A43" s="11"/>
      <c r="B43" s="47"/>
      <c r="C43" s="48"/>
      <c r="D43" s="49"/>
      <c r="E43" s="49"/>
    </row>
    <row r="44">
      <c r="A44" s="50"/>
      <c r="B44" s="50"/>
      <c r="C44" s="50"/>
      <c r="D44" s="49"/>
      <c r="E44" s="49"/>
    </row>
    <row r="45">
      <c r="B45" s="38"/>
      <c r="C45" s="43"/>
      <c r="D45" s="49"/>
      <c r="E45" s="49"/>
    </row>
    <row r="46">
      <c r="B46" s="38"/>
      <c r="C46" s="43"/>
      <c r="D46" s="49"/>
      <c r="E46" s="49"/>
    </row>
    <row r="47">
      <c r="B47" s="38"/>
      <c r="C47" s="43"/>
      <c r="D47" s="49"/>
      <c r="E47" s="49"/>
    </row>
    <row r="48">
      <c r="B48" s="38"/>
      <c r="C48" s="43"/>
      <c r="D48" s="49"/>
      <c r="E48" s="49"/>
    </row>
    <row r="49">
      <c r="B49" s="38"/>
      <c r="C49" s="43"/>
      <c r="D49" s="49"/>
      <c r="E49" s="49"/>
    </row>
    <row r="50">
      <c r="B50" s="38"/>
      <c r="C50" s="43"/>
    </row>
    <row r="51">
      <c r="B51" s="38"/>
      <c r="C51" s="43"/>
    </row>
  </sheetData>
  <mergeCells count="6">
    <mergeCell ref="A20:E20"/>
    <mergeCell ref="G23:G24"/>
    <mergeCell ref="H23:K23"/>
    <mergeCell ref="A30:E30"/>
    <mergeCell ref="F41:F42"/>
    <mergeCell ref="G41:G42"/>
  </mergeCells>
  <hyperlinks>
    <hyperlink r:id="rId2" ref="A10"/>
    <hyperlink r:id="rId3" location=":~:text=La%20media%20anual%20del%20consumo,es%2090%2C5kWh%2Fm%C2%B2" ref="A11"/>
    <hyperlink r:id="rId4" ref="A12"/>
    <hyperlink r:id="rId5" ref="A13"/>
    <hyperlink r:id="rId6" ref="A14"/>
    <hyperlink r:id="rId7" ref="A15"/>
    <hyperlink r:id="rId8" ref="A16"/>
    <hyperlink r:id="rId9" ref="N19"/>
  </hyperlinks>
  <drawing r:id="rId1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  <col customWidth="1" min="6" max="6" width="15.13"/>
  </cols>
  <sheetData>
    <row r="1">
      <c r="F1" s="15"/>
      <c r="G1" s="15"/>
      <c r="H1" s="15"/>
      <c r="I1" s="51"/>
      <c r="J1" s="15"/>
      <c r="K1" s="15"/>
      <c r="L1" s="15"/>
      <c r="M1" s="15"/>
      <c r="N1" s="15"/>
      <c r="O1" s="15"/>
      <c r="P1" s="51"/>
      <c r="Q1" s="15"/>
      <c r="R1" s="15"/>
      <c r="S1" s="15"/>
      <c r="T1" s="15"/>
    </row>
    <row r="2">
      <c r="B2" s="52" t="s">
        <v>136</v>
      </c>
      <c r="C2" s="53">
        <v>237758.0</v>
      </c>
      <c r="F2" s="54"/>
      <c r="G2" s="54"/>
      <c r="H2" s="54"/>
      <c r="I2" s="54"/>
      <c r="J2" s="54"/>
      <c r="K2" s="54"/>
      <c r="L2" s="14"/>
      <c r="M2" s="14"/>
      <c r="N2" s="55"/>
      <c r="O2" s="55"/>
      <c r="P2" s="55"/>
      <c r="Q2" s="55"/>
      <c r="R2" s="55"/>
      <c r="S2" s="14"/>
      <c r="T2" s="14"/>
    </row>
    <row r="4">
      <c r="B4" s="56" t="s">
        <v>137</v>
      </c>
      <c r="C4" s="57"/>
      <c r="D4" s="57"/>
      <c r="E4" s="57"/>
      <c r="F4" s="58"/>
    </row>
    <row r="6">
      <c r="B6" s="59" t="s">
        <v>138</v>
      </c>
      <c r="C6" s="57"/>
      <c r="D6" s="57"/>
      <c r="E6" s="57"/>
      <c r="F6" s="58"/>
    </row>
    <row r="7">
      <c r="B7" s="60" t="s">
        <v>139</v>
      </c>
      <c r="C7" s="61"/>
      <c r="D7" s="61"/>
      <c r="E7" s="61"/>
      <c r="F7" s="62">
        <v>2200.0</v>
      </c>
      <c r="H7" s="63" t="s">
        <v>140</v>
      </c>
      <c r="I7" s="64" t="s">
        <v>141</v>
      </c>
      <c r="J7" s="58"/>
      <c r="K7" s="65" t="s">
        <v>142</v>
      </c>
    </row>
    <row r="8">
      <c r="B8" s="66" t="s">
        <v>143</v>
      </c>
      <c r="F8" s="67">
        <v>800.0</v>
      </c>
      <c r="H8" s="68">
        <v>1500.0</v>
      </c>
      <c r="I8" s="69">
        <f t="shared" ref="I8:I21" si="1">(0.15*H8)*14.99</f>
        <v>3372.75</v>
      </c>
      <c r="J8" s="70"/>
      <c r="K8" s="71">
        <f>I8-F19</f>
        <v>-3492.25</v>
      </c>
    </row>
    <row r="9">
      <c r="B9" s="66" t="s">
        <v>144</v>
      </c>
      <c r="F9" s="67">
        <v>1000.0</v>
      </c>
      <c r="H9" s="68">
        <v>3000.0</v>
      </c>
      <c r="I9" s="72">
        <f t="shared" si="1"/>
        <v>6745.5</v>
      </c>
      <c r="J9" s="73"/>
      <c r="K9" s="71">
        <f>I9-F19</f>
        <v>-119.5</v>
      </c>
    </row>
    <row r="10">
      <c r="B10" s="66" t="s">
        <v>145</v>
      </c>
      <c r="F10" s="67">
        <v>250.0</v>
      </c>
      <c r="H10" s="68">
        <v>4500.0</v>
      </c>
      <c r="I10" s="72">
        <f t="shared" si="1"/>
        <v>10118.25</v>
      </c>
      <c r="J10" s="73"/>
      <c r="K10" s="71">
        <f>I10-F19</f>
        <v>3253.25</v>
      </c>
    </row>
    <row r="11">
      <c r="B11" s="66" t="s">
        <v>146</v>
      </c>
      <c r="F11" s="67">
        <v>200.0</v>
      </c>
      <c r="H11" s="68">
        <v>6000.0</v>
      </c>
      <c r="I11" s="72">
        <f t="shared" si="1"/>
        <v>13491</v>
      </c>
      <c r="J11" s="73"/>
      <c r="K11" s="71">
        <f>I11-F19</f>
        <v>6626</v>
      </c>
      <c r="M11" s="43"/>
    </row>
    <row r="12">
      <c r="B12" s="66" t="s">
        <v>147</v>
      </c>
      <c r="F12" s="67">
        <v>350.0</v>
      </c>
      <c r="H12" s="68">
        <v>10000.0</v>
      </c>
      <c r="I12" s="72">
        <f t="shared" si="1"/>
        <v>22485</v>
      </c>
      <c r="J12" s="73"/>
      <c r="K12" s="71">
        <f>I12-F19</f>
        <v>15620</v>
      </c>
    </row>
    <row r="13">
      <c r="B13" s="66" t="s">
        <v>148</v>
      </c>
      <c r="E13" s="73"/>
      <c r="F13" s="67">
        <v>70.0</v>
      </c>
      <c r="H13" s="68">
        <v>10000.0</v>
      </c>
      <c r="I13" s="72">
        <f t="shared" si="1"/>
        <v>22485</v>
      </c>
      <c r="J13" s="73"/>
      <c r="K13" s="71">
        <f>I13-F36</f>
        <v>8620</v>
      </c>
    </row>
    <row r="14">
      <c r="B14" s="66" t="s">
        <v>149</v>
      </c>
      <c r="F14" s="67">
        <v>150.0</v>
      </c>
      <c r="H14" s="68">
        <v>12500.0</v>
      </c>
      <c r="I14" s="72">
        <f t="shared" si="1"/>
        <v>28106.25</v>
      </c>
      <c r="J14" s="73"/>
      <c r="K14" s="71">
        <f>I14-F36</f>
        <v>14241.25</v>
      </c>
    </row>
    <row r="15">
      <c r="B15" s="66" t="s">
        <v>150</v>
      </c>
      <c r="F15" s="67">
        <v>1220.0</v>
      </c>
      <c r="H15" s="68">
        <v>15000.0</v>
      </c>
      <c r="I15" s="72">
        <f t="shared" si="1"/>
        <v>33727.5</v>
      </c>
      <c r="J15" s="73"/>
      <c r="K15" s="71">
        <f>I15-F53</f>
        <v>26412.5</v>
      </c>
    </row>
    <row r="16">
      <c r="B16" s="74" t="s">
        <v>151</v>
      </c>
      <c r="F16" s="67">
        <v>125.0</v>
      </c>
      <c r="H16" s="68">
        <v>16000.0</v>
      </c>
      <c r="I16" s="72">
        <f t="shared" si="1"/>
        <v>35976</v>
      </c>
      <c r="J16" s="73"/>
      <c r="K16" s="71">
        <f>I16-F53</f>
        <v>28661</v>
      </c>
    </row>
    <row r="17">
      <c r="B17" s="75" t="s">
        <v>152</v>
      </c>
      <c r="C17" s="76"/>
      <c r="D17" s="76"/>
      <c r="E17" s="76"/>
      <c r="F17" s="77">
        <v>500.0</v>
      </c>
      <c r="H17" s="68">
        <v>16500.0</v>
      </c>
      <c r="I17" s="72">
        <f t="shared" si="1"/>
        <v>37100.25</v>
      </c>
      <c r="J17" s="73"/>
      <c r="K17" s="71">
        <f>I17-F53</f>
        <v>29785.25</v>
      </c>
    </row>
    <row r="18">
      <c r="H18" s="68">
        <v>16500.0</v>
      </c>
      <c r="I18" s="72">
        <f t="shared" si="1"/>
        <v>37100.25</v>
      </c>
      <c r="J18" s="73"/>
      <c r="K18" s="71">
        <f>I18-F53</f>
        <v>29785.25</v>
      </c>
    </row>
    <row r="19">
      <c r="B19" s="78" t="s">
        <v>142</v>
      </c>
      <c r="C19" s="57"/>
      <c r="D19" s="57"/>
      <c r="E19" s="57"/>
      <c r="F19" s="79">
        <f>F7+F8+F9+F10+F11+F12+F13+F15+F14+F16+F17</f>
        <v>6865</v>
      </c>
      <c r="H19" s="68">
        <v>17000.0</v>
      </c>
      <c r="I19" s="72">
        <f t="shared" si="1"/>
        <v>38224.5</v>
      </c>
      <c r="J19" s="73"/>
      <c r="K19" s="71">
        <f>I19-F53</f>
        <v>30909.5</v>
      </c>
    </row>
    <row r="20">
      <c r="H20" s="68">
        <v>17000.0</v>
      </c>
      <c r="I20" s="72">
        <f t="shared" si="1"/>
        <v>38224.5</v>
      </c>
      <c r="J20" s="73"/>
      <c r="K20" s="71">
        <f>I20-F53</f>
        <v>30909.5</v>
      </c>
    </row>
    <row r="21">
      <c r="B21" s="56" t="s">
        <v>153</v>
      </c>
      <c r="C21" s="57"/>
      <c r="D21" s="57"/>
      <c r="E21" s="57"/>
      <c r="F21" s="58"/>
      <c r="H21" s="68">
        <v>17000.0</v>
      </c>
      <c r="I21" s="72">
        <f t="shared" si="1"/>
        <v>38224.5</v>
      </c>
      <c r="J21" s="73"/>
      <c r="K21" s="71">
        <f>I21-F53</f>
        <v>30909.5</v>
      </c>
    </row>
    <row r="22">
      <c r="H22" s="80"/>
      <c r="I22" s="81"/>
      <c r="J22" s="61"/>
      <c r="K22" s="82"/>
    </row>
    <row r="23">
      <c r="B23" s="59" t="s">
        <v>138</v>
      </c>
      <c r="C23" s="57"/>
      <c r="D23" s="57"/>
      <c r="E23" s="57"/>
      <c r="F23" s="58"/>
    </row>
    <row r="24">
      <c r="B24" s="60" t="s">
        <v>154</v>
      </c>
      <c r="C24" s="61"/>
      <c r="D24" s="61"/>
      <c r="E24" s="61"/>
      <c r="F24" s="62">
        <v>9000.0</v>
      </c>
      <c r="H24" s="83" t="s">
        <v>155</v>
      </c>
      <c r="I24" s="57"/>
      <c r="J24" s="57"/>
      <c r="K24" s="79">
        <f>K8+K9+K10+K11+K12+K13+K14+K15+K16+K17+K18+K19+K20+K21</f>
        <v>252121.25</v>
      </c>
    </row>
    <row r="25">
      <c r="B25" s="66" t="s">
        <v>143</v>
      </c>
      <c r="F25" s="67">
        <v>800.0</v>
      </c>
    </row>
    <row r="26">
      <c r="B26" s="66" t="s">
        <v>144</v>
      </c>
      <c r="F26" s="67">
        <v>1000.0</v>
      </c>
      <c r="H26" s="84" t="s">
        <v>156</v>
      </c>
      <c r="I26" s="57"/>
      <c r="J26" s="57"/>
      <c r="K26" s="85">
        <f>K24-C2</f>
        <v>14363.25</v>
      </c>
    </row>
    <row r="27">
      <c r="B27" s="66" t="s">
        <v>145</v>
      </c>
      <c r="F27" s="67">
        <v>250.0</v>
      </c>
    </row>
    <row r="28">
      <c r="B28" s="66" t="s">
        <v>146</v>
      </c>
      <c r="F28" s="67">
        <v>200.0</v>
      </c>
    </row>
    <row r="29">
      <c r="B29" s="66" t="s">
        <v>147</v>
      </c>
      <c r="F29" s="67">
        <v>350.0</v>
      </c>
    </row>
    <row r="30">
      <c r="B30" s="66" t="s">
        <v>148</v>
      </c>
      <c r="E30" s="73"/>
      <c r="F30" s="67">
        <v>70.0</v>
      </c>
    </row>
    <row r="31">
      <c r="B31" s="66" t="s">
        <v>149</v>
      </c>
      <c r="F31" s="67">
        <v>250.0</v>
      </c>
    </row>
    <row r="32">
      <c r="B32" s="66" t="s">
        <v>150</v>
      </c>
      <c r="F32" s="67">
        <v>1220.0</v>
      </c>
    </row>
    <row r="33">
      <c r="B33" s="74" t="s">
        <v>151</v>
      </c>
      <c r="F33" s="67">
        <v>125.0</v>
      </c>
    </row>
    <row r="34">
      <c r="B34" s="75" t="s">
        <v>152</v>
      </c>
      <c r="C34" s="76"/>
      <c r="D34" s="76"/>
      <c r="E34" s="76"/>
      <c r="F34" s="77">
        <v>600.0</v>
      </c>
    </row>
    <row r="36">
      <c r="B36" s="78" t="s">
        <v>142</v>
      </c>
      <c r="C36" s="57"/>
      <c r="D36" s="57"/>
      <c r="E36" s="57"/>
      <c r="F36" s="79">
        <f>F24+F25+F26+F27+F28+F29+F30+F32+F31+F33+F34</f>
        <v>13865</v>
      </c>
    </row>
    <row r="38">
      <c r="B38" s="56" t="s">
        <v>157</v>
      </c>
      <c r="C38" s="57"/>
      <c r="D38" s="57"/>
      <c r="E38" s="57"/>
      <c r="F38" s="58"/>
    </row>
    <row r="40">
      <c r="B40" s="59" t="s">
        <v>138</v>
      </c>
      <c r="C40" s="57"/>
      <c r="D40" s="57"/>
      <c r="E40" s="57"/>
      <c r="F40" s="58"/>
    </row>
    <row r="41">
      <c r="B41" s="60" t="s">
        <v>139</v>
      </c>
      <c r="C41" s="61"/>
      <c r="D41" s="61"/>
      <c r="E41" s="61"/>
      <c r="F41" s="62">
        <v>2200.0</v>
      </c>
    </row>
    <row r="42">
      <c r="B42" s="66" t="s">
        <v>143</v>
      </c>
      <c r="F42" s="67">
        <v>800.0</v>
      </c>
    </row>
    <row r="43">
      <c r="B43" s="66" t="s">
        <v>144</v>
      </c>
      <c r="F43" s="67">
        <v>1000.0</v>
      </c>
    </row>
    <row r="44">
      <c r="B44" s="66" t="s">
        <v>145</v>
      </c>
      <c r="F44" s="67">
        <v>250.0</v>
      </c>
    </row>
    <row r="45">
      <c r="B45" s="66" t="s">
        <v>146</v>
      </c>
      <c r="F45" s="67">
        <v>200.0</v>
      </c>
    </row>
    <row r="46">
      <c r="B46" s="66" t="s">
        <v>147</v>
      </c>
      <c r="F46" s="67">
        <v>350.0</v>
      </c>
    </row>
    <row r="47">
      <c r="B47" s="66" t="s">
        <v>148</v>
      </c>
      <c r="E47" s="73"/>
      <c r="F47" s="67">
        <v>70.0</v>
      </c>
    </row>
    <row r="48">
      <c r="B48" s="66" t="s">
        <v>149</v>
      </c>
      <c r="F48" s="67">
        <v>350.0</v>
      </c>
    </row>
    <row r="49">
      <c r="B49" s="66" t="s">
        <v>150</v>
      </c>
      <c r="F49" s="67">
        <v>1220.0</v>
      </c>
    </row>
    <row r="50">
      <c r="B50" s="74" t="s">
        <v>151</v>
      </c>
      <c r="F50" s="67">
        <v>125.0</v>
      </c>
    </row>
    <row r="51">
      <c r="B51" s="75" t="s">
        <v>152</v>
      </c>
      <c r="C51" s="76"/>
      <c r="D51" s="76"/>
      <c r="E51" s="76"/>
      <c r="F51" s="77">
        <v>750.0</v>
      </c>
    </row>
    <row r="53">
      <c r="B53" s="78" t="s">
        <v>142</v>
      </c>
      <c r="C53" s="57"/>
      <c r="D53" s="57"/>
      <c r="E53" s="57"/>
      <c r="F53" s="79">
        <f>F41+F42+F43+F44+F45+F46+F47+F49+F48+F50+F51</f>
        <v>7315</v>
      </c>
    </row>
  </sheetData>
  <mergeCells count="54">
    <mergeCell ref="B4:F4"/>
    <mergeCell ref="B6:F6"/>
    <mergeCell ref="B7:E7"/>
    <mergeCell ref="I7:J7"/>
    <mergeCell ref="B8:E8"/>
    <mergeCell ref="I8:J8"/>
    <mergeCell ref="I9:J9"/>
    <mergeCell ref="I17:J17"/>
    <mergeCell ref="I18:J18"/>
    <mergeCell ref="I19:J19"/>
    <mergeCell ref="I20:J20"/>
    <mergeCell ref="I21:J21"/>
    <mergeCell ref="I22:J22"/>
    <mergeCell ref="H24:J24"/>
    <mergeCell ref="H26:J26"/>
    <mergeCell ref="I10:J10"/>
    <mergeCell ref="I11:J11"/>
    <mergeCell ref="I12:J12"/>
    <mergeCell ref="I13:J13"/>
    <mergeCell ref="I14:J14"/>
    <mergeCell ref="I15:J15"/>
    <mergeCell ref="I16:J16"/>
    <mergeCell ref="B9:E9"/>
    <mergeCell ref="B10:E10"/>
    <mergeCell ref="B11:E11"/>
    <mergeCell ref="B12:E12"/>
    <mergeCell ref="B13:E13"/>
    <mergeCell ref="B14:E14"/>
    <mergeCell ref="B15:E15"/>
    <mergeCell ref="B19:E19"/>
    <mergeCell ref="B21:F21"/>
    <mergeCell ref="B23:F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6:E36"/>
    <mergeCell ref="B38:F38"/>
    <mergeCell ref="B47:E47"/>
    <mergeCell ref="B48:E48"/>
    <mergeCell ref="B49:E49"/>
    <mergeCell ref="B53:E53"/>
    <mergeCell ref="B40:F40"/>
    <mergeCell ref="B41:E41"/>
    <mergeCell ref="B42:E42"/>
    <mergeCell ref="B43:E43"/>
    <mergeCell ref="B44:E44"/>
    <mergeCell ref="B45:E45"/>
    <mergeCell ref="B46:E46"/>
  </mergeCells>
  <drawing r:id="rId1"/>
</worksheet>
</file>