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овая папка\Applana\Documents\"/>
    </mc:Choice>
  </mc:AlternateContent>
  <bookViews>
    <workbookView xWindow="0" yWindow="0" windowWidth="28800" windowHeight="12330"/>
  </bookViews>
  <sheets>
    <sheet name="Автоматизированный_расчет" sheetId="1" r:id="rId1"/>
    <sheet name="Ступени поиска максимума" sheetId="3" r:id="rId2"/>
    <sheet name="Шаблоны_соотвествие_профилю" sheetId="2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V32" i="3" l="1"/>
  <c r="S32" i="3"/>
  <c r="K19" i="3" l="1"/>
  <c r="K40" i="3"/>
  <c r="N40" i="3"/>
  <c r="N19" i="3"/>
  <c r="E47" i="3"/>
  <c r="E31" i="3"/>
  <c r="E14" i="3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H32" i="2"/>
  <c r="G32" i="2"/>
  <c r="I32" i="2" s="1"/>
  <c r="I31" i="2"/>
  <c r="H31" i="2"/>
  <c r="G31" i="2"/>
  <c r="H30" i="2"/>
  <c r="G30" i="2"/>
  <c r="I30" i="2" s="1"/>
  <c r="H29" i="2"/>
  <c r="I29" i="2" s="1"/>
  <c r="G29" i="2"/>
  <c r="H28" i="2"/>
  <c r="G28" i="2"/>
  <c r="H27" i="2"/>
  <c r="G27" i="2"/>
  <c r="I27" i="2" s="1"/>
  <c r="H26" i="2"/>
  <c r="G26" i="2"/>
  <c r="I26" i="2" s="1"/>
  <c r="H18" i="2"/>
  <c r="I18" i="2" s="1"/>
  <c r="H17" i="2"/>
  <c r="I17" i="2" s="1"/>
  <c r="H16" i="2"/>
  <c r="I16" i="2" s="1"/>
  <c r="I15" i="2"/>
  <c r="H15" i="2"/>
  <c r="H14" i="2"/>
  <c r="I14" i="2" s="1"/>
  <c r="H13" i="2"/>
  <c r="I13" i="2" s="1"/>
  <c r="H12" i="2"/>
  <c r="I12" i="2" s="1"/>
  <c r="B62" i="1"/>
  <c r="B61" i="1"/>
  <c r="B60" i="1"/>
  <c r="B59" i="1"/>
  <c r="B58" i="1"/>
  <c r="B57" i="1"/>
  <c r="B56" i="1"/>
  <c r="B55" i="1"/>
  <c r="B54" i="1"/>
  <c r="B53" i="1"/>
  <c r="B52" i="1"/>
  <c r="H47" i="1"/>
  <c r="B46" i="1"/>
  <c r="B45" i="1"/>
  <c r="B44" i="1"/>
  <c r="B43" i="1"/>
  <c r="B42" i="1"/>
  <c r="B41" i="1"/>
  <c r="B40" i="1"/>
  <c r="B39" i="1"/>
  <c r="B38" i="1"/>
  <c r="B37" i="1"/>
  <c r="B36" i="1"/>
  <c r="G29" i="1"/>
  <c r="E29" i="1"/>
  <c r="F29" i="1" s="1"/>
  <c r="D29" i="1"/>
  <c r="G28" i="1"/>
  <c r="E28" i="1"/>
  <c r="F28" i="1" s="1"/>
  <c r="D28" i="1"/>
  <c r="G27" i="1"/>
  <c r="E27" i="1"/>
  <c r="F27" i="1" s="1"/>
  <c r="D27" i="1"/>
  <c r="G26" i="1"/>
  <c r="E26" i="1"/>
  <c r="F26" i="1" s="1"/>
  <c r="D26" i="1"/>
  <c r="G25" i="1"/>
  <c r="E25" i="1"/>
  <c r="F25" i="1" s="1"/>
  <c r="D25" i="1"/>
  <c r="G24" i="1"/>
  <c r="E24" i="1"/>
  <c r="F24" i="1" s="1"/>
  <c r="D24" i="1"/>
  <c r="G23" i="1"/>
  <c r="E23" i="1"/>
  <c r="F23" i="1" s="1"/>
  <c r="D23" i="1"/>
  <c r="G22" i="1"/>
  <c r="E22" i="1"/>
  <c r="F22" i="1" s="1"/>
  <c r="H22" i="1" s="1"/>
  <c r="D22" i="1"/>
  <c r="G21" i="1"/>
  <c r="E21" i="1"/>
  <c r="F21" i="1" s="1"/>
  <c r="D21" i="1"/>
  <c r="G20" i="1"/>
  <c r="E20" i="1"/>
  <c r="F20" i="1" s="1"/>
  <c r="D20" i="1"/>
  <c r="G19" i="1"/>
  <c r="E19" i="1"/>
  <c r="F19" i="1" s="1"/>
  <c r="D19" i="1"/>
  <c r="G18" i="1"/>
  <c r="F18" i="1"/>
  <c r="H18" i="1" s="1"/>
  <c r="E18" i="1"/>
  <c r="D18" i="1"/>
  <c r="G17" i="1"/>
  <c r="E17" i="1"/>
  <c r="F17" i="1" s="1"/>
  <c r="D17" i="1"/>
  <c r="G16" i="1"/>
  <c r="E16" i="1"/>
  <c r="F16" i="1" s="1"/>
  <c r="D16" i="1"/>
  <c r="G15" i="1"/>
  <c r="E15" i="1"/>
  <c r="F15" i="1" s="1"/>
  <c r="D15" i="1"/>
  <c r="G14" i="1"/>
  <c r="E14" i="1"/>
  <c r="F14" i="1" s="1"/>
  <c r="D14" i="1"/>
  <c r="R13" i="1"/>
  <c r="G13" i="1"/>
  <c r="E13" i="1"/>
  <c r="F13" i="1" s="1"/>
  <c r="D13" i="1"/>
  <c r="G12" i="1"/>
  <c r="E12" i="1"/>
  <c r="F12" i="1" s="1"/>
  <c r="D12" i="1"/>
  <c r="G11" i="1"/>
  <c r="E11" i="1"/>
  <c r="F11" i="1" s="1"/>
  <c r="D11" i="1"/>
  <c r="G10" i="1"/>
  <c r="E10" i="1"/>
  <c r="F10" i="1" s="1"/>
  <c r="D10" i="1"/>
  <c r="G9" i="1"/>
  <c r="E9" i="1"/>
  <c r="F9" i="1" s="1"/>
  <c r="D9" i="1"/>
  <c r="G8" i="1"/>
  <c r="E8" i="1"/>
  <c r="F8" i="1" s="1"/>
  <c r="H8" i="1" s="1"/>
  <c r="D8" i="1"/>
  <c r="S7" i="1"/>
  <c r="U7" i="1" s="1"/>
  <c r="G7" i="1"/>
  <c r="E7" i="1"/>
  <c r="F7" i="1" s="1"/>
  <c r="D7" i="1"/>
  <c r="S6" i="1"/>
  <c r="U6" i="1" s="1"/>
  <c r="G6" i="1"/>
  <c r="E6" i="1"/>
  <c r="F6" i="1" s="1"/>
  <c r="D6" i="1"/>
  <c r="H6" i="1" s="1"/>
  <c r="S5" i="1"/>
  <c r="U5" i="1" s="1"/>
  <c r="P5" i="1"/>
  <c r="G5" i="1"/>
  <c r="E5" i="1"/>
  <c r="F5" i="1" s="1"/>
  <c r="D5" i="1"/>
  <c r="S4" i="1"/>
  <c r="U4" i="1" s="1"/>
  <c r="P4" i="1"/>
  <c r="G4" i="1"/>
  <c r="E4" i="1"/>
  <c r="F4" i="1" s="1"/>
  <c r="D4" i="1"/>
  <c r="S3" i="1"/>
  <c r="P3" i="1"/>
  <c r="G3" i="1"/>
  <c r="E3" i="1"/>
  <c r="F3" i="1" s="1"/>
  <c r="D3" i="1"/>
  <c r="W2" i="1"/>
  <c r="V6" i="1" s="1"/>
  <c r="S2" i="1"/>
  <c r="U2" i="1" s="1"/>
  <c r="P2" i="1"/>
  <c r="G2" i="1"/>
  <c r="E2" i="1"/>
  <c r="F2" i="1" s="1"/>
  <c r="D2" i="1"/>
  <c r="C61" i="1"/>
  <c r="C41" i="1"/>
  <c r="C42" i="1"/>
  <c r="C57" i="1"/>
  <c r="C43" i="1"/>
  <c r="C40" i="1"/>
  <c r="C59" i="1"/>
  <c r="C36" i="1"/>
  <c r="C55" i="1"/>
  <c r="C62" i="1"/>
  <c r="C60" i="1"/>
  <c r="C38" i="1"/>
  <c r="C45" i="1"/>
  <c r="C58" i="1"/>
  <c r="C52" i="1"/>
  <c r="C46" i="1"/>
  <c r="C56" i="1"/>
  <c r="C39" i="1"/>
  <c r="C37" i="1"/>
  <c r="C44" i="1"/>
  <c r="C54" i="1"/>
  <c r="C53" i="1"/>
  <c r="H9" i="1" l="1"/>
  <c r="H28" i="1"/>
  <c r="H2" i="1"/>
  <c r="H4" i="1"/>
  <c r="H5" i="1"/>
  <c r="H25" i="1"/>
  <c r="H3" i="1"/>
  <c r="H11" i="1"/>
  <c r="H16" i="1"/>
  <c r="H20" i="1"/>
  <c r="H24" i="1"/>
  <c r="V5" i="1"/>
  <c r="H7" i="1"/>
  <c r="H10" i="1"/>
  <c r="H15" i="1"/>
  <c r="H27" i="1"/>
  <c r="H17" i="1"/>
  <c r="H29" i="1"/>
  <c r="I28" i="2"/>
  <c r="V7" i="1"/>
  <c r="H21" i="1"/>
  <c r="V2" i="1"/>
  <c r="V4" i="1"/>
  <c r="H13" i="1"/>
  <c r="H23" i="1"/>
  <c r="G44" i="1"/>
  <c r="I44" i="1" s="1"/>
  <c r="G37" i="1"/>
  <c r="I37" i="1" s="1"/>
  <c r="G43" i="1"/>
  <c r="I43" i="1" s="1"/>
  <c r="G36" i="1"/>
  <c r="I36" i="1" s="1"/>
  <c r="C47" i="1"/>
  <c r="G47" i="1" s="1"/>
  <c r="I47" i="1" s="1"/>
  <c r="G42" i="1"/>
  <c r="I42" i="1" s="1"/>
  <c r="G39" i="1"/>
  <c r="I39" i="1" s="1"/>
  <c r="D39" i="1"/>
  <c r="D45" i="1"/>
  <c r="G45" i="1"/>
  <c r="I45" i="1" s="1"/>
  <c r="D62" i="1"/>
  <c r="G41" i="1"/>
  <c r="I41" i="1" s="1"/>
  <c r="C63" i="1"/>
  <c r="D56" i="1"/>
  <c r="G38" i="1"/>
  <c r="I38" i="1" s="1"/>
  <c r="G40" i="1"/>
  <c r="I40" i="1" s="1"/>
  <c r="D40" i="1"/>
  <c r="D46" i="1"/>
  <c r="G46" i="1"/>
  <c r="I46" i="1" s="1"/>
  <c r="D57" i="1"/>
  <c r="D36" i="1"/>
  <c r="D42" i="1"/>
  <c r="D52" i="1"/>
  <c r="D58" i="1"/>
  <c r="D37" i="1"/>
  <c r="D53" i="1"/>
  <c r="D44" i="1"/>
  <c r="D55" i="1"/>
  <c r="D61" i="1"/>
  <c r="D43" i="1"/>
  <c r="D59" i="1"/>
  <c r="D38" i="1"/>
  <c r="D54" i="1"/>
  <c r="D60" i="1"/>
  <c r="H12" i="1"/>
  <c r="H14" i="1"/>
  <c r="H19" i="1"/>
  <c r="H26" i="1"/>
  <c r="D41" i="1"/>
  <c r="B47" i="1"/>
  <c r="B63" i="1"/>
  <c r="D63" i="1" l="1"/>
  <c r="D47" i="1"/>
</calcChain>
</file>

<file path=xl/comments1.xml><?xml version="1.0" encoding="utf-8"?>
<comments xmlns="http://schemas.openxmlformats.org/spreadsheetml/2006/main">
  <authors>
    <author/>
  </authors>
  <commentList>
    <comment ref="N2" authorId="0" shapeId="0">
      <text>
        <r>
          <rPr>
            <b/>
            <sz val="10"/>
            <color rgb="FF000000"/>
            <rFont val="Arial"/>
            <family val="2"/>
            <charset val="204"/>
          </rPr>
          <t>Microsoft Office User:</t>
        </r>
        <r>
          <rPr>
            <b/>
            <sz val="10"/>
            <color rgb="FF000000"/>
            <rFont val="Arial"/>
            <family val="2"/>
            <charset val="204"/>
          </rPr>
          <t xml:space="preserve">
</t>
        </r>
        <r>
          <rPr>
            <sz val="10"/>
            <color rgb="FF000000"/>
            <rFont val="Arial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Arial"/>
            <family val="2"/>
            <charset val="204"/>
          </rPr>
          <t>Microsoft Office User:</t>
        </r>
        <r>
          <rPr>
            <b/>
            <sz val="10"/>
            <color rgb="FF000000"/>
            <rFont val="Arial"/>
            <family val="2"/>
            <charset val="204"/>
          </rPr>
          <t xml:space="preserve">
</t>
        </r>
        <r>
          <rPr>
            <sz val="10"/>
            <color rgb="FF000000"/>
            <rFont val="Arial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Arial"/>
            <family val="2"/>
            <charset val="204"/>
          </rPr>
          <t>Microsoft Office User:</t>
        </r>
        <r>
          <rPr>
            <b/>
            <sz val="10"/>
            <color rgb="FF000000"/>
            <rFont val="Arial"/>
            <family val="2"/>
            <charset val="204"/>
          </rPr>
          <t xml:space="preserve">
</t>
        </r>
        <r>
          <rPr>
            <sz val="10"/>
            <color rgb="FF000000"/>
            <rFont val="Arial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Arial"/>
            <family val="2"/>
            <charset val="204"/>
          </rPr>
          <t>Microsoft Office User:</t>
        </r>
        <r>
          <rPr>
            <b/>
            <sz val="10"/>
            <color rgb="FF000000"/>
            <rFont val="Arial"/>
            <family val="2"/>
            <charset val="204"/>
          </rPr>
          <t xml:space="preserve">
</t>
        </r>
        <r>
          <rPr>
            <sz val="10"/>
            <color rgb="FF000000"/>
            <rFont val="Arial"/>
            <family val="2"/>
            <charset val="204"/>
          </rPr>
          <t>Pacing не должен быть меньше чем Duration + think time (столбец Q).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Arial"/>
            <family val="2"/>
            <charset val="204"/>
          </rPr>
          <t>Microsoft Office User:</t>
        </r>
        <r>
          <rPr>
            <b/>
            <sz val="10"/>
            <color rgb="FF000000"/>
            <rFont val="Arial"/>
            <family val="2"/>
            <charset val="204"/>
          </rPr>
          <t xml:space="preserve">
</t>
        </r>
        <r>
          <rPr>
            <sz val="10"/>
            <color rgb="FF000000"/>
            <rFont val="Arial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<sst xmlns="http://schemas.openxmlformats.org/spreadsheetml/2006/main" count="347" uniqueCount="91">
  <si>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</si>
  <si>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</si>
  <si>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</si>
  <si>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</si>
  <si>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</si>
  <si>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</si>
  <si>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</si>
  <si>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</si>
  <si>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</si>
  <si>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</si>
  <si>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</si>
  <si>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</si>
  <si>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</si>
  <si>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</si>
  <si>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</si>
  <si>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</si>
  <si>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</si>
  <si>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</si>
  <si>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</si>
  <si>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1_Login</t>
  </si>
  <si>
    <t>Main_page</t>
  </si>
  <si>
    <t>login</t>
  </si>
  <si>
    <t>choose_ticket</t>
  </si>
  <si>
    <t>2_Looking_For_Ticket</t>
  </si>
  <si>
    <t>Itinerary</t>
  </si>
  <si>
    <t>3_Buying_ticket</t>
  </si>
  <si>
    <t>sign_off</t>
  </si>
  <si>
    <t>4_Delete_Ticket</t>
  </si>
  <si>
    <t>ChooseTicketForDelete</t>
  </si>
  <si>
    <t>5_Sign_Up</t>
  </si>
  <si>
    <t>continue_button</t>
  </si>
  <si>
    <t>flights</t>
  </si>
  <si>
    <t>find_flight</t>
  </si>
  <si>
    <t>filling_form</t>
  </si>
  <si>
    <t>payment_details</t>
  </si>
  <si>
    <t>Интенсивность по статистике запросов / 20 мин.</t>
  </si>
  <si>
    <t>(пусто)</t>
  </si>
  <si>
    <t>Общий итог</t>
  </si>
  <si>
    <t>Длительность</t>
  </si>
  <si>
    <t>,</t>
  </si>
  <si>
    <t>Отладочный тест</t>
  </si>
  <si>
    <t>Статистика</t>
  </si>
  <si>
    <t>Расчетная интенсивность запросов / 20 мин</t>
  </si>
  <si>
    <t>% Соотвествия расчетанной интенсивности статистики</t>
  </si>
  <si>
    <t>Фактическая интенсивность в тесте</t>
  </si>
  <si>
    <t>% Отклонение от Профиля</t>
  </si>
  <si>
    <t>Интенсивность по статистике запросов / 1 час</t>
  </si>
  <si>
    <t>Расчетная интенсивность запросов / 1 час</t>
  </si>
  <si>
    <t>Профиль для 5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</si>
  <si>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</si>
  <si>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</si>
  <si>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</si>
  <si>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</si>
  <si>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</si>
  <si>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Вход в систему</t>
  </si>
  <si>
    <t>Заполнение полей для поиска билета</t>
  </si>
  <si>
    <t>fing_flight</t>
  </si>
  <si>
    <t>Выбор рейса из найденных</t>
  </si>
  <si>
    <t>select_ticket</t>
  </si>
  <si>
    <t>Оплата билета</t>
  </si>
  <si>
    <t>Просмотр квитанции</t>
  </si>
  <si>
    <t>Check_ticket</t>
  </si>
  <si>
    <t>Отмена бронирования билета</t>
  </si>
  <si>
    <t>Cancel_reservation</t>
  </si>
  <si>
    <t>Выход из системы</t>
  </si>
  <si>
    <t>logout</t>
  </si>
  <si>
    <t>Поиск максимума 3 ступень</t>
  </si>
  <si>
    <t>Подтверждение максимума</t>
  </si>
  <si>
    <t>Transaction Name</t>
  </si>
  <si>
    <t>Pass</t>
  </si>
  <si>
    <t>Fail</t>
  </si>
  <si>
    <t>Stop</t>
  </si>
  <si>
    <t>1 315,</t>
  </si>
  <si>
    <t>1 970,</t>
  </si>
  <si>
    <t>1 675,</t>
  </si>
  <si>
    <t>1 Ступень</t>
  </si>
  <si>
    <t>Minimum</t>
  </si>
  <si>
    <t>Average</t>
  </si>
  <si>
    <t>Maximum</t>
  </si>
  <si>
    <t>2 Ступень</t>
  </si>
  <si>
    <t>3 Ступень</t>
  </si>
  <si>
    <t>4 Ступень</t>
  </si>
  <si>
    <t>5 Ступень</t>
  </si>
  <si>
    <t>Запросов в час</t>
  </si>
  <si>
    <t>UC_01_logining</t>
  </si>
  <si>
    <t>UC_02_looking_for_ticket</t>
  </si>
  <si>
    <t>UC_03_Buy_ticket</t>
  </si>
  <si>
    <t>UC_04_Delete_ticket</t>
  </si>
  <si>
    <t>UC_05_Sign_up</t>
  </si>
  <si>
    <t>Операций в час</t>
  </si>
  <si>
    <t>Подтверждение максимальной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</si>
</sst>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419]General"/>
    <numFmt numFmtId="165" formatCode="0.0000"/>
    <numFmt numFmtId="166" formatCode="[$-419]0"/>
    <numFmt numFmtId="167" formatCode="[$-419]0%"/>
    <numFmt numFmtId="168" formatCode="[$-419]0.00%"/>
    <numFmt numFmtId="169" formatCode="[$-419]0.00"/>
    <numFmt numFmtId="170" formatCode="#,##0.00&quot; &quot;[$руб.-419];[Red]&quot;-&quot;#,##0.00&quot; &quot;[$руб.-419]"/>
  </numFmts>
  <fonts count="54" x14ac:knownFonts="1"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9C0006"/>
      <name val="Calibri"/>
      <family val="2"/>
      <charset val="204"/>
    </font>
    <font>
      <b/>
      <sz val="11"/>
      <color rgb="FFFA7D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11"/>
      <color rgb="FF7F7F7F"/>
      <name val="Calibri"/>
      <family val="2"/>
      <charset val="204"/>
    </font>
    <font>
      <sz val="11"/>
      <color rgb="FF006100"/>
      <name val="Calibri"/>
      <family val="2"/>
      <charset val="204"/>
    </font>
    <font>
      <b/>
      <sz val="15"/>
      <color rgb="FF44546A"/>
      <name val="Calibri"/>
      <family val="2"/>
      <charset val="204"/>
    </font>
    <font>
      <b/>
      <sz val="13"/>
      <color rgb="FF44546A"/>
      <name val="Calibri"/>
      <family val="2"/>
      <charset val="204"/>
    </font>
    <font>
      <b/>
      <sz val="11"/>
      <color rgb="FF44546A"/>
      <name val="Calibri"/>
      <family val="2"/>
      <charset val="204"/>
    </font>
    <font>
      <sz val="11"/>
      <color rgb="FF3F3F76"/>
      <name val="Calibri"/>
      <family val="2"/>
      <charset val="204"/>
    </font>
    <font>
      <sz val="11"/>
      <color rgb="FFFA7D00"/>
      <name val="Calibri"/>
      <family val="2"/>
      <charset val="204"/>
    </font>
    <font>
      <sz val="11"/>
      <color rgb="FF9C5700"/>
      <name val="Calibri"/>
      <family val="2"/>
      <charset val="204"/>
    </font>
    <font>
      <b/>
      <sz val="11"/>
      <color rgb="FF3F3F3F"/>
      <name val="Calibri"/>
      <family val="2"/>
      <charset val="204"/>
    </font>
    <font>
      <sz val="18"/>
      <color rgb="FF44546A"/>
      <name val="Calibri Light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1"/>
      <color rgb="FFBFBFBF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5"/>
      <color rgb="FF000000"/>
      <name val="Arial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FFFCC"/>
      </patternFill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AE3F3"/>
        <bgColor rgb="FFDAE3F3"/>
      </patternFill>
    </fill>
    <fill>
      <patternFill patternType="solid">
        <fgColor rgb="FFE2F0D9"/>
        <bgColor rgb="FFE2F0D9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  <fill>
      <patternFill patternType="solid">
        <fgColor rgb="FF9DC3E6"/>
        <bgColor rgb="FF9DC3E6"/>
      </patternFill>
    </fill>
    <fill>
      <patternFill patternType="solid">
        <fgColor rgb="FFF4B183"/>
        <bgColor rgb="FFF4B183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FAADC"/>
        <bgColor rgb="FF8FAADC"/>
      </patternFill>
    </fill>
    <fill>
      <patternFill patternType="solid">
        <fgColor rgb="FFA9D18E"/>
        <bgColor rgb="FFA9D1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FFCC"/>
        <bgColor rgb="FFCCFFCC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5B9BD5"/>
      </bottom>
      <diagonal/>
    </border>
    <border>
      <left/>
      <right/>
      <top/>
      <bottom style="thin">
        <color rgb="FFADCDEA"/>
      </bottom>
      <diagonal/>
    </border>
    <border>
      <left/>
      <right/>
      <top/>
      <bottom style="thin">
        <color rgb="FF9DC3E6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 applyNumberFormat="0" applyBorder="0" applyProtection="0">
      <alignment horizontal="left"/>
    </xf>
    <xf numFmtId="0" fontId="19" fillId="0" borderId="0" applyNumberFormat="0" applyFont="0" applyBorder="0" applyProtection="0"/>
    <xf numFmtId="0" fontId="19" fillId="0" borderId="0" applyNumberFormat="0" applyFont="0" applyBorder="0" applyProtection="0">
      <alignment horizontal="left"/>
    </xf>
    <xf numFmtId="164" fontId="21" fillId="0" borderId="0" applyBorder="0" applyProtection="0"/>
    <xf numFmtId="164" fontId="21" fillId="0" borderId="0" applyBorder="0" applyProtection="0"/>
    <xf numFmtId="0" fontId="19" fillId="0" borderId="0" applyNumberFormat="0" applyFont="0" applyBorder="0" applyProtection="0"/>
    <xf numFmtId="0" fontId="19" fillId="33" borderId="8" applyNumberFormat="0" applyFont="0" applyProtection="0"/>
    <xf numFmtId="0" fontId="20" fillId="0" borderId="0" applyNumberFormat="0" applyBorder="0" applyProtection="0"/>
    <xf numFmtId="0" fontId="19" fillId="0" borderId="0" applyNumberFormat="0" applyFont="0" applyBorder="0" applyProtection="0"/>
    <xf numFmtId="0" fontId="21" fillId="34" borderId="0" applyNumberFormat="0" applyBorder="0" applyProtection="0"/>
    <xf numFmtId="0" fontId="21" fillId="35" borderId="0" applyNumberFormat="0" applyBorder="0" applyProtection="0"/>
    <xf numFmtId="0" fontId="21" fillId="36" borderId="0" applyNumberFormat="0" applyBorder="0" applyProtection="0"/>
    <xf numFmtId="0" fontId="21" fillId="37" borderId="0" applyNumberFormat="0" applyBorder="0" applyProtection="0"/>
    <xf numFmtId="0" fontId="21" fillId="38" borderId="0" applyNumberFormat="0" applyBorder="0" applyProtection="0"/>
    <xf numFmtId="0" fontId="21" fillId="39" borderId="0" applyNumberFormat="0" applyBorder="0" applyProtection="0"/>
    <xf numFmtId="0" fontId="21" fillId="40" borderId="0" applyNumberFormat="0" applyBorder="0" applyProtection="0"/>
    <xf numFmtId="0" fontId="21" fillId="41" borderId="0" applyNumberFormat="0" applyBorder="0" applyProtection="0"/>
    <xf numFmtId="0" fontId="21" fillId="42" borderId="0" applyNumberFormat="0" applyBorder="0" applyProtection="0"/>
    <xf numFmtId="0" fontId="21" fillId="43" borderId="0" applyNumberFormat="0" applyBorder="0" applyProtection="0"/>
    <xf numFmtId="0" fontId="21" fillId="44" borderId="0" applyNumberFormat="0" applyBorder="0" applyProtection="0"/>
    <xf numFmtId="0" fontId="21" fillId="45" borderId="0" applyNumberFormat="0" applyBorder="0" applyProtection="0"/>
    <xf numFmtId="0" fontId="21" fillId="46" borderId="0" applyNumberFormat="0" applyBorder="0" applyProtection="0"/>
    <xf numFmtId="0" fontId="21" fillId="47" borderId="0" applyNumberFormat="0" applyBorder="0" applyProtection="0"/>
    <xf numFmtId="0" fontId="21" fillId="48" borderId="0" applyNumberFormat="0" applyBorder="0" applyProtection="0"/>
    <xf numFmtId="0" fontId="21" fillId="49" borderId="0" applyNumberFormat="0" applyBorder="0" applyProtection="0"/>
    <xf numFmtId="0" fontId="21" fillId="50" borderId="0" applyNumberFormat="0" applyBorder="0" applyProtection="0"/>
    <xf numFmtId="0" fontId="21" fillId="51" borderId="0" applyNumberFormat="0" applyBorder="0" applyProtection="0"/>
    <xf numFmtId="0" fontId="22" fillId="52" borderId="0" applyNumberFormat="0" applyBorder="0" applyProtection="0"/>
    <xf numFmtId="0" fontId="22" fillId="53" borderId="0" applyNumberFormat="0" applyBorder="0" applyProtection="0"/>
    <xf numFmtId="0" fontId="22" fillId="54" borderId="0" applyNumberFormat="0" applyBorder="0" applyProtection="0"/>
    <xf numFmtId="0" fontId="22" fillId="55" borderId="0" applyNumberFormat="0" applyBorder="0" applyProtection="0"/>
    <xf numFmtId="0" fontId="22" fillId="56" borderId="0" applyNumberFormat="0" applyBorder="0" applyProtection="0"/>
    <xf numFmtId="0" fontId="22" fillId="57" borderId="0" applyNumberFormat="0" applyBorder="0" applyProtection="0"/>
    <xf numFmtId="0" fontId="23" fillId="58" borderId="0" applyNumberFormat="0" applyBorder="0" applyProtection="0"/>
    <xf numFmtId="0" fontId="24" fillId="59" borderId="4" applyNumberFormat="0" applyProtection="0"/>
    <xf numFmtId="0" fontId="25" fillId="54" borderId="7" applyNumberFormat="0" applyProtection="0"/>
    <xf numFmtId="0" fontId="26" fillId="0" borderId="0" applyNumberFormat="0" applyBorder="0" applyProtection="0"/>
    <xf numFmtId="0" fontId="27" fillId="60" borderId="0" applyNumberFormat="0" applyBorder="0" applyProtection="0"/>
    <xf numFmtId="0" fontId="28" fillId="0" borderId="10" applyNumberFormat="0" applyProtection="0"/>
    <xf numFmtId="0" fontId="29" fillId="0" borderId="11" applyNumberFormat="0" applyProtection="0"/>
    <xf numFmtId="0" fontId="30" fillId="0" borderId="12" applyNumberFormat="0" applyProtection="0"/>
    <xf numFmtId="0" fontId="30" fillId="0" borderId="0" applyNumberFormat="0" applyBorder="0" applyProtection="0"/>
    <xf numFmtId="0" fontId="31" fillId="61" borderId="4" applyNumberFormat="0" applyProtection="0"/>
    <xf numFmtId="0" fontId="32" fillId="0" borderId="6" applyNumberFormat="0" applyProtection="0"/>
    <xf numFmtId="0" fontId="33" fillId="62" borderId="0" applyNumberFormat="0" applyBorder="0" applyProtection="0"/>
    <xf numFmtId="0" fontId="34" fillId="59" borderId="5" applyNumberFormat="0" applyProtection="0"/>
    <xf numFmtId="167" fontId="19" fillId="0" borderId="0" applyFont="0" applyBorder="0" applyProtection="0"/>
    <xf numFmtId="0" fontId="35" fillId="0" borderId="0" applyNumberFormat="0" applyBorder="0" applyProtection="0"/>
    <xf numFmtId="0" fontId="36" fillId="0" borderId="13" applyNumberFormat="0" applyProtection="0"/>
    <xf numFmtId="0" fontId="37" fillId="0" borderId="0" applyNumberFormat="0" applyBorder="0" applyProtection="0"/>
    <xf numFmtId="0" fontId="38" fillId="0" borderId="0" applyNumberFormat="0" applyBorder="0" applyProtection="0">
      <alignment horizontal="center"/>
    </xf>
    <xf numFmtId="0" fontId="38" fillId="0" borderId="0" applyNumberFormat="0" applyBorder="0" applyProtection="0">
      <alignment horizontal="center" textRotation="90"/>
    </xf>
    <xf numFmtId="0" fontId="39" fillId="0" borderId="0" applyNumberFormat="0" applyBorder="0" applyProtection="0"/>
    <xf numFmtId="170" fontId="39" fillId="0" borderId="0" applyBorder="0" applyProtection="0"/>
    <xf numFmtId="0" fontId="51" fillId="0" borderId="0"/>
    <xf numFmtId="0" fontId="52" fillId="4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9" fontId="5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97">
    <xf numFmtId="0" fontId="0" fillId="0" borderId="0" xfId="0"/>
    <xf numFmtId="0" fontId="0" fillId="0" borderId="14" xfId="0" applyBorder="1"/>
    <xf numFmtId="0" fontId="0" fillId="0" borderId="15" xfId="0" applyBorder="1"/>
    <xf numFmtId="0" fontId="40" fillId="0" borderId="0" xfId="0" applyFont="1"/>
    <xf numFmtId="0" fontId="21" fillId="0" borderId="0" xfId="0" applyFont="1"/>
    <xf numFmtId="0" fontId="0" fillId="63" borderId="0" xfId="0" applyFill="1"/>
    <xf numFmtId="0" fontId="0" fillId="37" borderId="16" xfId="0" applyFill="1" applyBorder="1"/>
    <xf numFmtId="0" fontId="0" fillId="0" borderId="17" xfId="0" applyBorder="1"/>
    <xf numFmtId="169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0" fillId="55" borderId="16" xfId="0" applyFill="1" applyBorder="1"/>
    <xf numFmtId="0" fontId="0" fillId="0" borderId="16" xfId="0" applyFill="1" applyBorder="1"/>
    <xf numFmtId="0" fontId="0" fillId="64" borderId="16" xfId="0" applyFill="1" applyBorder="1"/>
    <xf numFmtId="165" fontId="0" fillId="0" borderId="0" xfId="0" applyNumberFormat="1"/>
    <xf numFmtId="166" fontId="40" fillId="0" borderId="0" xfId="0" applyNumberFormat="1" applyFont="1"/>
    <xf numFmtId="167" fontId="21" fillId="0" borderId="0" xfId="0" applyNumberFormat="1" applyFont="1"/>
    <xf numFmtId="167" fontId="40" fillId="0" borderId="0" xfId="0" applyNumberFormat="1" applyFont="1"/>
    <xf numFmtId="0" fontId="0" fillId="33" borderId="0" xfId="0" applyFill="1"/>
    <xf numFmtId="0" fontId="0" fillId="0" borderId="18" xfId="0" applyBorder="1"/>
    <xf numFmtId="0" fontId="44" fillId="65" borderId="16" xfId="0" applyFont="1" applyFill="1" applyBorder="1" applyAlignment="1">
      <alignment vertical="center" wrapText="1"/>
    </xf>
    <xf numFmtId="0" fontId="44" fillId="0" borderId="16" xfId="0" applyFont="1" applyBorder="1" applyAlignment="1">
      <alignment vertical="center" wrapText="1"/>
    </xf>
    <xf numFmtId="0" fontId="45" fillId="65" borderId="16" xfId="0" applyFont="1" applyFill="1" applyBorder="1" applyAlignment="1">
      <alignment vertical="center" wrapText="1"/>
    </xf>
    <xf numFmtId="0" fontId="46" fillId="65" borderId="16" xfId="0" applyFont="1" applyFill="1" applyBorder="1" applyAlignment="1">
      <alignment horizontal="center" vertical="center" wrapText="1"/>
    </xf>
    <xf numFmtId="166" fontId="0" fillId="0" borderId="20" xfId="0" applyNumberFormat="1" applyBorder="1"/>
    <xf numFmtId="167" fontId="21" fillId="0" borderId="21" xfId="75" applyFont="1" applyFill="1" applyBorder="1" applyAlignment="1" applyProtection="1"/>
    <xf numFmtId="0" fontId="0" fillId="66" borderId="16" xfId="0" applyFill="1" applyBorder="1"/>
    <xf numFmtId="167" fontId="21" fillId="45" borderId="16" xfId="75" applyFont="1" applyFill="1" applyBorder="1" applyAlignment="1" applyProtection="1"/>
    <xf numFmtId="0" fontId="47" fillId="65" borderId="16" xfId="0" applyFont="1" applyFill="1" applyBorder="1" applyAlignment="1">
      <alignment horizontal="left" vertical="center" wrapText="1"/>
    </xf>
    <xf numFmtId="167" fontId="21" fillId="0" borderId="16" xfId="75" applyFont="1" applyFill="1" applyBorder="1" applyAlignment="1" applyProtection="1"/>
    <xf numFmtId="0" fontId="44" fillId="0" borderId="0" xfId="0" applyFont="1" applyAlignment="1">
      <alignment wrapText="1"/>
    </xf>
    <xf numFmtId="166" fontId="46" fillId="0" borderId="20" xfId="0" applyNumberFormat="1" applyFont="1" applyBorder="1" applyAlignment="1">
      <alignment horizontal="center" vertical="center" wrapText="1"/>
    </xf>
    <xf numFmtId="167" fontId="0" fillId="0" borderId="0" xfId="75" applyFont="1" applyFill="1" applyAlignment="1" applyProtection="1"/>
    <xf numFmtId="0" fontId="46" fillId="0" borderId="0" xfId="0" applyFont="1" applyAlignment="1">
      <alignment horizontal="center" vertical="center" wrapText="1"/>
    </xf>
    <xf numFmtId="0" fontId="48" fillId="65" borderId="16" xfId="0" applyFont="1" applyFill="1" applyBorder="1" applyAlignment="1">
      <alignment vertical="center" wrapText="1"/>
    </xf>
    <xf numFmtId="0" fontId="49" fillId="68" borderId="22" xfId="0" applyFont="1" applyFill="1" applyBorder="1" applyAlignment="1">
      <alignment horizontal="center" vertical="top" wrapText="1"/>
    </xf>
    <xf numFmtId="0" fontId="50" fillId="0" borderId="16" xfId="0" applyFont="1" applyBorder="1" applyAlignment="1">
      <alignment horizontal="left" vertical="top" wrapText="1"/>
    </xf>
    <xf numFmtId="164" fontId="36" fillId="0" borderId="16" xfId="32" applyFont="1" applyFill="1" applyBorder="1" applyAlignment="1" applyProtection="1">
      <alignment horizontal="center" vertical="top"/>
    </xf>
    <xf numFmtId="0" fontId="49" fillId="0" borderId="16" xfId="0" applyFont="1" applyBorder="1" applyAlignment="1">
      <alignment horizontal="center" vertical="top"/>
    </xf>
    <xf numFmtId="168" fontId="49" fillId="0" borderId="16" xfId="0" applyNumberFormat="1" applyFont="1" applyBorder="1" applyAlignment="1">
      <alignment horizontal="center" vertical="top"/>
    </xf>
    <xf numFmtId="0" fontId="49" fillId="68" borderId="16" xfId="0" applyFont="1" applyFill="1" applyBorder="1" applyAlignment="1">
      <alignment horizontal="left" vertical="top"/>
    </xf>
    <xf numFmtId="0" fontId="50" fillId="0" borderId="16" xfId="0" applyFont="1" applyBorder="1" applyAlignment="1">
      <alignment horizontal="left" vertical="top"/>
    </xf>
    <xf numFmtId="164" fontId="36" fillId="0" borderId="16" xfId="32" applyFont="1" applyFill="1" applyBorder="1" applyAlignment="1" applyProtection="1">
      <alignment horizontal="left" vertical="top"/>
    </xf>
    <xf numFmtId="0" fontId="49" fillId="0" borderId="16" xfId="0" applyFont="1" applyBorder="1" applyAlignment="1">
      <alignment horizontal="left" vertical="top"/>
    </xf>
    <xf numFmtId="164" fontId="21" fillId="0" borderId="16" xfId="33" applyFont="1" applyFill="1" applyBorder="1" applyAlignment="1" applyProtection="1"/>
    <xf numFmtId="168" fontId="49" fillId="0" borderId="16" xfId="0" applyNumberFormat="1" applyFont="1" applyBorder="1" applyAlignment="1">
      <alignment horizontal="left" vertical="top"/>
    </xf>
    <xf numFmtId="164" fontId="21" fillId="0" borderId="0" xfId="33" applyFont="1" applyFill="1" applyAlignment="1" applyProtection="1"/>
    <xf numFmtId="0" fontId="0" fillId="0" borderId="14" xfId="0" pivotButton="1" applyBorder="1"/>
    <xf numFmtId="0" fontId="0" fillId="0" borderId="15" xfId="0" applyNumberFormat="1" applyBorder="1"/>
    <xf numFmtId="0" fontId="0" fillId="0" borderId="23" xfId="0" applyBorder="1"/>
    <xf numFmtId="0" fontId="0" fillId="0" borderId="24" xfId="0" applyNumberFormat="1" applyBorder="1"/>
    <xf numFmtId="0" fontId="0" fillId="0" borderId="19" xfId="0" applyNumberFormat="1" applyBorder="1"/>
    <xf numFmtId="0" fontId="2" fillId="0" borderId="28" xfId="85" applyBorder="1"/>
    <xf numFmtId="0" fontId="2" fillId="0" borderId="0" xfId="85" applyBorder="1"/>
    <xf numFmtId="0" fontId="2" fillId="0" borderId="30" xfId="85" applyBorder="1"/>
    <xf numFmtId="0" fontId="2" fillId="0" borderId="29" xfId="85" applyBorder="1"/>
    <xf numFmtId="0" fontId="2" fillId="71" borderId="33" xfId="85" applyFill="1" applyBorder="1"/>
    <xf numFmtId="0" fontId="2" fillId="0" borderId="27" xfId="85" applyBorder="1"/>
    <xf numFmtId="0" fontId="2" fillId="71" borderId="32" xfId="85" applyFill="1" applyBorder="1"/>
    <xf numFmtId="0" fontId="2" fillId="0" borderId="26" xfId="85" applyBorder="1"/>
    <xf numFmtId="0" fontId="2" fillId="71" borderId="34" xfId="85" applyFill="1" applyBorder="1"/>
    <xf numFmtId="0" fontId="2" fillId="69" borderId="35" xfId="85" applyFill="1" applyBorder="1"/>
    <xf numFmtId="0" fontId="2" fillId="69" borderId="36" xfId="85" applyFill="1" applyBorder="1"/>
    <xf numFmtId="0" fontId="2" fillId="70" borderId="39" xfId="85" applyFill="1" applyBorder="1"/>
    <xf numFmtId="0" fontId="2" fillId="70" borderId="38" xfId="85" applyFill="1" applyBorder="1"/>
    <xf numFmtId="0" fontId="2" fillId="69" borderId="37" xfId="85" applyFill="1" applyBorder="1"/>
    <xf numFmtId="0" fontId="2" fillId="70" borderId="31" xfId="85" applyFill="1" applyBorder="1"/>
    <xf numFmtId="0" fontId="0" fillId="72" borderId="0" xfId="0" applyFill="1"/>
    <xf numFmtId="0" fontId="2" fillId="72" borderId="0" xfId="85" applyFill="1" applyBorder="1"/>
    <xf numFmtId="0" fontId="43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67" borderId="0" xfId="0" applyFill="1" applyAlignment="1">
      <alignment horizontal="center"/>
    </xf>
    <xf numFmtId="0" fontId="1" fillId="0" borderId="0" xfId="119" applyBorder="1"/>
    <xf numFmtId="0" fontId="1" fillId="0" borderId="30" xfId="119" applyBorder="1"/>
    <xf numFmtId="0" fontId="1" fillId="0" borderId="29" xfId="119" applyBorder="1" applyAlignment="1">
      <alignment horizontal="right"/>
    </xf>
    <xf numFmtId="0" fontId="1" fillId="0" borderId="29" xfId="119" applyBorder="1"/>
    <xf numFmtId="0" fontId="1" fillId="0" borderId="27" xfId="119" applyBorder="1"/>
    <xf numFmtId="0" fontId="1" fillId="0" borderId="0" xfId="119" applyAlignment="1">
      <alignment horizontal="right"/>
    </xf>
    <xf numFmtId="0" fontId="1" fillId="0" borderId="26" xfId="119" applyBorder="1"/>
    <xf numFmtId="0" fontId="1" fillId="0" borderId="28" xfId="119" applyBorder="1"/>
    <xf numFmtId="0" fontId="1" fillId="71" borderId="25" xfId="119" applyFill="1" applyBorder="1"/>
    <xf numFmtId="0" fontId="1" fillId="71" borderId="26" xfId="119" applyFill="1" applyBorder="1"/>
    <xf numFmtId="0" fontId="1" fillId="71" borderId="27" xfId="119" applyFill="1" applyBorder="1"/>
    <xf numFmtId="0" fontId="1" fillId="69" borderId="41" xfId="119" applyFill="1" applyBorder="1"/>
    <xf numFmtId="0" fontId="1" fillId="69" borderId="35" xfId="119" applyFill="1" applyBorder="1"/>
    <xf numFmtId="0" fontId="1" fillId="69" borderId="36" xfId="119" applyFill="1" applyBorder="1"/>
    <xf numFmtId="0" fontId="1" fillId="73" borderId="31" xfId="119" applyFill="1" applyBorder="1"/>
    <xf numFmtId="0" fontId="1" fillId="73" borderId="38" xfId="119" applyFill="1" applyBorder="1"/>
    <xf numFmtId="0" fontId="1" fillId="73" borderId="39" xfId="119" applyFill="1" applyBorder="1"/>
    <xf numFmtId="0" fontId="1" fillId="71" borderId="40" xfId="119" applyFill="1" applyBorder="1"/>
    <xf numFmtId="0" fontId="2" fillId="69" borderId="42" xfId="85" applyFill="1" applyBorder="1"/>
    <xf numFmtId="0" fontId="0" fillId="0" borderId="29" xfId="0" applyBorder="1" applyAlignment="1">
      <alignment horizontal="center"/>
    </xf>
    <xf numFmtId="0" fontId="1" fillId="72" borderId="0" xfId="119" applyFill="1"/>
    <xf numFmtId="0" fontId="53" fillId="69" borderId="35" xfId="119" applyFont="1" applyFill="1" applyBorder="1"/>
  </cellXfs>
  <cellStyles count="121">
    <cellStyle name="20% — акцент1" xfId="107" builtinId="30" customBuiltin="1"/>
    <cellStyle name="20% — акцент1 2" xfId="86"/>
    <cellStyle name="20% — акцент2" xfId="109" builtinId="34" customBuiltin="1"/>
    <cellStyle name="20% — акцент2 2" xfId="89"/>
    <cellStyle name="20% — акцент3" xfId="111" builtinId="38" customBuiltin="1"/>
    <cellStyle name="20% — акцент3 2" xfId="92"/>
    <cellStyle name="20% — акцент4" xfId="113" builtinId="42" customBuiltin="1"/>
    <cellStyle name="20% — акцент4 2" xfId="95"/>
    <cellStyle name="20% — акцент5" xfId="115" builtinId="46" customBuiltin="1"/>
    <cellStyle name="20% — акцент5 2" xfId="98"/>
    <cellStyle name="20% — акцент6" xfId="117" builtinId="50" customBuiltin="1"/>
    <cellStyle name="20% — акцент6 2" xfId="101"/>
    <cellStyle name="40% — акцент1" xfId="108" builtinId="31" customBuiltin="1"/>
    <cellStyle name="40% — акцент1 2" xfId="87"/>
    <cellStyle name="40% — акцент2" xfId="110" builtinId="35" customBuiltin="1"/>
    <cellStyle name="40% — акцент2 2" xfId="90"/>
    <cellStyle name="40% — акцент3" xfId="112" builtinId="39" customBuiltin="1"/>
    <cellStyle name="40% — акцент3 2" xfId="93"/>
    <cellStyle name="40% — акцент4" xfId="114" builtinId="43" customBuiltin="1"/>
    <cellStyle name="40% — акцент4 2" xfId="96"/>
    <cellStyle name="40% — акцент5" xfId="116" builtinId="47" customBuiltin="1"/>
    <cellStyle name="40% — акцент5 2" xfId="99"/>
    <cellStyle name="40% — акцент6" xfId="118" builtinId="51" customBuiltin="1"/>
    <cellStyle name="40% — акцент6 2" xfId="102"/>
    <cellStyle name="60% — акцент1" xfId="18" builtinId="32" customBuiltin="1"/>
    <cellStyle name="60% — акцент1 2" xfId="88"/>
    <cellStyle name="60% — акцент2" xfId="20" builtinId="36" customBuiltin="1"/>
    <cellStyle name="60% — акцент2 2" xfId="91"/>
    <cellStyle name="60% — акцент3" xfId="22" builtinId="40" customBuiltin="1"/>
    <cellStyle name="60% — акцент3 2" xfId="94"/>
    <cellStyle name="60% — акцент4" xfId="24" builtinId="44" customBuiltin="1"/>
    <cellStyle name="60% — акцент4 2" xfId="97"/>
    <cellStyle name="60% — акцент5" xfId="26" builtinId="48" customBuiltin="1"/>
    <cellStyle name="60% — акцент5 2" xfId="100"/>
    <cellStyle name="60% — акцент6" xfId="28" builtinId="52" customBuiltin="1"/>
    <cellStyle name="60% — акцент6 2" xfId="103"/>
    <cellStyle name="Excel Built-in 20% - Accent1" xfId="38"/>
    <cellStyle name="Excel Built-in 20% - Accent2" xfId="39"/>
    <cellStyle name="Excel Built-in 20% - Accent3" xfId="40"/>
    <cellStyle name="Excel Built-in 20% - Accent4" xfId="41"/>
    <cellStyle name="Excel Built-in 20% - Accent5" xfId="42"/>
    <cellStyle name="Excel Built-in 20% - Accent6" xfId="43"/>
    <cellStyle name="Excel Built-in 40% - Accent1" xfId="44"/>
    <cellStyle name="Excel Built-in 40% - Accent2" xfId="45"/>
    <cellStyle name="Excel Built-in 40% - Accent3" xfId="46"/>
    <cellStyle name="Excel Built-in 40% - Accent4" xfId="47"/>
    <cellStyle name="Excel Built-in 40% - Accent5" xfId="48"/>
    <cellStyle name="Excel Built-in 40% - Accent6" xfId="49"/>
    <cellStyle name="Excel Built-in 60% - Accent1" xfId="50"/>
    <cellStyle name="Excel Built-in 60% - Accent2" xfId="51"/>
    <cellStyle name="Excel Built-in 60% - Accent3" xfId="52"/>
    <cellStyle name="Excel Built-in 60% - Accent4" xfId="53"/>
    <cellStyle name="Excel Built-in 60% - Accent5" xfId="54"/>
    <cellStyle name="Excel Built-in 60% - Accent6" xfId="55"/>
    <cellStyle name="Excel Built-in Accent1" xfId="56"/>
    <cellStyle name="Excel Built-in Accent2" xfId="57"/>
    <cellStyle name="Excel Built-in Accent3" xfId="58"/>
    <cellStyle name="Excel Built-in Accent4" xfId="59"/>
    <cellStyle name="Excel Built-in Accent5" xfId="60"/>
    <cellStyle name="Excel Built-in Accent6" xfId="61"/>
    <cellStyle name="Excel Built-in Bad" xfId="62"/>
    <cellStyle name="Excel Built-in Calculation" xfId="63"/>
    <cellStyle name="Excel Built-in Check Cell" xfId="64"/>
    <cellStyle name="Excel Built-in Explanatory Text" xfId="65"/>
    <cellStyle name="Excel Built-in Good" xfId="66"/>
    <cellStyle name="Excel Built-in Heading 1" xfId="67"/>
    <cellStyle name="Excel Built-in Heading 2" xfId="68"/>
    <cellStyle name="Excel Built-in Heading 3" xfId="69"/>
    <cellStyle name="Excel Built-in Heading 4" xfId="70"/>
    <cellStyle name="Excel Built-in Input" xfId="71"/>
    <cellStyle name="Excel Built-in Linked Cell" xfId="72"/>
    <cellStyle name="Excel Built-in Neutral" xfId="73"/>
    <cellStyle name="Excel Built-in Output" xfId="74"/>
    <cellStyle name="Excel Built-in Percent" xfId="75"/>
    <cellStyle name="Excel Built-in Title" xfId="76"/>
    <cellStyle name="Excel Built-in Total" xfId="77"/>
    <cellStyle name="Excel Built-in Warning Text" xfId="78"/>
    <cellStyle name="Heading" xfId="79"/>
    <cellStyle name="Heading1" xfId="80"/>
    <cellStyle name="Result" xfId="81"/>
    <cellStyle name="Result2" xfId="82"/>
    <cellStyle name="Акцент1" xfId="17" builtinId="29" customBuiltin="1"/>
    <cellStyle name="Акцент2" xfId="19" builtinId="33" customBuiltin="1"/>
    <cellStyle name="Акцент3" xfId="21" builtinId="37" customBuiltin="1"/>
    <cellStyle name="Акцент4" xfId="23" builtinId="41" customBuiltin="1"/>
    <cellStyle name="Акцент5" xfId="25" builtinId="45" customBuiltin="1"/>
    <cellStyle name="Акцент6" xfId="2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аголовок сводной таблицы" xfId="29"/>
    <cellStyle name="Значение сводной таблицы" xfId="30"/>
    <cellStyle name="Итог" xfId="16" builtinId="25" customBuiltin="1"/>
    <cellStyle name="Категория сводной таблицы" xfId="3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Нейтральный 2" xfId="84"/>
    <cellStyle name="Обычный" xfId="0" builtinId="0" customBuiltin="1"/>
    <cellStyle name="Обычный 2" xfId="32"/>
    <cellStyle name="Обычный 2 2" xfId="85"/>
    <cellStyle name="Обычный 3" xfId="33"/>
    <cellStyle name="Обычный 3 2" xfId="104"/>
    <cellStyle name="Обычный 4" xfId="83"/>
    <cellStyle name="Обычный 5" xfId="119"/>
    <cellStyle name="Плохой" xfId="7" builtinId="27" customBuiltin="1"/>
    <cellStyle name="Поле сводной таблицы" xfId="34"/>
    <cellStyle name="Пояснение" xfId="15" builtinId="53" customBuiltin="1"/>
    <cellStyle name="Примечание 2" xfId="35"/>
    <cellStyle name="Примечание 2 2" xfId="105"/>
    <cellStyle name="Примечание 3" xfId="120"/>
    <cellStyle name="Процентный 2" xfId="106"/>
    <cellStyle name="Результат сводной таблицы" xfId="36"/>
    <cellStyle name="Связанная ячейка" xfId="12" builtinId="24" customBuiltin="1"/>
    <cellStyle name="Текст предупреждения" xfId="14" builtinId="11" customBuiltin="1"/>
    <cellStyle name="Угол сводной таблицы" xfId="37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ергей Горин" refreshedDate="44454.023728935186" createdVersion="6" refreshedVersion="6" recordCount="35">
  <cacheSource type="worksheet">
    <worksheetSource ref="A1:H36" sheet="Автоматизированный_расчет"/>
  </cacheSource>
  <cacheFields count="8">
    <cacheField name="Script name" numFmtId="0">
      <sharedItems containsBlank="1"/>
    </cacheField>
    <cacheField name="transaction rq" numFmtId="0">
      <sharedItems containsBlank="1" containsMixedTypes="1" containsNumber="1" minValue="173.33333333333334" maxValue="173.33333333333334" count="14">
        <s v="Main_page"/>
        <s v="login"/>
        <s v="Itinerary"/>
        <s v="sign_off"/>
        <s v="flights"/>
        <s v="find_flight"/>
        <s v="choose_ticket"/>
        <s v="payment_details"/>
        <s v="ChooseTicketForDelete"/>
        <s v="filling_form"/>
        <s v="continue_button"/>
        <m/>
        <s v="Интенсивность по статистике запросов / 20 мин."/>
        <n v="173.33333333333334"/>
      </sharedItems>
    </cacheField>
    <cacheField name="count" numFmtId="0">
      <sharedItems containsBlank="1" containsMixedTypes="1" containsNumber="1" containsInteger="1" minValue="0" maxValue="2"/>
    </cacheField>
    <cacheField name="VU" numFmtId="0">
      <sharedItems containsBlank="1" containsMixedTypes="1" containsNumber="1" containsInteger="1" minValue="1" maxValue="3"/>
    </cacheField>
    <cacheField name="pacing" numFmtId="0">
      <sharedItems containsBlank="1" containsMixedTypes="1" containsNumber="1" minValue="40" maxValue="180"/>
    </cacheField>
    <cacheField name="одним пользователем в минуту" numFmtId="0">
      <sharedItems containsString="0" containsBlank="1" containsNumber="1" minValue="0" maxValue="1.6"/>
    </cacheField>
    <cacheField name="Длительность ступени" numFmtId="0">
      <sharedItems containsBlank="1" containsMixedTypes="1" containsNumber="1" containsInteger="1" minValue="60" maxValue="60"/>
    </cacheField>
    <cacheField name="Итого" numFmtId="0">
      <sharedItems containsBlank="1" containsMixedTypes="1" containsNumber="1" minValue="0" maxValue="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compactData="0">
  <location ref="I1:J16" firstHeaderRow="1" firstDataRow="1" firstDataCol="1"/>
  <pivotFields count="8">
    <pivotField compact="0" outline="0" subtotalTop="0" showAll="0" includeNewItemsInFilter="1" defaultSubtotal="0"/>
    <pivotField axis="axisRow" compact="0" includeNewItemsInFilter="1" defaultSubtotal="0">
      <items count="14">
        <item x="13"/>
        <item x="6"/>
        <item x="8"/>
        <item x="10"/>
        <item x="9"/>
        <item x="5"/>
        <item x="4"/>
        <item x="2"/>
        <item x="1"/>
        <item x="0"/>
        <item x="7"/>
        <item x="3"/>
        <item x="12"/>
        <item x="1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includeNewItemsInFilter="1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1" baseItem="104882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3"/>
  <sheetViews>
    <sheetView tabSelected="1" topLeftCell="A13" zoomScale="55" zoomScaleNormal="55" workbookViewId="0">
      <selection activeCell="H38" sqref="H38"/>
    </sheetView>
  </sheetViews>
  <sheetFormatPr defaultRowHeight="14.25" x14ac:dyDescent="0.2"/>
  <cols>
    <col min="1" max="1" width="21.125" customWidth="1"/>
    <col min="2" max="2" width="29.375" customWidth="1"/>
    <col min="3" max="3" width="16.875" customWidth="1"/>
    <col min="4" max="4" width="16.625" customWidth="1"/>
    <col min="5" max="6" width="9.875" customWidth="1"/>
    <col min="7" max="7" width="17.375" customWidth="1"/>
    <col min="8" max="8" width="15.875" customWidth="1"/>
    <col min="9" max="9" width="43.625" customWidth="1"/>
    <col min="10" max="10" width="19.625" customWidth="1"/>
    <col min="11" max="11" width="17.375" customWidth="1"/>
    <col min="12" max="12" width="25.625" customWidth="1"/>
    <col min="13" max="13" width="33.375" customWidth="1"/>
    <col min="14" max="18" width="9.875" customWidth="1"/>
    <col min="19" max="19" width="41" customWidth="1"/>
    <col min="20" max="1024" width="9.875" customWidth="1"/>
    <col min="1025" max="1025" width="9" customWidth="1"/>
  </cols>
  <sheetData>
    <row r="1" spans="1:24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7" t="s">
        <v>1</v>
      </c>
      <c r="J1" s="2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</v>
      </c>
      <c r="S1" t="s">
        <v>14</v>
      </c>
      <c r="T1" s="3" t="s">
        <v>15</v>
      </c>
      <c r="U1" s="3" t="s">
        <v>16</v>
      </c>
      <c r="V1" s="4" t="s">
        <v>17</v>
      </c>
      <c r="X1" t="s">
        <v>18</v>
      </c>
    </row>
    <row r="2" spans="1:24" ht="15" x14ac:dyDescent="0.25">
      <c r="A2" s="5" t="s">
        <v>19</v>
      </c>
      <c r="B2" s="6" t="s">
        <v>20</v>
      </c>
      <c r="C2">
        <v>1</v>
      </c>
      <c r="D2" s="7">
        <f t="shared" ref="D2:D29" si="0">VLOOKUP(A2,$M$1:$W$12,6,0)</f>
        <v>3</v>
      </c>
      <c r="E2">
        <f t="shared" ref="E2:E29" si="1">VLOOKUP(A2,$M$1:$W$12,5,0)</f>
        <v>180</v>
      </c>
      <c r="F2" s="8">
        <f t="shared" ref="F2:F29" si="2">60/E2*C2</f>
        <v>0.33333333333333331</v>
      </c>
      <c r="G2">
        <f t="shared" ref="G2:G29" si="3">E$32</f>
        <v>60</v>
      </c>
      <c r="H2" s="9">
        <f t="shared" ref="H2:H29" si="4">D2*F2*G2</f>
        <v>60</v>
      </c>
      <c r="I2" s="1">
        <v>173.33333333333334</v>
      </c>
      <c r="J2" s="48">
        <v>167</v>
      </c>
      <c r="K2" s="10"/>
      <c r="M2" t="s">
        <v>19</v>
      </c>
      <c r="N2" s="11">
        <v>0.28299999999999997</v>
      </c>
      <c r="O2" s="11">
        <v>10</v>
      </c>
      <c r="P2" s="12">
        <f>N2+O2</f>
        <v>10.282999999999999</v>
      </c>
      <c r="Q2" s="13">
        <v>180</v>
      </c>
      <c r="R2" s="13">
        <v>3</v>
      </c>
      <c r="S2" s="14">
        <f>60/(Q2)</f>
        <v>0.33333333333333331</v>
      </c>
      <c r="T2" s="3">
        <v>20</v>
      </c>
      <c r="U2" s="15">
        <f>ROUND(R2*S2*T2,0)</f>
        <v>20</v>
      </c>
      <c r="V2" s="16">
        <f>R2/W$2</f>
        <v>0.3</v>
      </c>
      <c r="W2">
        <f>SUM(R2:R9)</f>
        <v>10</v>
      </c>
    </row>
    <row r="3" spans="1:24" ht="15" x14ac:dyDescent="0.25">
      <c r="A3" s="5" t="s">
        <v>19</v>
      </c>
      <c r="B3" s="6" t="s">
        <v>21</v>
      </c>
      <c r="C3">
        <v>1</v>
      </c>
      <c r="D3" s="7">
        <f t="shared" si="0"/>
        <v>3</v>
      </c>
      <c r="E3">
        <f t="shared" si="1"/>
        <v>180</v>
      </c>
      <c r="F3" s="8">
        <f t="shared" si="2"/>
        <v>0.33333333333333331</v>
      </c>
      <c r="G3">
        <f t="shared" si="3"/>
        <v>60</v>
      </c>
      <c r="H3" s="9">
        <f t="shared" si="4"/>
        <v>60</v>
      </c>
      <c r="I3" s="49" t="s">
        <v>22</v>
      </c>
      <c r="J3" s="50">
        <v>276</v>
      </c>
      <c r="K3" s="10"/>
      <c r="M3" t="s">
        <v>23</v>
      </c>
      <c r="N3" s="11">
        <v>0.66900000000000004</v>
      </c>
      <c r="O3" s="11">
        <v>12</v>
      </c>
      <c r="P3" s="12">
        <f>N3+O3</f>
        <v>12.669</v>
      </c>
      <c r="Q3" s="13">
        <v>75</v>
      </c>
      <c r="R3" s="13">
        <v>2</v>
      </c>
      <c r="S3" s="14">
        <f>60/(Q2)</f>
        <v>0.33333333333333331</v>
      </c>
      <c r="T3" s="3"/>
      <c r="U3" s="15"/>
      <c r="V3" s="16"/>
    </row>
    <row r="4" spans="1:24" ht="15" x14ac:dyDescent="0.25">
      <c r="A4" s="5" t="s">
        <v>19</v>
      </c>
      <c r="B4" s="6" t="s">
        <v>24</v>
      </c>
      <c r="C4">
        <v>0</v>
      </c>
      <c r="D4" s="7">
        <f t="shared" si="0"/>
        <v>3</v>
      </c>
      <c r="E4">
        <f t="shared" si="1"/>
        <v>180</v>
      </c>
      <c r="F4" s="8">
        <f t="shared" si="2"/>
        <v>0</v>
      </c>
      <c r="G4">
        <f t="shared" si="3"/>
        <v>60</v>
      </c>
      <c r="H4" s="9">
        <f t="shared" si="4"/>
        <v>0</v>
      </c>
      <c r="I4" s="49" t="s">
        <v>28</v>
      </c>
      <c r="J4" s="50">
        <v>75</v>
      </c>
      <c r="K4" s="10"/>
      <c r="M4" t="s">
        <v>25</v>
      </c>
      <c r="N4" s="11">
        <v>0.66900000000000004</v>
      </c>
      <c r="O4" s="11">
        <v>20</v>
      </c>
      <c r="P4" s="12">
        <f>N4+O4</f>
        <v>20.669</v>
      </c>
      <c r="Q4" s="13">
        <v>40</v>
      </c>
      <c r="R4" s="13">
        <v>2</v>
      </c>
      <c r="S4" s="14">
        <f>60/(Q3)</f>
        <v>0.8</v>
      </c>
      <c r="T4" s="3">
        <v>20</v>
      </c>
      <c r="U4" s="15">
        <f>ROUND(R3*S4*T4,0)</f>
        <v>32</v>
      </c>
      <c r="V4" s="16">
        <f>R3/W$2</f>
        <v>0.2</v>
      </c>
    </row>
    <row r="5" spans="1:24" ht="15" x14ac:dyDescent="0.25">
      <c r="A5" s="5" t="s">
        <v>19</v>
      </c>
      <c r="B5" s="6" t="s">
        <v>26</v>
      </c>
      <c r="C5">
        <v>1</v>
      </c>
      <c r="D5" s="7">
        <f t="shared" si="0"/>
        <v>3</v>
      </c>
      <c r="E5">
        <f t="shared" si="1"/>
        <v>180</v>
      </c>
      <c r="F5" s="8">
        <f t="shared" si="2"/>
        <v>0.33333333333333331</v>
      </c>
      <c r="G5">
        <f t="shared" si="3"/>
        <v>60</v>
      </c>
      <c r="H5" s="9">
        <f t="shared" si="4"/>
        <v>60</v>
      </c>
      <c r="I5" s="49" t="s">
        <v>30</v>
      </c>
      <c r="J5" s="50">
        <v>96.644295302013418</v>
      </c>
      <c r="K5" s="10"/>
      <c r="M5" t="s">
        <v>27</v>
      </c>
      <c r="N5" s="11">
        <v>0.57299999999999995</v>
      </c>
      <c r="O5" s="11">
        <v>20</v>
      </c>
      <c r="P5" s="12">
        <f>N5+O5</f>
        <v>20.573</v>
      </c>
      <c r="Q5" s="13">
        <v>48</v>
      </c>
      <c r="R5" s="13">
        <v>1</v>
      </c>
      <c r="S5" s="14">
        <f>60/(Q4)</f>
        <v>1.5</v>
      </c>
      <c r="T5" s="3">
        <v>20</v>
      </c>
      <c r="U5" s="15">
        <f>ROUND(R4*S5*T5,0)</f>
        <v>60</v>
      </c>
      <c r="V5" s="16">
        <f>R4/W$2</f>
        <v>0.2</v>
      </c>
    </row>
    <row r="6" spans="1:24" ht="15" x14ac:dyDescent="0.25">
      <c r="A6" s="5" t="s">
        <v>23</v>
      </c>
      <c r="B6" s="6" t="s">
        <v>20</v>
      </c>
      <c r="C6">
        <v>1</v>
      </c>
      <c r="D6" s="7">
        <f t="shared" si="0"/>
        <v>2</v>
      </c>
      <c r="E6">
        <f t="shared" si="1"/>
        <v>75</v>
      </c>
      <c r="F6" s="8">
        <f t="shared" si="2"/>
        <v>0.8</v>
      </c>
      <c r="G6">
        <f t="shared" si="3"/>
        <v>60</v>
      </c>
      <c r="H6" s="9">
        <f t="shared" si="4"/>
        <v>96</v>
      </c>
      <c r="I6" s="49" t="s">
        <v>33</v>
      </c>
      <c r="J6" s="50">
        <v>96.644295302013418</v>
      </c>
      <c r="K6" s="10"/>
      <c r="M6" t="s">
        <v>29</v>
      </c>
      <c r="N6" s="11">
        <v>0.50900000000000001</v>
      </c>
      <c r="O6" s="11">
        <v>15</v>
      </c>
      <c r="P6" s="12">
        <v>15.5</v>
      </c>
      <c r="Q6" s="13">
        <v>74.5</v>
      </c>
      <c r="R6" s="13">
        <v>2</v>
      </c>
      <c r="S6" s="14">
        <f>60/(Q5)</f>
        <v>1.25</v>
      </c>
      <c r="T6" s="3">
        <v>20</v>
      </c>
      <c r="U6" s="15">
        <f>ROUND(R5*S6*T6,0)</f>
        <v>25</v>
      </c>
      <c r="V6" s="16">
        <f>R5/W$2</f>
        <v>0.1</v>
      </c>
    </row>
    <row r="7" spans="1:24" ht="15" x14ac:dyDescent="0.25">
      <c r="A7" s="5" t="s">
        <v>23</v>
      </c>
      <c r="B7" s="6" t="s">
        <v>21</v>
      </c>
      <c r="C7">
        <v>1</v>
      </c>
      <c r="D7" s="7">
        <f t="shared" si="0"/>
        <v>2</v>
      </c>
      <c r="E7">
        <f t="shared" si="1"/>
        <v>75</v>
      </c>
      <c r="F7" s="8">
        <f t="shared" si="2"/>
        <v>0.8</v>
      </c>
      <c r="G7">
        <f t="shared" si="3"/>
        <v>60</v>
      </c>
      <c r="H7" s="9">
        <f t="shared" si="4"/>
        <v>96</v>
      </c>
      <c r="I7" s="49" t="s">
        <v>32</v>
      </c>
      <c r="J7" s="50">
        <v>276</v>
      </c>
      <c r="K7" s="10"/>
      <c r="N7" s="11"/>
      <c r="O7" s="11"/>
      <c r="P7" s="12"/>
      <c r="Q7" s="13"/>
      <c r="R7" s="13"/>
      <c r="S7" s="14">
        <f>60/(Q6)</f>
        <v>0.80536912751677847</v>
      </c>
      <c r="T7" s="3">
        <v>20</v>
      </c>
      <c r="U7" s="15">
        <f>ROUND(R6*S7*T7,0)</f>
        <v>32</v>
      </c>
      <c r="V7" s="16">
        <f>R6/W$2</f>
        <v>0.2</v>
      </c>
    </row>
    <row r="8" spans="1:24" x14ac:dyDescent="0.2">
      <c r="A8" s="5" t="s">
        <v>23</v>
      </c>
      <c r="B8" s="6" t="s">
        <v>31</v>
      </c>
      <c r="C8">
        <v>1</v>
      </c>
      <c r="D8" s="7">
        <f t="shared" si="0"/>
        <v>2</v>
      </c>
      <c r="E8">
        <f t="shared" si="1"/>
        <v>75</v>
      </c>
      <c r="F8" s="8">
        <f t="shared" si="2"/>
        <v>0.8</v>
      </c>
      <c r="G8">
        <f t="shared" si="3"/>
        <v>60</v>
      </c>
      <c r="H8" s="9">
        <f t="shared" si="4"/>
        <v>96</v>
      </c>
      <c r="I8" s="49" t="s">
        <v>31</v>
      </c>
      <c r="J8" s="50">
        <v>276</v>
      </c>
      <c r="K8" s="10"/>
    </row>
    <row r="9" spans="1:24" x14ac:dyDescent="0.2">
      <c r="A9" s="5" t="s">
        <v>23</v>
      </c>
      <c r="B9" s="6" t="s">
        <v>32</v>
      </c>
      <c r="C9">
        <v>1</v>
      </c>
      <c r="D9" s="7">
        <f t="shared" si="0"/>
        <v>2</v>
      </c>
      <c r="E9">
        <f t="shared" si="1"/>
        <v>75</v>
      </c>
      <c r="F9" s="8">
        <f t="shared" si="2"/>
        <v>0.8</v>
      </c>
      <c r="G9">
        <f t="shared" si="3"/>
        <v>60</v>
      </c>
      <c r="H9" s="9">
        <f t="shared" si="4"/>
        <v>96</v>
      </c>
      <c r="I9" s="49" t="s">
        <v>24</v>
      </c>
      <c r="J9" s="50">
        <v>267</v>
      </c>
      <c r="K9" s="10"/>
    </row>
    <row r="10" spans="1:24" ht="15" x14ac:dyDescent="0.25">
      <c r="A10" s="5" t="s">
        <v>23</v>
      </c>
      <c r="B10" s="6" t="s">
        <v>22</v>
      </c>
      <c r="C10">
        <v>1</v>
      </c>
      <c r="D10" s="7">
        <f t="shared" si="0"/>
        <v>2</v>
      </c>
      <c r="E10">
        <f t="shared" si="1"/>
        <v>75</v>
      </c>
      <c r="F10" s="8">
        <f t="shared" si="2"/>
        <v>0.8</v>
      </c>
      <c r="G10">
        <f t="shared" si="3"/>
        <v>60</v>
      </c>
      <c r="H10" s="9">
        <f t="shared" si="4"/>
        <v>96</v>
      </c>
      <c r="I10" s="49" t="s">
        <v>21</v>
      </c>
      <c r="J10" s="50">
        <v>411</v>
      </c>
      <c r="K10" s="10"/>
      <c r="T10" s="3"/>
      <c r="U10" s="15"/>
      <c r="V10" s="17"/>
    </row>
    <row r="11" spans="1:24" ht="15" x14ac:dyDescent="0.25">
      <c r="A11" s="5" t="s">
        <v>23</v>
      </c>
      <c r="B11" s="6" t="s">
        <v>26</v>
      </c>
      <c r="C11">
        <v>1</v>
      </c>
      <c r="D11" s="7">
        <f t="shared" si="0"/>
        <v>2</v>
      </c>
      <c r="E11">
        <f t="shared" si="1"/>
        <v>75</v>
      </c>
      <c r="F11" s="8">
        <f t="shared" si="2"/>
        <v>0.8</v>
      </c>
      <c r="G11">
        <f t="shared" si="3"/>
        <v>60</v>
      </c>
      <c r="H11" s="9">
        <f t="shared" si="4"/>
        <v>96</v>
      </c>
      <c r="I11" s="49" t="s">
        <v>20</v>
      </c>
      <c r="J11" s="50">
        <v>507.6442953020134</v>
      </c>
      <c r="K11" s="10"/>
      <c r="T11" s="3"/>
      <c r="U11" s="15"/>
      <c r="V11" s="17"/>
    </row>
    <row r="12" spans="1:24" x14ac:dyDescent="0.2">
      <c r="A12" s="5" t="s">
        <v>23</v>
      </c>
      <c r="B12" s="6" t="s">
        <v>24</v>
      </c>
      <c r="C12">
        <v>2</v>
      </c>
      <c r="D12" s="7">
        <f t="shared" si="0"/>
        <v>2</v>
      </c>
      <c r="E12">
        <f t="shared" si="1"/>
        <v>75</v>
      </c>
      <c r="F12" s="8">
        <f t="shared" si="2"/>
        <v>1.6</v>
      </c>
      <c r="G12">
        <f t="shared" si="3"/>
        <v>60</v>
      </c>
      <c r="H12" s="9">
        <f t="shared" si="4"/>
        <v>192</v>
      </c>
      <c r="I12" s="49" t="s">
        <v>34</v>
      </c>
      <c r="J12" s="50">
        <v>180</v>
      </c>
      <c r="K12" s="10"/>
    </row>
    <row r="13" spans="1:24" x14ac:dyDescent="0.2">
      <c r="A13" s="5" t="s">
        <v>25</v>
      </c>
      <c r="B13" s="6" t="s">
        <v>20</v>
      </c>
      <c r="C13">
        <v>1</v>
      </c>
      <c r="D13" s="7">
        <f t="shared" si="0"/>
        <v>2</v>
      </c>
      <c r="E13">
        <f t="shared" si="1"/>
        <v>40</v>
      </c>
      <c r="F13" s="8">
        <f t="shared" si="2"/>
        <v>1.5</v>
      </c>
      <c r="G13">
        <f t="shared" si="3"/>
        <v>60</v>
      </c>
      <c r="H13" s="9">
        <f t="shared" si="4"/>
        <v>180</v>
      </c>
      <c r="I13" s="49" t="s">
        <v>26</v>
      </c>
      <c r="J13" s="50">
        <v>327.6442953020134</v>
      </c>
      <c r="K13" s="10"/>
      <c r="R13">
        <f>SUM(R2:R8)</f>
        <v>10</v>
      </c>
    </row>
    <row r="14" spans="1:24" x14ac:dyDescent="0.2">
      <c r="A14" s="5" t="s">
        <v>25</v>
      </c>
      <c r="B14" s="6" t="s">
        <v>21</v>
      </c>
      <c r="C14">
        <v>1</v>
      </c>
      <c r="D14" s="7">
        <f t="shared" si="0"/>
        <v>2</v>
      </c>
      <c r="E14">
        <f t="shared" si="1"/>
        <v>40</v>
      </c>
      <c r="F14" s="8">
        <f t="shared" si="2"/>
        <v>1.5</v>
      </c>
      <c r="G14">
        <f t="shared" si="3"/>
        <v>60</v>
      </c>
      <c r="H14" s="9">
        <f t="shared" si="4"/>
        <v>180</v>
      </c>
      <c r="I14" s="49" t="s">
        <v>35</v>
      </c>
      <c r="J14" s="50">
        <v>0</v>
      </c>
    </row>
    <row r="15" spans="1:24" x14ac:dyDescent="0.2">
      <c r="A15" s="5" t="s">
        <v>25</v>
      </c>
      <c r="B15" s="6" t="s">
        <v>31</v>
      </c>
      <c r="C15">
        <v>1</v>
      </c>
      <c r="D15" s="7">
        <f t="shared" si="0"/>
        <v>2</v>
      </c>
      <c r="E15">
        <f t="shared" si="1"/>
        <v>40</v>
      </c>
      <c r="F15" s="8">
        <f t="shared" si="2"/>
        <v>1.5</v>
      </c>
      <c r="G15">
        <f t="shared" si="3"/>
        <v>60</v>
      </c>
      <c r="H15" s="9">
        <f t="shared" si="4"/>
        <v>180</v>
      </c>
      <c r="I15" s="49" t="s">
        <v>36</v>
      </c>
      <c r="J15" s="50"/>
    </row>
    <row r="16" spans="1:24" x14ac:dyDescent="0.2">
      <c r="A16" s="5" t="s">
        <v>25</v>
      </c>
      <c r="B16" s="6" t="s">
        <v>32</v>
      </c>
      <c r="C16">
        <v>1</v>
      </c>
      <c r="D16" s="7">
        <f t="shared" si="0"/>
        <v>2</v>
      </c>
      <c r="E16">
        <f t="shared" si="1"/>
        <v>40</v>
      </c>
      <c r="F16" s="8">
        <f t="shared" si="2"/>
        <v>1.5</v>
      </c>
      <c r="G16">
        <f t="shared" si="3"/>
        <v>60</v>
      </c>
      <c r="H16" s="9">
        <f t="shared" si="4"/>
        <v>180</v>
      </c>
      <c r="I16" s="19" t="s">
        <v>37</v>
      </c>
      <c r="J16" s="51">
        <v>2956.5771812080534</v>
      </c>
    </row>
    <row r="17" spans="1:8" x14ac:dyDescent="0.2">
      <c r="A17" s="5" t="s">
        <v>25</v>
      </c>
      <c r="B17" s="6" t="s">
        <v>22</v>
      </c>
      <c r="C17">
        <v>1</v>
      </c>
      <c r="D17" s="7">
        <f t="shared" si="0"/>
        <v>2</v>
      </c>
      <c r="E17">
        <f t="shared" si="1"/>
        <v>40</v>
      </c>
      <c r="F17" s="8">
        <f t="shared" si="2"/>
        <v>1.5</v>
      </c>
      <c r="G17">
        <f t="shared" si="3"/>
        <v>60</v>
      </c>
      <c r="H17" s="9">
        <f t="shared" si="4"/>
        <v>180</v>
      </c>
    </row>
    <row r="18" spans="1:8" x14ac:dyDescent="0.2">
      <c r="A18" s="5" t="s">
        <v>25</v>
      </c>
      <c r="B18" s="6" t="s">
        <v>24</v>
      </c>
      <c r="C18">
        <v>0</v>
      </c>
      <c r="D18" s="7">
        <f t="shared" si="0"/>
        <v>2</v>
      </c>
      <c r="E18">
        <f t="shared" si="1"/>
        <v>40</v>
      </c>
      <c r="F18" s="8">
        <f t="shared" si="2"/>
        <v>0</v>
      </c>
      <c r="G18">
        <f t="shared" si="3"/>
        <v>60</v>
      </c>
      <c r="H18" s="9">
        <f t="shared" si="4"/>
        <v>0</v>
      </c>
    </row>
    <row r="19" spans="1:8" x14ac:dyDescent="0.2">
      <c r="A19" s="5" t="s">
        <v>25</v>
      </c>
      <c r="B19" s="6" t="s">
        <v>34</v>
      </c>
      <c r="C19">
        <v>1</v>
      </c>
      <c r="D19" s="7">
        <f t="shared" si="0"/>
        <v>2</v>
      </c>
      <c r="E19">
        <f t="shared" si="1"/>
        <v>40</v>
      </c>
      <c r="F19" s="8">
        <f t="shared" si="2"/>
        <v>1.5</v>
      </c>
      <c r="G19">
        <f t="shared" si="3"/>
        <v>60</v>
      </c>
      <c r="H19" s="9">
        <f t="shared" si="4"/>
        <v>180</v>
      </c>
    </row>
    <row r="20" spans="1:8" x14ac:dyDescent="0.2">
      <c r="A20" s="5" t="s">
        <v>25</v>
      </c>
      <c r="B20" s="6" t="s">
        <v>26</v>
      </c>
      <c r="C20">
        <v>0</v>
      </c>
      <c r="D20" s="7">
        <f t="shared" si="0"/>
        <v>2</v>
      </c>
      <c r="E20">
        <f t="shared" si="1"/>
        <v>40</v>
      </c>
      <c r="F20" s="8">
        <f t="shared" si="2"/>
        <v>0</v>
      </c>
      <c r="G20">
        <f t="shared" si="3"/>
        <v>60</v>
      </c>
      <c r="H20" s="9">
        <f t="shared" si="4"/>
        <v>0</v>
      </c>
    </row>
    <row r="21" spans="1:8" x14ac:dyDescent="0.2">
      <c r="A21" s="5" t="s">
        <v>27</v>
      </c>
      <c r="B21" s="18" t="s">
        <v>20</v>
      </c>
      <c r="C21">
        <v>1</v>
      </c>
      <c r="D21" s="7">
        <f t="shared" si="0"/>
        <v>1</v>
      </c>
      <c r="E21">
        <f t="shared" si="1"/>
        <v>48</v>
      </c>
      <c r="F21" s="8">
        <f t="shared" si="2"/>
        <v>1.25</v>
      </c>
      <c r="G21">
        <f t="shared" si="3"/>
        <v>60</v>
      </c>
      <c r="H21" s="9">
        <f t="shared" si="4"/>
        <v>75</v>
      </c>
    </row>
    <row r="22" spans="1:8" x14ac:dyDescent="0.2">
      <c r="A22" s="5" t="s">
        <v>27</v>
      </c>
      <c r="B22" s="6" t="s">
        <v>21</v>
      </c>
      <c r="C22">
        <v>1</v>
      </c>
      <c r="D22" s="7">
        <f t="shared" si="0"/>
        <v>1</v>
      </c>
      <c r="E22">
        <f t="shared" si="1"/>
        <v>48</v>
      </c>
      <c r="F22" s="8">
        <f t="shared" si="2"/>
        <v>1.25</v>
      </c>
      <c r="G22">
        <f t="shared" si="3"/>
        <v>60</v>
      </c>
      <c r="H22" s="9">
        <f t="shared" si="4"/>
        <v>75</v>
      </c>
    </row>
    <row r="23" spans="1:8" x14ac:dyDescent="0.2">
      <c r="A23" s="5" t="s">
        <v>27</v>
      </c>
      <c r="B23" s="6" t="s">
        <v>24</v>
      </c>
      <c r="C23">
        <v>1</v>
      </c>
      <c r="D23" s="7">
        <f t="shared" si="0"/>
        <v>1</v>
      </c>
      <c r="E23">
        <f t="shared" si="1"/>
        <v>48</v>
      </c>
      <c r="F23" s="8">
        <f t="shared" si="2"/>
        <v>1.25</v>
      </c>
      <c r="G23">
        <f t="shared" si="3"/>
        <v>60</v>
      </c>
      <c r="H23" s="9">
        <f t="shared" si="4"/>
        <v>75</v>
      </c>
    </row>
    <row r="24" spans="1:8" x14ac:dyDescent="0.2">
      <c r="A24" s="5" t="s">
        <v>27</v>
      </c>
      <c r="B24" s="6" t="s">
        <v>28</v>
      </c>
      <c r="C24">
        <v>1</v>
      </c>
      <c r="D24" s="7">
        <f t="shared" si="0"/>
        <v>1</v>
      </c>
      <c r="E24">
        <f t="shared" si="1"/>
        <v>48</v>
      </c>
      <c r="F24" s="8">
        <f t="shared" si="2"/>
        <v>1.25</v>
      </c>
      <c r="G24">
        <f t="shared" si="3"/>
        <v>60</v>
      </c>
      <c r="H24" s="9">
        <f t="shared" si="4"/>
        <v>75</v>
      </c>
    </row>
    <row r="25" spans="1:8" x14ac:dyDescent="0.2">
      <c r="A25" s="5" t="s">
        <v>27</v>
      </c>
      <c r="B25" s="6" t="s">
        <v>26</v>
      </c>
      <c r="C25">
        <v>1</v>
      </c>
      <c r="D25" s="7">
        <f t="shared" si="0"/>
        <v>1</v>
      </c>
      <c r="E25">
        <f t="shared" si="1"/>
        <v>48</v>
      </c>
      <c r="F25" s="8">
        <f t="shared" si="2"/>
        <v>1.25</v>
      </c>
      <c r="G25">
        <f t="shared" si="3"/>
        <v>60</v>
      </c>
      <c r="H25" s="9">
        <f t="shared" si="4"/>
        <v>75</v>
      </c>
    </row>
    <row r="26" spans="1:8" x14ac:dyDescent="0.2">
      <c r="A26" s="5" t="s">
        <v>29</v>
      </c>
      <c r="B26" s="6" t="s">
        <v>20</v>
      </c>
      <c r="C26">
        <v>1</v>
      </c>
      <c r="D26" s="7">
        <f t="shared" si="0"/>
        <v>2</v>
      </c>
      <c r="E26">
        <f t="shared" si="1"/>
        <v>74.5</v>
      </c>
      <c r="F26" s="8">
        <f t="shared" si="2"/>
        <v>0.80536912751677847</v>
      </c>
      <c r="G26">
        <f t="shared" si="3"/>
        <v>60</v>
      </c>
      <c r="H26" s="9">
        <f t="shared" si="4"/>
        <v>96.644295302013418</v>
      </c>
    </row>
    <row r="27" spans="1:8" x14ac:dyDescent="0.2">
      <c r="A27" s="5" t="s">
        <v>29</v>
      </c>
      <c r="B27" s="6" t="s">
        <v>33</v>
      </c>
      <c r="C27">
        <v>1</v>
      </c>
      <c r="D27" s="7">
        <f t="shared" si="0"/>
        <v>2</v>
      </c>
      <c r="E27">
        <f t="shared" si="1"/>
        <v>74.5</v>
      </c>
      <c r="F27" s="8">
        <f t="shared" si="2"/>
        <v>0.80536912751677847</v>
      </c>
      <c r="G27">
        <f t="shared" si="3"/>
        <v>60</v>
      </c>
      <c r="H27" s="9">
        <f t="shared" si="4"/>
        <v>96.644295302013418</v>
      </c>
    </row>
    <row r="28" spans="1:8" x14ac:dyDescent="0.2">
      <c r="A28" s="5" t="s">
        <v>29</v>
      </c>
      <c r="B28" s="6" t="s">
        <v>30</v>
      </c>
      <c r="C28">
        <v>1</v>
      </c>
      <c r="D28" s="7">
        <f t="shared" si="0"/>
        <v>2</v>
      </c>
      <c r="E28">
        <f t="shared" si="1"/>
        <v>74.5</v>
      </c>
      <c r="F28" s="8">
        <f t="shared" si="2"/>
        <v>0.80536912751677847</v>
      </c>
      <c r="G28">
        <f t="shared" si="3"/>
        <v>60</v>
      </c>
      <c r="H28" s="9">
        <f t="shared" si="4"/>
        <v>96.644295302013418</v>
      </c>
    </row>
    <row r="29" spans="1:8" x14ac:dyDescent="0.2">
      <c r="A29" s="5" t="s">
        <v>29</v>
      </c>
      <c r="B29" s="6" t="s">
        <v>26</v>
      </c>
      <c r="C29">
        <v>1</v>
      </c>
      <c r="D29" s="7">
        <f t="shared" si="0"/>
        <v>2</v>
      </c>
      <c r="E29">
        <f t="shared" si="1"/>
        <v>74.5</v>
      </c>
      <c r="F29" s="8">
        <f t="shared" si="2"/>
        <v>0.80536912751677847</v>
      </c>
      <c r="G29">
        <f t="shared" si="3"/>
        <v>60</v>
      </c>
      <c r="H29" s="9">
        <f t="shared" si="4"/>
        <v>96.644295302013418</v>
      </c>
    </row>
    <row r="32" spans="1:8" x14ac:dyDescent="0.2">
      <c r="D32" t="s">
        <v>38</v>
      </c>
      <c r="E32">
        <v>60</v>
      </c>
      <c r="F32" s="8"/>
      <c r="H32" s="9"/>
    </row>
    <row r="33" spans="1:13" x14ac:dyDescent="0.2">
      <c r="E33" t="s">
        <v>39</v>
      </c>
      <c r="F33" s="8"/>
      <c r="H33" s="9"/>
    </row>
    <row r="34" spans="1:13" ht="18.75" x14ac:dyDescent="0.25">
      <c r="G34" s="69" t="s">
        <v>40</v>
      </c>
      <c r="H34" s="69"/>
      <c r="I34" s="69"/>
    </row>
    <row r="35" spans="1:13" ht="75" x14ac:dyDescent="0.2">
      <c r="A35" s="20" t="s">
        <v>41</v>
      </c>
      <c r="B35" s="20" t="s">
        <v>35</v>
      </c>
      <c r="C35" s="21" t="s">
        <v>42</v>
      </c>
      <c r="D35" s="21" t="s">
        <v>43</v>
      </c>
      <c r="G35" s="21" t="s">
        <v>42</v>
      </c>
      <c r="H35" s="21" t="s">
        <v>44</v>
      </c>
      <c r="I35" s="21" t="s">
        <v>45</v>
      </c>
    </row>
    <row r="36" spans="1:13" ht="18.75" x14ac:dyDescent="0.25">
      <c r="A36" s="22" t="s">
        <v>20</v>
      </c>
      <c r="B36" s="23">
        <f>520/3</f>
        <v>173.33333333333334</v>
      </c>
      <c r="C36" s="24">
        <f t="shared" ref="C36:C46" si="5">GETPIVOTDATA("Итого",$I$1,"transaction rq",A36)</f>
        <v>507.6442953020134</v>
      </c>
      <c r="D36" s="25">
        <f t="shared" ref="D36:D47" si="6">1-B36/C36</f>
        <v>0.65855356804470355</v>
      </c>
      <c r="G36" s="26">
        <f t="shared" ref="G36:G47" si="7">C36</f>
        <v>507.6442953020134</v>
      </c>
      <c r="H36" s="26">
        <v>167</v>
      </c>
      <c r="I36" s="27">
        <f t="shared" ref="I36:I47" si="8">1-G36/H36</f>
        <v>-2.0397861994132538</v>
      </c>
    </row>
    <row r="37" spans="1:13" ht="18.75" x14ac:dyDescent="0.25">
      <c r="A37" s="22" t="s">
        <v>31</v>
      </c>
      <c r="B37" s="23">
        <f>282/3</f>
        <v>94</v>
      </c>
      <c r="C37" s="24">
        <f t="shared" si="5"/>
        <v>276</v>
      </c>
      <c r="D37" s="25">
        <f t="shared" si="6"/>
        <v>0.65942028985507251</v>
      </c>
      <c r="G37" s="26">
        <f t="shared" si="7"/>
        <v>276</v>
      </c>
      <c r="H37" s="26">
        <v>91</v>
      </c>
      <c r="I37" s="27">
        <f t="shared" si="8"/>
        <v>-2.0329670329670328</v>
      </c>
    </row>
    <row r="38" spans="1:13" ht="18.75" x14ac:dyDescent="0.25">
      <c r="A38" s="28" t="s">
        <v>21</v>
      </c>
      <c r="B38" s="23">
        <f>422/3</f>
        <v>140.66666666666666</v>
      </c>
      <c r="C38" s="24">
        <f t="shared" si="5"/>
        <v>411</v>
      </c>
      <c r="D38" s="25">
        <f t="shared" si="6"/>
        <v>0.65774533657745338</v>
      </c>
      <c r="G38" s="26">
        <f t="shared" si="7"/>
        <v>411</v>
      </c>
      <c r="H38" s="26">
        <v>135</v>
      </c>
      <c r="I38" s="27">
        <f t="shared" si="8"/>
        <v>-2.0444444444444443</v>
      </c>
    </row>
    <row r="39" spans="1:13" ht="18.75" x14ac:dyDescent="0.3">
      <c r="A39" s="28" t="s">
        <v>22</v>
      </c>
      <c r="B39" s="23">
        <f>282/3</f>
        <v>94</v>
      </c>
      <c r="C39" s="24">
        <f t="shared" si="5"/>
        <v>276</v>
      </c>
      <c r="D39" s="29">
        <f t="shared" si="6"/>
        <v>0.65942028985507251</v>
      </c>
      <c r="G39" s="26">
        <f t="shared" si="7"/>
        <v>276</v>
      </c>
      <c r="H39" s="26">
        <v>91</v>
      </c>
      <c r="I39" s="27">
        <f t="shared" si="8"/>
        <v>-2.0329670329670328</v>
      </c>
      <c r="M39" s="30"/>
    </row>
    <row r="40" spans="1:13" ht="18.75" x14ac:dyDescent="0.25">
      <c r="A40" s="28" t="s">
        <v>34</v>
      </c>
      <c r="B40" s="23">
        <f>175/3</f>
        <v>58.333333333333336</v>
      </c>
      <c r="C40" s="24">
        <f t="shared" si="5"/>
        <v>180</v>
      </c>
      <c r="D40" s="29">
        <f t="shared" si="6"/>
        <v>0.67592592592592593</v>
      </c>
      <c r="G40" s="26">
        <f t="shared" si="7"/>
        <v>180</v>
      </c>
      <c r="H40" s="26">
        <v>60</v>
      </c>
      <c r="I40" s="27">
        <f t="shared" si="8"/>
        <v>-2</v>
      </c>
    </row>
    <row r="41" spans="1:13" ht="18.75" x14ac:dyDescent="0.25">
      <c r="A41" s="28" t="s">
        <v>24</v>
      </c>
      <c r="B41" s="23">
        <f>280/3</f>
        <v>93.333333333333329</v>
      </c>
      <c r="C41" s="24">
        <f t="shared" si="5"/>
        <v>267</v>
      </c>
      <c r="D41" s="29">
        <f t="shared" si="6"/>
        <v>0.65043695380774036</v>
      </c>
      <c r="G41" s="26">
        <f t="shared" si="7"/>
        <v>267</v>
      </c>
      <c r="H41" s="26">
        <v>87</v>
      </c>
      <c r="I41" s="27">
        <f t="shared" si="8"/>
        <v>-2.0689655172413794</v>
      </c>
    </row>
    <row r="42" spans="1:13" ht="37.5" x14ac:dyDescent="0.25">
      <c r="A42" s="28" t="s">
        <v>28</v>
      </c>
      <c r="B42" s="23">
        <f>73/3</f>
        <v>24.333333333333332</v>
      </c>
      <c r="C42" s="24">
        <f t="shared" si="5"/>
        <v>75</v>
      </c>
      <c r="D42" s="29">
        <f t="shared" si="6"/>
        <v>0.67555555555555558</v>
      </c>
      <c r="G42" s="26">
        <f t="shared" si="7"/>
        <v>75</v>
      </c>
      <c r="H42" s="26">
        <v>25</v>
      </c>
      <c r="I42" s="27">
        <f t="shared" si="8"/>
        <v>-2</v>
      </c>
    </row>
    <row r="43" spans="1:13" ht="18.75" x14ac:dyDescent="0.25">
      <c r="A43" s="28" t="s">
        <v>26</v>
      </c>
      <c r="B43" s="23">
        <f>326/3</f>
        <v>108.66666666666667</v>
      </c>
      <c r="C43" s="24">
        <f t="shared" si="5"/>
        <v>327.6442953020134</v>
      </c>
      <c r="D43" s="29">
        <f t="shared" si="6"/>
        <v>0.66833951262145197</v>
      </c>
      <c r="G43" s="26">
        <f t="shared" si="7"/>
        <v>327.6442953020134</v>
      </c>
      <c r="H43" s="26">
        <v>109</v>
      </c>
      <c r="I43" s="27">
        <f t="shared" si="8"/>
        <v>-2.0059109660735173</v>
      </c>
    </row>
    <row r="44" spans="1:13" ht="18.75" x14ac:dyDescent="0.25">
      <c r="A44" s="28" t="s">
        <v>33</v>
      </c>
      <c r="B44" s="23">
        <f>97/3</f>
        <v>32.333333333333336</v>
      </c>
      <c r="C44" s="24">
        <f t="shared" si="5"/>
        <v>96.644295302013418</v>
      </c>
      <c r="D44" s="29">
        <f t="shared" si="6"/>
        <v>0.66543981481481485</v>
      </c>
      <c r="G44" s="26">
        <f t="shared" si="7"/>
        <v>96.644295302013418</v>
      </c>
      <c r="H44" s="26">
        <v>32</v>
      </c>
      <c r="I44" s="27">
        <f t="shared" si="8"/>
        <v>-2.0201342281879193</v>
      </c>
    </row>
    <row r="45" spans="1:13" ht="18.75" x14ac:dyDescent="0.25">
      <c r="A45" s="28" t="s">
        <v>30</v>
      </c>
      <c r="B45" s="23">
        <f>97/3</f>
        <v>32.333333333333336</v>
      </c>
      <c r="C45" s="24">
        <f t="shared" si="5"/>
        <v>96.644295302013418</v>
      </c>
      <c r="D45" s="29">
        <f t="shared" si="6"/>
        <v>0.66543981481481485</v>
      </c>
      <c r="G45" s="26">
        <f t="shared" si="7"/>
        <v>96.644295302013418</v>
      </c>
      <c r="H45" s="26">
        <v>32</v>
      </c>
      <c r="I45" s="27">
        <f t="shared" si="8"/>
        <v>-2.0201342281879193</v>
      </c>
    </row>
    <row r="46" spans="1:13" ht="18.75" x14ac:dyDescent="0.25">
      <c r="A46" s="28" t="s">
        <v>32</v>
      </c>
      <c r="B46" s="23">
        <f>282/3</f>
        <v>94</v>
      </c>
      <c r="C46" s="24">
        <f t="shared" si="5"/>
        <v>276</v>
      </c>
      <c r="D46" s="29">
        <f t="shared" si="6"/>
        <v>0.65942028985507251</v>
      </c>
      <c r="G46" s="26">
        <f t="shared" si="7"/>
        <v>276</v>
      </c>
      <c r="H46" s="26">
        <v>91</v>
      </c>
      <c r="I46" s="27">
        <f t="shared" si="8"/>
        <v>-2.0329670329670328</v>
      </c>
    </row>
    <row r="47" spans="1:13" ht="18.75" x14ac:dyDescent="0.25">
      <c r="A47" s="28" t="s">
        <v>7</v>
      </c>
      <c r="B47" s="23">
        <f>SUM(B36:B46)</f>
        <v>945.33333333333348</v>
      </c>
      <c r="C47" s="31">
        <f>SUM(C35:C46)</f>
        <v>2789.5771812080534</v>
      </c>
      <c r="D47" s="29">
        <f t="shared" si="6"/>
        <v>0.66111949161989214</v>
      </c>
      <c r="G47" s="26">
        <f t="shared" si="7"/>
        <v>2789.5771812080534</v>
      </c>
      <c r="H47" s="26">
        <f>SUM(H36:H46)</f>
        <v>920</v>
      </c>
      <c r="I47" s="27">
        <f t="shared" si="8"/>
        <v>-2.0321491100087536</v>
      </c>
    </row>
    <row r="48" spans="1:13" ht="18.75" x14ac:dyDescent="0.2">
      <c r="E48" s="32"/>
      <c r="H48" s="32"/>
      <c r="M48" s="33"/>
    </row>
    <row r="49" spans="1:8" x14ac:dyDescent="0.2">
      <c r="E49" s="32"/>
      <c r="H49" s="32"/>
    </row>
    <row r="50" spans="1:8" x14ac:dyDescent="0.2">
      <c r="E50" s="32"/>
    </row>
    <row r="51" spans="1:8" ht="75" x14ac:dyDescent="0.2">
      <c r="A51" s="20" t="s">
        <v>41</v>
      </c>
      <c r="B51" s="20" t="s">
        <v>46</v>
      </c>
      <c r="C51" s="21" t="s">
        <v>47</v>
      </c>
      <c r="D51" s="21" t="s">
        <v>43</v>
      </c>
    </row>
    <row r="52" spans="1:8" ht="18.75" x14ac:dyDescent="0.25">
      <c r="A52" s="22" t="s">
        <v>20</v>
      </c>
      <c r="B52" s="23">
        <f>520</f>
        <v>520</v>
      </c>
      <c r="C52" s="24">
        <f t="shared" ref="C52:C62" si="9">GETPIVOTDATA("Итого",$I$1,"transaction rq",A52)</f>
        <v>507.6442953020134</v>
      </c>
      <c r="D52" s="25">
        <f t="shared" ref="D52:D63" si="10">1-B52/C52</f>
        <v>-2.4339295865889232E-2</v>
      </c>
    </row>
    <row r="53" spans="1:8" ht="18.75" x14ac:dyDescent="0.25">
      <c r="A53" s="34" t="s">
        <v>31</v>
      </c>
      <c r="B53" s="23">
        <f>282</f>
        <v>282</v>
      </c>
      <c r="C53" s="24">
        <f t="shared" si="9"/>
        <v>276</v>
      </c>
      <c r="D53" s="25">
        <f t="shared" si="10"/>
        <v>-2.1739130434782705E-2</v>
      </c>
    </row>
    <row r="54" spans="1:8" ht="18.75" x14ac:dyDescent="0.25">
      <c r="A54" s="28" t="s">
        <v>21</v>
      </c>
      <c r="B54" s="23">
        <f>422</f>
        <v>422</v>
      </c>
      <c r="C54" s="24">
        <f t="shared" si="9"/>
        <v>411</v>
      </c>
      <c r="D54" s="25">
        <f t="shared" si="10"/>
        <v>-2.6763990267639981E-2</v>
      </c>
    </row>
    <row r="55" spans="1:8" ht="18.75" x14ac:dyDescent="0.25">
      <c r="A55" s="28" t="s">
        <v>22</v>
      </c>
      <c r="B55" s="23">
        <f>282</f>
        <v>282</v>
      </c>
      <c r="C55" s="24">
        <f t="shared" si="9"/>
        <v>276</v>
      </c>
      <c r="D55" s="29">
        <f t="shared" si="10"/>
        <v>-2.1739130434782705E-2</v>
      </c>
    </row>
    <row r="56" spans="1:8" ht="18.75" x14ac:dyDescent="0.25">
      <c r="A56" s="28" t="s">
        <v>34</v>
      </c>
      <c r="B56" s="23">
        <f>175</f>
        <v>175</v>
      </c>
      <c r="C56" s="24">
        <f t="shared" si="9"/>
        <v>180</v>
      </c>
      <c r="D56" s="29">
        <f t="shared" si="10"/>
        <v>2.777777777777779E-2</v>
      </c>
    </row>
    <row r="57" spans="1:8" ht="18.75" x14ac:dyDescent="0.25">
      <c r="A57" s="28" t="s">
        <v>24</v>
      </c>
      <c r="B57" s="23">
        <f>280</f>
        <v>280</v>
      </c>
      <c r="C57" s="24">
        <f t="shared" si="9"/>
        <v>267</v>
      </c>
      <c r="D57" s="29">
        <f t="shared" si="10"/>
        <v>-4.8689138576778923E-2</v>
      </c>
    </row>
    <row r="58" spans="1:8" ht="37.5" x14ac:dyDescent="0.25">
      <c r="A58" s="28" t="s">
        <v>28</v>
      </c>
      <c r="B58" s="23">
        <f>73</f>
        <v>73</v>
      </c>
      <c r="C58" s="24">
        <f t="shared" si="9"/>
        <v>75</v>
      </c>
      <c r="D58" s="29">
        <f t="shared" si="10"/>
        <v>2.6666666666666616E-2</v>
      </c>
    </row>
    <row r="59" spans="1:8" ht="18.75" x14ac:dyDescent="0.25">
      <c r="A59" s="28" t="s">
        <v>26</v>
      </c>
      <c r="B59" s="23">
        <f>326</f>
        <v>326</v>
      </c>
      <c r="C59" s="24">
        <f t="shared" si="9"/>
        <v>327.6442953020134</v>
      </c>
      <c r="D59" s="29">
        <f t="shared" si="10"/>
        <v>5.0185378643560208E-3</v>
      </c>
    </row>
    <row r="60" spans="1:8" ht="18.75" x14ac:dyDescent="0.25">
      <c r="A60" s="28" t="s">
        <v>33</v>
      </c>
      <c r="B60" s="23">
        <f>97</f>
        <v>97</v>
      </c>
      <c r="C60" s="24">
        <f t="shared" si="9"/>
        <v>96.644295302013418</v>
      </c>
      <c r="D60" s="29">
        <f t="shared" si="10"/>
        <v>-3.6805555555556868E-3</v>
      </c>
    </row>
    <row r="61" spans="1:8" ht="18.75" x14ac:dyDescent="0.25">
      <c r="A61" s="28" t="s">
        <v>30</v>
      </c>
      <c r="B61" s="23">
        <f>97</f>
        <v>97</v>
      </c>
      <c r="C61" s="24">
        <f t="shared" si="9"/>
        <v>96.644295302013418</v>
      </c>
      <c r="D61" s="29">
        <f t="shared" si="10"/>
        <v>-3.6805555555556868E-3</v>
      </c>
    </row>
    <row r="62" spans="1:8" ht="18.75" x14ac:dyDescent="0.25">
      <c r="A62" s="28" t="s">
        <v>32</v>
      </c>
      <c r="B62" s="23">
        <f>282</f>
        <v>282</v>
      </c>
      <c r="C62" s="24">
        <f t="shared" si="9"/>
        <v>276</v>
      </c>
      <c r="D62" s="29">
        <f t="shared" si="10"/>
        <v>-2.1739130434782705E-2</v>
      </c>
    </row>
    <row r="63" spans="1:8" ht="18.75" x14ac:dyDescent="0.25">
      <c r="A63" s="28" t="s">
        <v>7</v>
      </c>
      <c r="B63" s="23">
        <f>SUM(B52:B62)</f>
        <v>2836</v>
      </c>
      <c r="C63" s="31">
        <f>SUM(C51:C62)</f>
        <v>2789.5771812080534</v>
      </c>
      <c r="D63" s="29">
        <f t="shared" si="10"/>
        <v>-1.6641525140323576E-2</v>
      </c>
    </row>
  </sheetData>
  <mergeCells count="1">
    <mergeCell ref="G34:I34"/>
  </mergeCells>
  <pageMargins left="0.70000000000000007" right="0.70000000000000007" top="1.1437007874015752" bottom="1.1437007874015752" header="0.75000000000000011" footer="0.75000000000000011"/>
  <pageSetup paperSize="9" fitToWidth="0" fitToHeight="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B1" zoomScale="70" zoomScaleNormal="70" workbookViewId="0">
      <selection activeCell="R9" sqref="R9"/>
    </sheetView>
  </sheetViews>
  <sheetFormatPr defaultRowHeight="14.25" x14ac:dyDescent="0.2"/>
  <cols>
    <col min="1" max="1" width="19.875" customWidth="1"/>
    <col min="4" max="4" width="13.75" customWidth="1"/>
    <col min="10" max="10" width="19" customWidth="1"/>
    <col min="13" max="13" width="14.5" customWidth="1"/>
    <col min="18" max="18" width="16" customWidth="1"/>
    <col min="21" max="21" width="15.125" customWidth="1"/>
  </cols>
  <sheetData>
    <row r="1" spans="1:24" ht="15" thickBot="1" x14ac:dyDescent="0.25">
      <c r="A1" s="70" t="s">
        <v>75</v>
      </c>
      <c r="B1" s="71"/>
      <c r="C1" s="71"/>
      <c r="D1" s="71"/>
      <c r="E1" s="71"/>
      <c r="F1" s="71"/>
      <c r="G1" s="72"/>
      <c r="J1" s="73" t="s">
        <v>81</v>
      </c>
      <c r="K1" s="73"/>
      <c r="L1" s="73"/>
      <c r="M1" s="73"/>
      <c r="N1" s="73"/>
      <c r="O1" s="73"/>
      <c r="P1" s="73"/>
    </row>
    <row r="2" spans="1:24" ht="15" x14ac:dyDescent="0.25">
      <c r="A2" s="58" t="s">
        <v>68</v>
      </c>
      <c r="B2" s="56" t="s">
        <v>76</v>
      </c>
      <c r="C2" s="56" t="s">
        <v>77</v>
      </c>
      <c r="D2" s="56" t="s">
        <v>78</v>
      </c>
      <c r="E2" s="56" t="s">
        <v>69</v>
      </c>
      <c r="F2" s="56" t="s">
        <v>70</v>
      </c>
      <c r="G2" s="60" t="s">
        <v>71</v>
      </c>
      <c r="J2" s="58" t="s">
        <v>68</v>
      </c>
      <c r="K2" s="56" t="s">
        <v>76</v>
      </c>
      <c r="L2" s="56" t="s">
        <v>77</v>
      </c>
      <c r="M2" s="56" t="s">
        <v>78</v>
      </c>
      <c r="N2" s="56" t="s">
        <v>69</v>
      </c>
      <c r="O2" s="56" t="s">
        <v>70</v>
      </c>
      <c r="P2" s="60" t="s">
        <v>71</v>
      </c>
    </row>
    <row r="3" spans="1:24" ht="15" x14ac:dyDescent="0.25">
      <c r="A3" s="61" t="s">
        <v>22</v>
      </c>
      <c r="B3" s="53">
        <v>0.04</v>
      </c>
      <c r="C3" s="53">
        <v>4.2000000000000003E-2</v>
      </c>
      <c r="D3" s="53">
        <v>5.8000000000000003E-2</v>
      </c>
      <c r="E3" s="53">
        <v>91</v>
      </c>
      <c r="F3" s="53">
        <v>0</v>
      </c>
      <c r="G3" s="52">
        <v>0</v>
      </c>
      <c r="J3" s="61" t="s">
        <v>22</v>
      </c>
      <c r="K3" s="53">
        <v>3.9E-2</v>
      </c>
      <c r="L3" s="53">
        <v>7.6999999999999999E-2</v>
      </c>
      <c r="M3" s="53">
        <v>1.4590000000000001</v>
      </c>
      <c r="N3" s="53">
        <v>333</v>
      </c>
      <c r="O3" s="53">
        <v>0</v>
      </c>
      <c r="P3" s="52">
        <v>0</v>
      </c>
    </row>
    <row r="4" spans="1:24" ht="15" x14ac:dyDescent="0.25">
      <c r="A4" s="61" t="s">
        <v>28</v>
      </c>
      <c r="B4" s="53">
        <v>5.8000000000000003E-2</v>
      </c>
      <c r="C4" s="53">
        <v>0.108</v>
      </c>
      <c r="D4" s="53">
        <v>0.14299999999999999</v>
      </c>
      <c r="E4" s="53">
        <v>25</v>
      </c>
      <c r="F4" s="53">
        <v>0</v>
      </c>
      <c r="G4" s="52">
        <v>0</v>
      </c>
      <c r="J4" s="61" t="s">
        <v>28</v>
      </c>
      <c r="K4" s="53">
        <v>5.1999999999999998E-2</v>
      </c>
      <c r="L4" s="53">
        <v>0.13</v>
      </c>
      <c r="M4" s="53">
        <v>0.86699999999999999</v>
      </c>
      <c r="N4" s="53">
        <v>90</v>
      </c>
      <c r="O4" s="53">
        <v>1</v>
      </c>
      <c r="P4" s="52">
        <v>0</v>
      </c>
    </row>
    <row r="5" spans="1:24" ht="15" x14ac:dyDescent="0.25">
      <c r="A5" s="61" t="s">
        <v>30</v>
      </c>
      <c r="B5" s="53">
        <v>7.9000000000000001E-2</v>
      </c>
      <c r="C5" s="53">
        <v>8.8999999999999996E-2</v>
      </c>
      <c r="D5" s="53">
        <v>0.107</v>
      </c>
      <c r="E5" s="53">
        <v>32</v>
      </c>
      <c r="F5" s="53">
        <v>0</v>
      </c>
      <c r="G5" s="52">
        <v>0</v>
      </c>
      <c r="J5" s="61" t="s">
        <v>30</v>
      </c>
      <c r="K5" s="53">
        <v>7.8E-2</v>
      </c>
      <c r="L5" s="53">
        <v>0.39300000000000002</v>
      </c>
      <c r="M5" s="53">
        <v>3.2450000000000001</v>
      </c>
      <c r="N5" s="53">
        <v>116</v>
      </c>
      <c r="O5" s="53">
        <v>0</v>
      </c>
      <c r="P5" s="52">
        <v>0</v>
      </c>
    </row>
    <row r="6" spans="1:24" ht="15" x14ac:dyDescent="0.25">
      <c r="A6" s="61" t="s">
        <v>33</v>
      </c>
      <c r="B6" s="53">
        <v>7.2999999999999995E-2</v>
      </c>
      <c r="C6" s="53">
        <v>0.127</v>
      </c>
      <c r="D6" s="53">
        <v>0.14000000000000001</v>
      </c>
      <c r="E6" s="53">
        <v>32</v>
      </c>
      <c r="F6" s="53">
        <v>0</v>
      </c>
      <c r="G6" s="52">
        <v>0</v>
      </c>
      <c r="J6" s="61" t="s">
        <v>33</v>
      </c>
      <c r="K6" s="53">
        <v>6.9000000000000006E-2</v>
      </c>
      <c r="L6" s="53">
        <v>0.158</v>
      </c>
      <c r="M6" s="53">
        <v>1.37</v>
      </c>
      <c r="N6" s="53">
        <v>116</v>
      </c>
      <c r="O6" s="53">
        <v>0</v>
      </c>
      <c r="P6" s="52">
        <v>0</v>
      </c>
    </row>
    <row r="7" spans="1:24" ht="15" x14ac:dyDescent="0.25">
      <c r="A7" s="61" t="s">
        <v>32</v>
      </c>
      <c r="B7" s="53">
        <v>3.9E-2</v>
      </c>
      <c r="C7" s="53">
        <v>4.1000000000000002E-2</v>
      </c>
      <c r="D7" s="53">
        <v>5.2999999999999999E-2</v>
      </c>
      <c r="E7" s="53">
        <v>91</v>
      </c>
      <c r="F7" s="53">
        <v>0</v>
      </c>
      <c r="G7" s="52">
        <v>0</v>
      </c>
      <c r="J7" s="61" t="s">
        <v>32</v>
      </c>
      <c r="K7" s="53">
        <v>3.9E-2</v>
      </c>
      <c r="L7" s="53">
        <v>5.1999999999999998E-2</v>
      </c>
      <c r="M7" s="53">
        <v>1.73</v>
      </c>
      <c r="N7" s="53">
        <v>333</v>
      </c>
      <c r="O7" s="53">
        <v>0</v>
      </c>
      <c r="P7" s="52">
        <v>0</v>
      </c>
    </row>
    <row r="8" spans="1:24" ht="15" x14ac:dyDescent="0.25">
      <c r="A8" s="61" t="s">
        <v>31</v>
      </c>
      <c r="B8" s="53">
        <v>0.08</v>
      </c>
      <c r="C8" s="53">
        <v>0.12</v>
      </c>
      <c r="D8" s="53">
        <v>0.13900000000000001</v>
      </c>
      <c r="E8" s="53">
        <v>91</v>
      </c>
      <c r="F8" s="53">
        <v>0</v>
      </c>
      <c r="G8" s="52">
        <v>0</v>
      </c>
      <c r="J8" s="61" t="s">
        <v>31</v>
      </c>
      <c r="K8" s="53">
        <v>7.1999999999999995E-2</v>
      </c>
      <c r="L8" s="53">
        <v>0.17199999999999999</v>
      </c>
      <c r="M8" s="53">
        <v>2.7650000000000001</v>
      </c>
      <c r="N8" s="53">
        <v>333</v>
      </c>
      <c r="O8" s="53">
        <v>0</v>
      </c>
      <c r="P8" s="52">
        <v>0</v>
      </c>
    </row>
    <row r="9" spans="1:24" ht="15" x14ac:dyDescent="0.25">
      <c r="A9" s="61" t="s">
        <v>24</v>
      </c>
      <c r="B9" s="53">
        <v>0.11</v>
      </c>
      <c r="C9" s="53">
        <v>0.121</v>
      </c>
      <c r="D9" s="53">
        <v>0.14599999999999999</v>
      </c>
      <c r="E9" s="53">
        <v>89</v>
      </c>
      <c r="F9" s="53">
        <v>0</v>
      </c>
      <c r="G9" s="52">
        <v>0</v>
      </c>
      <c r="J9" s="61" t="s">
        <v>24</v>
      </c>
      <c r="K9" s="53">
        <v>0.109</v>
      </c>
      <c r="L9" s="53">
        <v>0.33100000000000002</v>
      </c>
      <c r="M9" s="53">
        <v>3.0350000000000001</v>
      </c>
      <c r="N9" s="53">
        <v>323</v>
      </c>
      <c r="O9" s="53">
        <v>0</v>
      </c>
      <c r="P9" s="52">
        <v>0</v>
      </c>
    </row>
    <row r="10" spans="1:24" ht="15" x14ac:dyDescent="0.25">
      <c r="A10" s="61" t="s">
        <v>21</v>
      </c>
      <c r="B10" s="53">
        <v>6.9000000000000006E-2</v>
      </c>
      <c r="C10" s="53">
        <v>9.5000000000000001E-2</v>
      </c>
      <c r="D10" s="53">
        <v>0.186</v>
      </c>
      <c r="E10" s="53">
        <v>136</v>
      </c>
      <c r="F10" s="53">
        <v>1</v>
      </c>
      <c r="G10" s="52">
        <v>0</v>
      </c>
      <c r="J10" s="61" t="s">
        <v>21</v>
      </c>
      <c r="K10" s="53">
        <v>6.6000000000000003E-2</v>
      </c>
      <c r="L10" s="53">
        <v>0.33600000000000002</v>
      </c>
      <c r="M10" s="53">
        <v>4.4630000000000001</v>
      </c>
      <c r="N10" s="53">
        <v>498</v>
      </c>
      <c r="O10" s="53">
        <v>0</v>
      </c>
      <c r="P10" s="52">
        <v>0</v>
      </c>
    </row>
    <row r="11" spans="1:24" ht="15" x14ac:dyDescent="0.25">
      <c r="A11" s="61" t="s">
        <v>20</v>
      </c>
      <c r="B11" s="53">
        <v>6.3E-2</v>
      </c>
      <c r="C11" s="53">
        <v>9.1999999999999998E-2</v>
      </c>
      <c r="D11" s="53">
        <v>0.11799999999999999</v>
      </c>
      <c r="E11" s="53">
        <v>167</v>
      </c>
      <c r="F11" s="53">
        <v>0</v>
      </c>
      <c r="G11" s="52">
        <v>0</v>
      </c>
      <c r="J11" s="65" t="s">
        <v>20</v>
      </c>
      <c r="K11" s="53">
        <v>6.2E-2</v>
      </c>
      <c r="L11" s="53">
        <v>0.25700000000000001</v>
      </c>
      <c r="M11" s="53">
        <v>3.9060000000000001</v>
      </c>
      <c r="N11" s="53">
        <v>615</v>
      </c>
      <c r="O11" s="53">
        <v>0</v>
      </c>
      <c r="P11" s="52">
        <v>0</v>
      </c>
    </row>
    <row r="12" spans="1:24" ht="15" x14ac:dyDescent="0.25">
      <c r="A12" s="87" t="s">
        <v>26</v>
      </c>
      <c r="B12" s="75">
        <v>6.0999999999999999E-2</v>
      </c>
      <c r="C12" s="75">
        <v>6.5000000000000002E-2</v>
      </c>
      <c r="D12" s="75">
        <v>7.3999999999999996E-2</v>
      </c>
      <c r="E12" s="75">
        <v>110</v>
      </c>
      <c r="F12" s="75">
        <v>0</v>
      </c>
      <c r="G12" s="82">
        <v>0</v>
      </c>
      <c r="J12" s="96" t="s">
        <v>26</v>
      </c>
      <c r="K12" s="75">
        <v>6.0999999999999999E-2</v>
      </c>
      <c r="L12" s="75">
        <v>0.17699999999999999</v>
      </c>
      <c r="M12" s="75">
        <v>3.36</v>
      </c>
      <c r="N12" s="75">
        <v>410</v>
      </c>
      <c r="O12" s="75">
        <v>0</v>
      </c>
      <c r="P12" s="82">
        <v>0</v>
      </c>
    </row>
    <row r="13" spans="1:24" ht="15.75" thickBot="1" x14ac:dyDescent="0.3">
      <c r="A13" s="62" t="s">
        <v>34</v>
      </c>
      <c r="B13" s="55">
        <v>0.04</v>
      </c>
      <c r="C13" s="55">
        <v>4.2999999999999997E-2</v>
      </c>
      <c r="D13" s="55">
        <v>6.6000000000000003E-2</v>
      </c>
      <c r="E13" s="55">
        <v>59</v>
      </c>
      <c r="F13" s="55">
        <v>0</v>
      </c>
      <c r="G13" s="54">
        <v>0</v>
      </c>
      <c r="J13" s="93" t="s">
        <v>34</v>
      </c>
      <c r="K13" s="55">
        <v>0.04</v>
      </c>
      <c r="L13" s="55">
        <v>0.158</v>
      </c>
      <c r="M13" s="55">
        <v>2.2690000000000001</v>
      </c>
      <c r="N13" s="55">
        <v>217</v>
      </c>
      <c r="O13" s="55">
        <v>0</v>
      </c>
      <c r="P13" s="54">
        <v>0</v>
      </c>
    </row>
    <row r="14" spans="1:24" ht="15.75" thickBot="1" x14ac:dyDescent="0.3">
      <c r="D14" t="s">
        <v>83</v>
      </c>
      <c r="E14">
        <f>SUM(E3:E13)*3</f>
        <v>2769</v>
      </c>
      <c r="J14" s="66" t="s">
        <v>84</v>
      </c>
      <c r="K14" s="59">
        <v>0.216</v>
      </c>
      <c r="L14" s="59">
        <v>1.19</v>
      </c>
      <c r="M14" s="59">
        <v>7.3239999999999998</v>
      </c>
      <c r="N14" s="59">
        <v>73</v>
      </c>
      <c r="O14" s="59">
        <v>0</v>
      </c>
      <c r="P14" s="57">
        <v>0</v>
      </c>
      <c r="R14" s="73" t="s">
        <v>90</v>
      </c>
      <c r="S14" s="73"/>
      <c r="T14" s="73"/>
      <c r="U14" s="73"/>
      <c r="V14" s="73"/>
      <c r="W14" s="73"/>
      <c r="X14" s="73"/>
    </row>
    <row r="15" spans="1:24" ht="15.75" thickBot="1" x14ac:dyDescent="0.3">
      <c r="J15" s="64" t="s">
        <v>85</v>
      </c>
      <c r="K15" s="53">
        <v>0.63900000000000001</v>
      </c>
      <c r="L15" s="53">
        <v>1.7729999999999999</v>
      </c>
      <c r="M15" s="53">
        <v>5.5579999999999998</v>
      </c>
      <c r="N15" s="53">
        <v>116</v>
      </c>
      <c r="O15" s="53">
        <v>0</v>
      </c>
      <c r="P15" s="52">
        <v>0</v>
      </c>
      <c r="R15" s="83" t="s">
        <v>68</v>
      </c>
      <c r="S15" s="84" t="s">
        <v>76</v>
      </c>
      <c r="T15" s="84" t="s">
        <v>77</v>
      </c>
      <c r="U15" s="84" t="s">
        <v>78</v>
      </c>
      <c r="V15" s="92" t="s">
        <v>69</v>
      </c>
      <c r="W15" s="84" t="s">
        <v>70</v>
      </c>
      <c r="X15" s="85" t="s">
        <v>71</v>
      </c>
    </row>
    <row r="16" spans="1:24" ht="15" x14ac:dyDescent="0.25">
      <c r="J16" s="64" t="s">
        <v>86</v>
      </c>
      <c r="K16" s="53">
        <v>0.376</v>
      </c>
      <c r="L16" s="53">
        <v>0.86199999999999999</v>
      </c>
      <c r="M16" s="53">
        <v>4.2149999999999999</v>
      </c>
      <c r="N16" s="53">
        <v>217</v>
      </c>
      <c r="O16" s="53">
        <v>0</v>
      </c>
      <c r="P16" s="52">
        <v>0</v>
      </c>
      <c r="R16" s="86" t="s">
        <v>22</v>
      </c>
      <c r="S16" s="81">
        <v>4.4999999999999998E-2</v>
      </c>
      <c r="T16" s="81">
        <v>6.2E-2</v>
      </c>
      <c r="U16" s="81">
        <v>0.86599999999999999</v>
      </c>
      <c r="V16" s="80">
        <v>963</v>
      </c>
      <c r="W16" s="81">
        <v>0</v>
      </c>
      <c r="X16" s="79">
        <v>0</v>
      </c>
    </row>
    <row r="17" spans="1:24" ht="15" x14ac:dyDescent="0.25">
      <c r="J17" s="64" t="s">
        <v>87</v>
      </c>
      <c r="K17" s="53">
        <v>0.41</v>
      </c>
      <c r="L17" s="53">
        <v>1.3260000000000001</v>
      </c>
      <c r="M17" s="53">
        <v>6.6059999999999999</v>
      </c>
      <c r="N17" s="53">
        <v>89</v>
      </c>
      <c r="O17" s="53">
        <v>1</v>
      </c>
      <c r="P17" s="52">
        <v>0</v>
      </c>
      <c r="R17" s="87" t="s">
        <v>28</v>
      </c>
      <c r="S17" s="75">
        <v>6.3E-2</v>
      </c>
      <c r="T17" s="75">
        <v>0.14099999999999999</v>
      </c>
      <c r="U17" s="75">
        <v>1.286</v>
      </c>
      <c r="V17" s="80">
        <v>297</v>
      </c>
      <c r="W17" s="75">
        <v>2</v>
      </c>
      <c r="X17" s="82">
        <v>0</v>
      </c>
    </row>
    <row r="18" spans="1:24" ht="15.75" thickBot="1" x14ac:dyDescent="0.3">
      <c r="A18" s="73" t="s">
        <v>79</v>
      </c>
      <c r="B18" s="73"/>
      <c r="C18" s="73"/>
      <c r="D18" s="73"/>
      <c r="E18" s="73"/>
      <c r="F18" s="73"/>
      <c r="G18" s="73"/>
      <c r="J18" s="63" t="s">
        <v>88</v>
      </c>
      <c r="K18" s="55">
        <v>0.28899999999999998</v>
      </c>
      <c r="L18" s="55">
        <v>0.89400000000000002</v>
      </c>
      <c r="M18" s="55">
        <v>4.375</v>
      </c>
      <c r="N18" s="55">
        <v>116</v>
      </c>
      <c r="O18" s="55">
        <v>0</v>
      </c>
      <c r="P18" s="54">
        <v>0</v>
      </c>
      <c r="R18" s="87" t="s">
        <v>30</v>
      </c>
      <c r="S18" s="75">
        <v>7.5999999999999998E-2</v>
      </c>
      <c r="T18" s="75">
        <v>0.112</v>
      </c>
      <c r="U18" s="75">
        <v>1.016</v>
      </c>
      <c r="V18" s="80">
        <v>339</v>
      </c>
      <c r="W18" s="75">
        <v>0</v>
      </c>
      <c r="X18" s="82">
        <v>0</v>
      </c>
    </row>
    <row r="19" spans="1:24" ht="15" x14ac:dyDescent="0.25">
      <c r="A19" s="58" t="s">
        <v>68</v>
      </c>
      <c r="B19" s="56" t="s">
        <v>76</v>
      </c>
      <c r="C19" s="56" t="s">
        <v>77</v>
      </c>
      <c r="D19" s="56" t="s">
        <v>78</v>
      </c>
      <c r="E19" s="56" t="s">
        <v>69</v>
      </c>
      <c r="F19" s="56" t="s">
        <v>70</v>
      </c>
      <c r="G19" s="60" t="s">
        <v>71</v>
      </c>
      <c r="J19" s="68" t="s">
        <v>89</v>
      </c>
      <c r="K19" s="67">
        <f>SUM(N14:N18)*3</f>
        <v>1833</v>
      </c>
      <c r="M19" s="67" t="s">
        <v>83</v>
      </c>
      <c r="N19" s="67">
        <f>SUM(N3:N13)*3</f>
        <v>10152</v>
      </c>
      <c r="R19" s="87" t="s">
        <v>33</v>
      </c>
      <c r="S19" s="75">
        <v>0.08</v>
      </c>
      <c r="T19" s="75">
        <v>0.14000000000000001</v>
      </c>
      <c r="U19" s="75">
        <v>1.3720000000000001</v>
      </c>
      <c r="V19" s="80">
        <v>339</v>
      </c>
      <c r="W19" s="75">
        <v>0</v>
      </c>
      <c r="X19" s="82">
        <v>0</v>
      </c>
    </row>
    <row r="20" spans="1:24" ht="15" x14ac:dyDescent="0.25">
      <c r="A20" s="61" t="s">
        <v>22</v>
      </c>
      <c r="B20" s="53">
        <v>3.9E-2</v>
      </c>
      <c r="C20" s="53">
        <v>4.2000000000000003E-2</v>
      </c>
      <c r="D20" s="53">
        <v>6.3E-2</v>
      </c>
      <c r="E20" s="53">
        <v>173</v>
      </c>
      <c r="F20" s="53">
        <v>0</v>
      </c>
      <c r="G20" s="52">
        <v>0</v>
      </c>
      <c r="R20" s="87" t="s">
        <v>32</v>
      </c>
      <c r="S20" s="75">
        <v>4.7E-2</v>
      </c>
      <c r="T20" s="75">
        <v>7.4999999999999997E-2</v>
      </c>
      <c r="U20" s="75">
        <v>1.151</v>
      </c>
      <c r="V20" s="80">
        <v>965</v>
      </c>
      <c r="W20" s="75">
        <v>0</v>
      </c>
      <c r="X20" s="82">
        <v>0</v>
      </c>
    </row>
    <row r="21" spans="1:24" ht="15" x14ac:dyDescent="0.25">
      <c r="A21" s="61" t="s">
        <v>28</v>
      </c>
      <c r="B21" s="53">
        <v>5.1999999999999998E-2</v>
      </c>
      <c r="C21" s="53">
        <v>0.107</v>
      </c>
      <c r="D21" s="53">
        <v>0.13</v>
      </c>
      <c r="E21" s="53">
        <v>46</v>
      </c>
      <c r="F21" s="53">
        <v>0</v>
      </c>
      <c r="G21" s="52">
        <v>0</v>
      </c>
      <c r="R21" s="87" t="s">
        <v>31</v>
      </c>
      <c r="S21" s="75">
        <v>0.08</v>
      </c>
      <c r="T21" s="75">
        <v>0.13900000000000001</v>
      </c>
      <c r="U21" s="75">
        <v>1.117</v>
      </c>
      <c r="V21" s="80">
        <v>964</v>
      </c>
      <c r="W21" s="75">
        <v>0</v>
      </c>
      <c r="X21" s="82">
        <v>0</v>
      </c>
    </row>
    <row r="22" spans="1:24" ht="15.75" thickBot="1" x14ac:dyDescent="0.3">
      <c r="A22" s="61" t="s">
        <v>30</v>
      </c>
      <c r="B22" s="53">
        <v>7.8E-2</v>
      </c>
      <c r="C22" s="53">
        <v>0.09</v>
      </c>
      <c r="D22" s="53">
        <v>0.16600000000000001</v>
      </c>
      <c r="E22" s="53">
        <v>61</v>
      </c>
      <c r="F22" s="53">
        <v>0</v>
      </c>
      <c r="G22" s="52">
        <v>0</v>
      </c>
      <c r="J22" s="94" t="s">
        <v>82</v>
      </c>
      <c r="K22" s="94"/>
      <c r="L22" s="94"/>
      <c r="M22" s="94"/>
      <c r="N22" s="94"/>
      <c r="O22" s="94"/>
      <c r="P22" s="94"/>
      <c r="R22" s="87" t="s">
        <v>24</v>
      </c>
      <c r="S22" s="75">
        <v>0.109</v>
      </c>
      <c r="T22" s="75">
        <v>0.155</v>
      </c>
      <c r="U22" s="75">
        <v>1.569</v>
      </c>
      <c r="V22" s="80">
        <v>971</v>
      </c>
      <c r="W22" s="75">
        <v>0</v>
      </c>
      <c r="X22" s="82">
        <v>0</v>
      </c>
    </row>
    <row r="23" spans="1:24" ht="15" x14ac:dyDescent="0.25">
      <c r="A23" s="61" t="s">
        <v>33</v>
      </c>
      <c r="B23" s="53">
        <v>7.0000000000000007E-2</v>
      </c>
      <c r="C23" s="53">
        <v>0.123</v>
      </c>
      <c r="D23" s="53">
        <v>0.14099999999999999</v>
      </c>
      <c r="E23" s="53">
        <v>62</v>
      </c>
      <c r="F23" s="53">
        <v>0</v>
      </c>
      <c r="G23" s="52">
        <v>0</v>
      </c>
      <c r="J23" s="58" t="s">
        <v>68</v>
      </c>
      <c r="K23" s="56" t="s">
        <v>76</v>
      </c>
      <c r="L23" s="56" t="s">
        <v>77</v>
      </c>
      <c r="M23" s="56" t="s">
        <v>78</v>
      </c>
      <c r="N23" s="56" t="s">
        <v>69</v>
      </c>
      <c r="O23" s="56" t="s">
        <v>70</v>
      </c>
      <c r="P23" s="60" t="s">
        <v>71</v>
      </c>
      <c r="R23" s="87" t="s">
        <v>21</v>
      </c>
      <c r="S23" s="75">
        <v>7.9000000000000001E-2</v>
      </c>
      <c r="T23" s="75">
        <v>0.126</v>
      </c>
      <c r="U23" s="75">
        <v>1.55</v>
      </c>
      <c r="V23" s="80">
        <v>1482</v>
      </c>
      <c r="W23" s="75">
        <v>2</v>
      </c>
      <c r="X23" s="82">
        <v>0</v>
      </c>
    </row>
    <row r="24" spans="1:24" ht="15" x14ac:dyDescent="0.25">
      <c r="A24" s="61" t="s">
        <v>32</v>
      </c>
      <c r="B24" s="53">
        <v>3.9E-2</v>
      </c>
      <c r="C24" s="53">
        <v>4.1000000000000002E-2</v>
      </c>
      <c r="D24" s="53">
        <v>5.2999999999999999E-2</v>
      </c>
      <c r="E24" s="53">
        <v>175</v>
      </c>
      <c r="F24" s="53">
        <v>0</v>
      </c>
      <c r="G24" s="52">
        <v>0</v>
      </c>
      <c r="J24" s="61" t="s">
        <v>22</v>
      </c>
      <c r="K24" s="53">
        <v>3.9E-2</v>
      </c>
      <c r="L24" s="53">
        <v>0.8</v>
      </c>
      <c r="M24" s="53">
        <v>5.6230000000000002</v>
      </c>
      <c r="N24" s="53">
        <v>375</v>
      </c>
      <c r="O24" s="53">
        <v>0</v>
      </c>
      <c r="P24" s="52">
        <v>0</v>
      </c>
      <c r="R24" s="87" t="s">
        <v>20</v>
      </c>
      <c r="S24" s="75">
        <v>7.5999999999999998E-2</v>
      </c>
      <c r="T24" s="75">
        <v>0.123</v>
      </c>
      <c r="U24" s="75">
        <v>1.631</v>
      </c>
      <c r="V24" s="80">
        <v>1821</v>
      </c>
      <c r="W24" s="75">
        <v>0</v>
      </c>
      <c r="X24" s="82">
        <v>0</v>
      </c>
    </row>
    <row r="25" spans="1:24" ht="15" x14ac:dyDescent="0.25">
      <c r="A25" s="61" t="s">
        <v>31</v>
      </c>
      <c r="B25" s="53">
        <v>7.1999999999999995E-2</v>
      </c>
      <c r="C25" s="53">
        <v>0.11899999999999999</v>
      </c>
      <c r="D25" s="53">
        <v>0.14899999999999999</v>
      </c>
      <c r="E25" s="53">
        <v>175</v>
      </c>
      <c r="F25" s="53">
        <v>0</v>
      </c>
      <c r="G25" s="52">
        <v>0</v>
      </c>
      <c r="J25" s="61" t="s">
        <v>28</v>
      </c>
      <c r="K25" s="53">
        <v>5.0999999999999997E-2</v>
      </c>
      <c r="L25" s="53">
        <v>2.294</v>
      </c>
      <c r="M25" s="53">
        <v>5.343</v>
      </c>
      <c r="N25" s="53">
        <v>94</v>
      </c>
      <c r="O25" s="53">
        <v>1</v>
      </c>
      <c r="P25" s="52">
        <v>0</v>
      </c>
      <c r="R25" s="87" t="s">
        <v>34</v>
      </c>
      <c r="S25" s="75">
        <v>5.2999999999999999E-2</v>
      </c>
      <c r="T25" s="75">
        <v>8.5999999999999993E-2</v>
      </c>
      <c r="U25" s="75">
        <v>1.4650000000000001</v>
      </c>
      <c r="V25" s="80">
        <v>629</v>
      </c>
      <c r="W25" s="75">
        <v>0</v>
      </c>
      <c r="X25" s="82">
        <v>0</v>
      </c>
    </row>
    <row r="26" spans="1:24" ht="15.75" thickBot="1" x14ac:dyDescent="0.3">
      <c r="A26" s="61" t="s">
        <v>24</v>
      </c>
      <c r="B26" s="53">
        <v>0.108</v>
      </c>
      <c r="C26" s="53">
        <v>0.121</v>
      </c>
      <c r="D26" s="53">
        <v>0.13400000000000001</v>
      </c>
      <c r="E26" s="53">
        <v>168</v>
      </c>
      <c r="F26" s="53">
        <v>1</v>
      </c>
      <c r="G26" s="52">
        <v>0</v>
      </c>
      <c r="J26" s="61" t="s">
        <v>30</v>
      </c>
      <c r="K26" s="53">
        <v>6.7000000000000004E-2</v>
      </c>
      <c r="L26" s="53">
        <v>6.9139999999999997</v>
      </c>
      <c r="M26" s="53">
        <v>13.602</v>
      </c>
      <c r="N26" s="53">
        <v>147</v>
      </c>
      <c r="O26" s="53">
        <v>0</v>
      </c>
      <c r="P26" s="52">
        <v>0</v>
      </c>
      <c r="R26" s="88" t="s">
        <v>26</v>
      </c>
      <c r="S26" s="78">
        <v>6.5000000000000002E-2</v>
      </c>
      <c r="T26" s="78">
        <v>0.104</v>
      </c>
      <c r="U26" s="78">
        <v>0.92800000000000005</v>
      </c>
      <c r="V26" s="77">
        <v>1190</v>
      </c>
      <c r="W26" s="78">
        <v>0</v>
      </c>
      <c r="X26" s="76">
        <v>0</v>
      </c>
    </row>
    <row r="27" spans="1:24" ht="15" x14ac:dyDescent="0.25">
      <c r="A27" s="61" t="s">
        <v>21</v>
      </c>
      <c r="B27" s="53">
        <v>6.7000000000000004E-2</v>
      </c>
      <c r="C27" s="53">
        <v>9.1999999999999998E-2</v>
      </c>
      <c r="D27" s="53">
        <v>0.13400000000000001</v>
      </c>
      <c r="E27" s="53">
        <v>262</v>
      </c>
      <c r="F27" s="53">
        <v>0</v>
      </c>
      <c r="G27" s="52">
        <v>0</v>
      </c>
      <c r="J27" s="61" t="s">
        <v>33</v>
      </c>
      <c r="K27" s="53">
        <v>7.0000000000000007E-2</v>
      </c>
      <c r="L27" s="53">
        <v>4.8440000000000003</v>
      </c>
      <c r="M27" s="53">
        <v>9.6999999999999993</v>
      </c>
      <c r="N27" s="53">
        <v>145</v>
      </c>
      <c r="O27" s="53">
        <v>0</v>
      </c>
      <c r="P27" s="52">
        <v>0</v>
      </c>
      <c r="R27" s="89" t="s">
        <v>84</v>
      </c>
      <c r="S27" s="75">
        <v>0.254</v>
      </c>
      <c r="T27" s="75">
        <v>0.36</v>
      </c>
      <c r="U27" s="75">
        <v>2.8029999999999999</v>
      </c>
      <c r="V27" s="80">
        <v>219</v>
      </c>
      <c r="W27" s="75">
        <v>1</v>
      </c>
      <c r="X27" s="82">
        <v>0</v>
      </c>
    </row>
    <row r="28" spans="1:24" ht="15" x14ac:dyDescent="0.25">
      <c r="A28" s="61" t="s">
        <v>20</v>
      </c>
      <c r="B28" s="53">
        <v>6.2E-2</v>
      </c>
      <c r="C28" s="53">
        <v>8.8999999999999996E-2</v>
      </c>
      <c r="D28" s="53">
        <v>0.188</v>
      </c>
      <c r="E28" s="53">
        <v>327</v>
      </c>
      <c r="F28" s="53">
        <v>0</v>
      </c>
      <c r="G28" s="52">
        <v>0</v>
      </c>
      <c r="J28" s="61" t="s">
        <v>32</v>
      </c>
      <c r="K28" s="53">
        <v>3.9E-2</v>
      </c>
      <c r="L28" s="53">
        <v>1.7729999999999999</v>
      </c>
      <c r="M28" s="53">
        <v>5.4790000000000001</v>
      </c>
      <c r="N28" s="53">
        <v>375</v>
      </c>
      <c r="O28" s="53">
        <v>0</v>
      </c>
      <c r="P28" s="52">
        <v>0</v>
      </c>
      <c r="R28" s="90" t="s">
        <v>85</v>
      </c>
      <c r="S28" s="75">
        <v>0.70799999999999996</v>
      </c>
      <c r="T28" s="75">
        <v>0.98699999999999999</v>
      </c>
      <c r="U28" s="75">
        <v>5.165</v>
      </c>
      <c r="V28" s="80">
        <v>336</v>
      </c>
      <c r="W28" s="75">
        <v>0</v>
      </c>
      <c r="X28" s="82">
        <v>0</v>
      </c>
    </row>
    <row r="29" spans="1:24" ht="15" x14ac:dyDescent="0.25">
      <c r="A29" s="61" t="s">
        <v>34</v>
      </c>
      <c r="B29" s="53">
        <v>0.04</v>
      </c>
      <c r="C29" s="53">
        <v>4.2000000000000003E-2</v>
      </c>
      <c r="D29" s="53">
        <v>0.06</v>
      </c>
      <c r="E29" s="53">
        <v>114</v>
      </c>
      <c r="F29" s="53">
        <v>0</v>
      </c>
      <c r="G29" s="52">
        <v>0</v>
      </c>
      <c r="J29" s="61" t="s">
        <v>31</v>
      </c>
      <c r="K29" s="53">
        <v>7.2999999999999995E-2</v>
      </c>
      <c r="L29" s="53">
        <v>5.492</v>
      </c>
      <c r="M29" s="53">
        <v>14.516999999999999</v>
      </c>
      <c r="N29" s="53">
        <v>376</v>
      </c>
      <c r="O29" s="53">
        <v>0</v>
      </c>
      <c r="P29" s="52">
        <v>0</v>
      </c>
      <c r="R29" s="90" t="s">
        <v>86</v>
      </c>
      <c r="S29" s="75">
        <v>0.438</v>
      </c>
      <c r="T29" s="75">
        <v>0.66700000000000004</v>
      </c>
      <c r="U29" s="75">
        <v>4.8789999999999996</v>
      </c>
      <c r="V29" s="80">
        <v>629</v>
      </c>
      <c r="W29" s="75">
        <v>1</v>
      </c>
      <c r="X29" s="82">
        <v>0</v>
      </c>
    </row>
    <row r="30" spans="1:24" ht="15.75" thickBot="1" x14ac:dyDescent="0.3">
      <c r="A30" s="62" t="s">
        <v>26</v>
      </c>
      <c r="B30" s="55">
        <v>6.0999999999999999E-2</v>
      </c>
      <c r="C30" s="55">
        <v>6.6000000000000003E-2</v>
      </c>
      <c r="D30" s="55">
        <v>0.245</v>
      </c>
      <c r="E30" s="55">
        <v>206</v>
      </c>
      <c r="F30" s="55">
        <v>0</v>
      </c>
      <c r="G30" s="54">
        <v>0</v>
      </c>
      <c r="J30" s="61" t="s">
        <v>24</v>
      </c>
      <c r="K30" s="53">
        <v>0.111</v>
      </c>
      <c r="L30" s="53">
        <v>5.875</v>
      </c>
      <c r="M30" s="53">
        <v>14.773</v>
      </c>
      <c r="N30" s="53">
        <v>359</v>
      </c>
      <c r="O30" s="53">
        <v>0</v>
      </c>
      <c r="P30" s="52">
        <v>0</v>
      </c>
      <c r="R30" s="90" t="s">
        <v>87</v>
      </c>
      <c r="S30" s="75">
        <v>0.49</v>
      </c>
      <c r="T30" s="75">
        <v>0.71399999999999997</v>
      </c>
      <c r="U30" s="75">
        <v>4.2789999999999999</v>
      </c>
      <c r="V30" s="80">
        <v>297</v>
      </c>
      <c r="W30" s="75">
        <v>2</v>
      </c>
      <c r="X30" s="82">
        <v>0</v>
      </c>
    </row>
    <row r="31" spans="1:24" ht="15.75" thickBot="1" x14ac:dyDescent="0.3">
      <c r="D31" t="s">
        <v>83</v>
      </c>
      <c r="E31">
        <f>SUM(E20:E30)*3</f>
        <v>5307</v>
      </c>
      <c r="J31" s="61" t="s">
        <v>21</v>
      </c>
      <c r="K31" s="53">
        <v>6.7000000000000004E-2</v>
      </c>
      <c r="L31" s="53">
        <v>5.0170000000000003</v>
      </c>
      <c r="M31" s="53">
        <v>14.847</v>
      </c>
      <c r="N31" s="53">
        <v>574</v>
      </c>
      <c r="O31" s="53">
        <v>1</v>
      </c>
      <c r="P31" s="52">
        <v>0</v>
      </c>
      <c r="R31" s="91" t="s">
        <v>88</v>
      </c>
      <c r="S31" s="78">
        <v>0.33400000000000002</v>
      </c>
      <c r="T31" s="78">
        <v>0.51100000000000001</v>
      </c>
      <c r="U31" s="78">
        <v>2.9169999999999998</v>
      </c>
      <c r="V31" s="77">
        <v>338</v>
      </c>
      <c r="W31" s="78">
        <v>0</v>
      </c>
      <c r="X31" s="76">
        <v>0</v>
      </c>
    </row>
    <row r="32" spans="1:24" ht="15" x14ac:dyDescent="0.25">
      <c r="J32" s="61" t="s">
        <v>20</v>
      </c>
      <c r="K32" s="53">
        <v>6.2E-2</v>
      </c>
      <c r="L32" s="53">
        <v>4.6619999999999999</v>
      </c>
      <c r="M32" s="53">
        <v>13.811999999999999</v>
      </c>
      <c r="N32" s="53">
        <v>725</v>
      </c>
      <c r="O32" s="53">
        <v>0</v>
      </c>
      <c r="P32" s="52">
        <v>0</v>
      </c>
      <c r="R32" s="95" t="s">
        <v>89</v>
      </c>
      <c r="S32" s="67">
        <f>SUM(V27:V31)</f>
        <v>1819</v>
      </c>
      <c r="U32" s="67" t="s">
        <v>83</v>
      </c>
      <c r="V32" s="67">
        <f>SUM(V16:V26)</f>
        <v>9960</v>
      </c>
    </row>
    <row r="33" spans="1:16" ht="15" x14ac:dyDescent="0.25">
      <c r="J33" s="61" t="s">
        <v>34</v>
      </c>
      <c r="K33" s="53">
        <v>0.04</v>
      </c>
      <c r="L33" s="53">
        <v>2.3250000000000002</v>
      </c>
      <c r="M33" s="53">
        <v>5.3319999999999999</v>
      </c>
      <c r="N33" s="53">
        <v>245</v>
      </c>
      <c r="O33" s="53">
        <v>0</v>
      </c>
      <c r="P33" s="52">
        <v>0</v>
      </c>
    </row>
    <row r="34" spans="1:16" ht="15.75" thickBot="1" x14ac:dyDescent="0.3">
      <c r="A34" s="73" t="s">
        <v>80</v>
      </c>
      <c r="B34" s="73"/>
      <c r="C34" s="73"/>
      <c r="D34" s="73"/>
      <c r="E34" s="73"/>
      <c r="F34" s="73"/>
      <c r="G34" s="73"/>
      <c r="J34" s="65" t="s">
        <v>26</v>
      </c>
      <c r="K34" s="55">
        <v>0.06</v>
      </c>
      <c r="L34" s="55">
        <v>3.2170000000000001</v>
      </c>
      <c r="M34" s="55">
        <v>10.65</v>
      </c>
      <c r="N34" s="55">
        <v>459</v>
      </c>
      <c r="O34" s="55">
        <v>0</v>
      </c>
      <c r="P34" s="54">
        <v>0</v>
      </c>
    </row>
    <row r="35" spans="1:16" ht="15" x14ac:dyDescent="0.25">
      <c r="A35" s="58" t="s">
        <v>68</v>
      </c>
      <c r="B35" s="56" t="s">
        <v>76</v>
      </c>
      <c r="C35" s="56" t="s">
        <v>77</v>
      </c>
      <c r="D35" s="56" t="s">
        <v>78</v>
      </c>
      <c r="E35" s="56" t="s">
        <v>69</v>
      </c>
      <c r="F35" s="56" t="s">
        <v>70</v>
      </c>
      <c r="G35" s="60" t="s">
        <v>71</v>
      </c>
      <c r="J35" s="66" t="s">
        <v>84</v>
      </c>
      <c r="K35" s="59">
        <v>0.216</v>
      </c>
      <c r="L35" s="59">
        <v>15.817</v>
      </c>
      <c r="M35" s="59">
        <v>31.469000000000001</v>
      </c>
      <c r="N35" s="59">
        <v>91</v>
      </c>
      <c r="O35" s="59">
        <v>0</v>
      </c>
      <c r="P35" s="57">
        <v>0</v>
      </c>
    </row>
    <row r="36" spans="1:16" ht="15" x14ac:dyDescent="0.25">
      <c r="A36" s="61" t="s">
        <v>22</v>
      </c>
      <c r="B36" s="53">
        <v>3.9E-2</v>
      </c>
      <c r="C36" s="53">
        <v>4.8000000000000001E-2</v>
      </c>
      <c r="D36" s="53">
        <v>1.7470000000000001</v>
      </c>
      <c r="E36" s="53">
        <v>253</v>
      </c>
      <c r="F36" s="53">
        <v>0</v>
      </c>
      <c r="G36" s="52">
        <v>0</v>
      </c>
      <c r="J36" s="64" t="s">
        <v>85</v>
      </c>
      <c r="K36" s="53">
        <v>0.68799999999999994</v>
      </c>
      <c r="L36" s="53">
        <v>30.574999999999999</v>
      </c>
      <c r="M36" s="53">
        <v>57.506999999999998</v>
      </c>
      <c r="N36" s="53">
        <v>130</v>
      </c>
      <c r="O36" s="53">
        <v>0</v>
      </c>
      <c r="P36" s="52">
        <v>0</v>
      </c>
    </row>
    <row r="37" spans="1:16" ht="15" x14ac:dyDescent="0.25">
      <c r="A37" s="61" t="s">
        <v>28</v>
      </c>
      <c r="B37" s="53">
        <v>5.1999999999999998E-2</v>
      </c>
      <c r="C37" s="53">
        <v>0.105</v>
      </c>
      <c r="D37" s="53">
        <v>0.13600000000000001</v>
      </c>
      <c r="E37" s="53">
        <v>69</v>
      </c>
      <c r="F37" s="53">
        <v>0</v>
      </c>
      <c r="G37" s="52">
        <v>0</v>
      </c>
      <c r="J37" s="64" t="s">
        <v>86</v>
      </c>
      <c r="K37" s="53">
        <v>0.379</v>
      </c>
      <c r="L37" s="53">
        <v>16.734000000000002</v>
      </c>
      <c r="M37" s="53">
        <v>39.283000000000001</v>
      </c>
      <c r="N37" s="53">
        <v>243</v>
      </c>
      <c r="O37" s="53">
        <v>0</v>
      </c>
      <c r="P37" s="52">
        <v>0</v>
      </c>
    </row>
    <row r="38" spans="1:16" ht="15" x14ac:dyDescent="0.25">
      <c r="A38" s="61" t="s">
        <v>30</v>
      </c>
      <c r="B38" s="53">
        <v>6.5000000000000002E-2</v>
      </c>
      <c r="C38" s="53">
        <v>8.8999999999999996E-2</v>
      </c>
      <c r="D38" s="53">
        <v>0.106</v>
      </c>
      <c r="E38" s="53">
        <v>90</v>
      </c>
      <c r="F38" s="53">
        <v>0</v>
      </c>
      <c r="G38" s="52">
        <v>0</v>
      </c>
      <c r="J38" s="64" t="s">
        <v>87</v>
      </c>
      <c r="K38" s="53">
        <v>0.41399999999999998</v>
      </c>
      <c r="L38" s="53">
        <v>23.391999999999999</v>
      </c>
      <c r="M38" s="53">
        <v>44.146999999999998</v>
      </c>
      <c r="N38" s="53">
        <v>93</v>
      </c>
      <c r="O38" s="53">
        <v>2</v>
      </c>
      <c r="P38" s="52">
        <v>0</v>
      </c>
    </row>
    <row r="39" spans="1:16" ht="15.75" thickBot="1" x14ac:dyDescent="0.3">
      <c r="A39" s="61" t="s">
        <v>33</v>
      </c>
      <c r="B39" s="53">
        <v>6.9000000000000006E-2</v>
      </c>
      <c r="C39" s="53">
        <v>0.11700000000000001</v>
      </c>
      <c r="D39" s="53">
        <v>0.13600000000000001</v>
      </c>
      <c r="E39" s="53">
        <v>89</v>
      </c>
      <c r="F39" s="53">
        <v>0</v>
      </c>
      <c r="G39" s="52">
        <v>0</v>
      </c>
      <c r="J39" s="63" t="s">
        <v>88</v>
      </c>
      <c r="K39" s="55">
        <v>0.313</v>
      </c>
      <c r="L39" s="55">
        <v>20.719000000000001</v>
      </c>
      <c r="M39" s="55">
        <v>42.274000000000001</v>
      </c>
      <c r="N39" s="55">
        <v>145</v>
      </c>
      <c r="O39" s="55">
        <v>0</v>
      </c>
      <c r="P39" s="54">
        <v>0</v>
      </c>
    </row>
    <row r="40" spans="1:16" ht="15" x14ac:dyDescent="0.25">
      <c r="A40" s="61" t="s">
        <v>32</v>
      </c>
      <c r="B40" s="53">
        <v>3.7999999999999999E-2</v>
      </c>
      <c r="C40" s="53">
        <v>0.04</v>
      </c>
      <c r="D40" s="53">
        <v>6.0999999999999999E-2</v>
      </c>
      <c r="E40" s="53">
        <v>254</v>
      </c>
      <c r="F40" s="53">
        <v>0</v>
      </c>
      <c r="G40" s="52">
        <v>0</v>
      </c>
      <c r="J40" s="68" t="s">
        <v>89</v>
      </c>
      <c r="K40" s="67">
        <f>SUM(N35:N39)*3</f>
        <v>2106</v>
      </c>
      <c r="M40" s="67" t="s">
        <v>83</v>
      </c>
      <c r="N40" s="67">
        <f>SUM(N24:N34)*3</f>
        <v>11622</v>
      </c>
    </row>
    <row r="41" spans="1:16" ht="15" x14ac:dyDescent="0.25">
      <c r="A41" s="61" t="s">
        <v>31</v>
      </c>
      <c r="B41" s="53">
        <v>7.2999999999999995E-2</v>
      </c>
      <c r="C41" s="53">
        <v>0.11700000000000001</v>
      </c>
      <c r="D41" s="53">
        <v>0.128</v>
      </c>
      <c r="E41" s="53">
        <v>254</v>
      </c>
      <c r="F41" s="53">
        <v>0</v>
      </c>
      <c r="G41" s="52">
        <v>0</v>
      </c>
    </row>
    <row r="42" spans="1:16" ht="15" x14ac:dyDescent="0.25">
      <c r="A42" s="61" t="s">
        <v>24</v>
      </c>
      <c r="B42" s="53">
        <v>0.108</v>
      </c>
      <c r="C42" s="53">
        <v>0.121</v>
      </c>
      <c r="D42" s="53">
        <v>0.17499999999999999</v>
      </c>
      <c r="E42" s="53">
        <v>245</v>
      </c>
      <c r="F42" s="53">
        <v>0</v>
      </c>
      <c r="G42" s="52">
        <v>0</v>
      </c>
    </row>
    <row r="43" spans="1:16" ht="15" x14ac:dyDescent="0.25">
      <c r="A43" s="61" t="s">
        <v>21</v>
      </c>
      <c r="B43" s="53">
        <v>6.7000000000000004E-2</v>
      </c>
      <c r="C43" s="53">
        <v>9.2999999999999999E-2</v>
      </c>
      <c r="D43" s="53">
        <v>0.90500000000000003</v>
      </c>
      <c r="E43" s="53">
        <v>379</v>
      </c>
      <c r="F43" s="53">
        <v>0</v>
      </c>
      <c r="G43" s="52">
        <v>0</v>
      </c>
    </row>
    <row r="44" spans="1:16" ht="15" x14ac:dyDescent="0.25">
      <c r="A44" s="61" t="s">
        <v>20</v>
      </c>
      <c r="B44" s="53">
        <v>6.2E-2</v>
      </c>
      <c r="C44" s="53">
        <v>9.2999999999999999E-2</v>
      </c>
      <c r="D44" s="53">
        <v>1.5069999999999999</v>
      </c>
      <c r="E44" s="53">
        <v>472</v>
      </c>
      <c r="F44" s="53">
        <v>0</v>
      </c>
      <c r="G44" s="52">
        <v>0</v>
      </c>
    </row>
    <row r="45" spans="1:16" ht="15" x14ac:dyDescent="0.25">
      <c r="A45" s="61" t="s">
        <v>34</v>
      </c>
      <c r="B45" s="53">
        <v>0.04</v>
      </c>
      <c r="C45" s="53">
        <v>4.2000000000000003E-2</v>
      </c>
      <c r="D45" s="53">
        <v>7.3999999999999996E-2</v>
      </c>
      <c r="E45" s="53">
        <v>165</v>
      </c>
      <c r="F45" s="53">
        <v>0</v>
      </c>
      <c r="G45" s="52">
        <v>0</v>
      </c>
    </row>
    <row r="46" spans="1:16" ht="15.75" thickBot="1" x14ac:dyDescent="0.3">
      <c r="A46" s="62" t="s">
        <v>26</v>
      </c>
      <c r="B46" s="55">
        <v>0.06</v>
      </c>
      <c r="C46" s="55">
        <v>6.6000000000000003E-2</v>
      </c>
      <c r="D46" s="55">
        <v>0.59899999999999998</v>
      </c>
      <c r="E46" s="55">
        <v>299</v>
      </c>
      <c r="F46" s="55">
        <v>0</v>
      </c>
      <c r="G46" s="54">
        <v>0</v>
      </c>
    </row>
    <row r="47" spans="1:16" x14ac:dyDescent="0.2">
      <c r="D47" t="s">
        <v>83</v>
      </c>
      <c r="E47">
        <f>SUM(E36:E46)*3</f>
        <v>7707</v>
      </c>
    </row>
  </sheetData>
  <mergeCells count="6">
    <mergeCell ref="R14:X14"/>
    <mergeCell ref="A1:G1"/>
    <mergeCell ref="A18:G18"/>
    <mergeCell ref="A34:G34"/>
    <mergeCell ref="J1:P1"/>
    <mergeCell ref="J22:P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/>
  </sheetViews>
  <sheetFormatPr defaultRowHeight="14.25" x14ac:dyDescent="0.2"/>
  <cols>
    <col min="1" max="1" width="8.25" customWidth="1"/>
    <col min="2" max="2" width="4.25" customWidth="1"/>
    <col min="3" max="4" width="8.5" hidden="1" customWidth="1"/>
    <col min="5" max="5" width="19.125" customWidth="1"/>
    <col min="6" max="6" width="17.5" customWidth="1"/>
    <col min="7" max="7" width="14.25" customWidth="1"/>
    <col min="8" max="8" width="14.125" customWidth="1"/>
    <col min="9" max="9" width="13" customWidth="1"/>
    <col min="10" max="10" width="8.25" customWidth="1"/>
    <col min="11" max="11" width="1.375" customWidth="1"/>
    <col min="12" max="12" width="37.5" customWidth="1"/>
    <col min="13" max="13" width="5.625" customWidth="1"/>
    <col min="14" max="14" width="3.875" customWidth="1"/>
    <col min="15" max="15" width="4.625" customWidth="1"/>
    <col min="16" max="16" width="13.125" customWidth="1"/>
    <col min="17" max="17" width="18.125" customWidth="1"/>
    <col min="18" max="1024" width="8.25" customWidth="1"/>
    <col min="1025" max="1025" width="9" customWidth="1"/>
  </cols>
  <sheetData>
    <row r="9" spans="5:9" x14ac:dyDescent="0.2">
      <c r="E9" s="74" t="s">
        <v>48</v>
      </c>
      <c r="F9" s="74"/>
      <c r="G9" s="74"/>
      <c r="H9" s="74"/>
      <c r="I9" s="74"/>
    </row>
    <row r="11" spans="5:9" ht="28.5" x14ac:dyDescent="0.2">
      <c r="E11" s="35" t="s">
        <v>49</v>
      </c>
      <c r="F11" s="35" t="s">
        <v>50</v>
      </c>
      <c r="G11" s="35" t="s">
        <v>51</v>
      </c>
      <c r="H11" s="35" t="s">
        <v>52</v>
      </c>
      <c r="I11" s="35" t="s">
        <v>53</v>
      </c>
    </row>
    <row r="12" spans="5:9" ht="15.75" x14ac:dyDescent="0.2">
      <c r="E12" s="36" t="s">
        <v>54</v>
      </c>
      <c r="F12" s="37" t="s">
        <v>21</v>
      </c>
      <c r="G12" s="38">
        <v>368</v>
      </c>
      <c r="H12" s="37">
        <f>121*3</f>
        <v>363</v>
      </c>
      <c r="I12" s="39">
        <f t="shared" ref="I12:I18" si="0">1-G12/H12</f>
        <v>-1.377410468319562E-2</v>
      </c>
    </row>
    <row r="13" spans="5:9" ht="31.5" x14ac:dyDescent="0.2">
      <c r="E13" s="36" t="s">
        <v>55</v>
      </c>
      <c r="F13" s="37" t="s">
        <v>56</v>
      </c>
      <c r="G13" s="38">
        <v>251</v>
      </c>
      <c r="H13" s="37">
        <f>82*3</f>
        <v>246</v>
      </c>
      <c r="I13" s="39">
        <f t="shared" si="0"/>
        <v>-2.0325203252032464E-2</v>
      </c>
    </row>
    <row r="14" spans="5:9" ht="31.5" x14ac:dyDescent="0.2">
      <c r="E14" s="36" t="s">
        <v>57</v>
      </c>
      <c r="F14" s="37" t="s">
        <v>58</v>
      </c>
      <c r="G14" s="38">
        <v>251</v>
      </c>
      <c r="H14" s="37">
        <f>82*3</f>
        <v>246</v>
      </c>
      <c r="I14" s="39">
        <f t="shared" si="0"/>
        <v>-2.0325203252032464E-2</v>
      </c>
    </row>
    <row r="15" spans="5:9" ht="15.75" x14ac:dyDescent="0.2">
      <c r="E15" s="36" t="s">
        <v>59</v>
      </c>
      <c r="F15" s="37" t="s">
        <v>34</v>
      </c>
      <c r="G15" s="38">
        <v>175</v>
      </c>
      <c r="H15" s="37">
        <f>56*3</f>
        <v>168</v>
      </c>
      <c r="I15" s="39">
        <f t="shared" si="0"/>
        <v>-4.1666666666666741E-2</v>
      </c>
    </row>
    <row r="16" spans="5:9" ht="31.5" x14ac:dyDescent="0.2">
      <c r="E16" s="36" t="s">
        <v>60</v>
      </c>
      <c r="F16" s="37" t="s">
        <v>61</v>
      </c>
      <c r="G16" s="38">
        <v>159</v>
      </c>
      <c r="H16" s="38">
        <f>56*3</f>
        <v>168</v>
      </c>
      <c r="I16" s="39">
        <f t="shared" si="0"/>
        <v>5.3571428571428603E-2</v>
      </c>
    </row>
    <row r="17" spans="5:9" ht="47.25" x14ac:dyDescent="0.2">
      <c r="E17" s="36" t="s">
        <v>62</v>
      </c>
      <c r="F17" s="37" t="s">
        <v>63</v>
      </c>
      <c r="G17" s="38">
        <v>73</v>
      </c>
      <c r="H17" s="37">
        <f>25*3</f>
        <v>75</v>
      </c>
      <c r="I17" s="39">
        <f t="shared" si="0"/>
        <v>2.6666666666666616E-2</v>
      </c>
    </row>
    <row r="18" spans="5:9" ht="15.75" x14ac:dyDescent="0.2">
      <c r="E18" s="36" t="s">
        <v>64</v>
      </c>
      <c r="F18" s="37" t="s">
        <v>65</v>
      </c>
      <c r="G18" s="38">
        <v>326</v>
      </c>
      <c r="H18" s="37">
        <f>104*3</f>
        <v>312</v>
      </c>
      <c r="I18" s="39">
        <f t="shared" si="0"/>
        <v>-4.4871794871794934E-2</v>
      </c>
    </row>
    <row r="23" spans="5:9" x14ac:dyDescent="0.2">
      <c r="E23" s="74" t="s">
        <v>66</v>
      </c>
      <c r="F23" s="74"/>
      <c r="G23" s="74"/>
      <c r="H23" s="74"/>
      <c r="I23" s="74"/>
    </row>
    <row r="25" spans="5:9" x14ac:dyDescent="0.2">
      <c r="E25" s="40" t="s">
        <v>49</v>
      </c>
      <c r="F25" s="40" t="s">
        <v>50</v>
      </c>
      <c r="G25" s="40" t="s">
        <v>51</v>
      </c>
      <c r="H25" s="40" t="s">
        <v>52</v>
      </c>
      <c r="I25" s="40" t="s">
        <v>53</v>
      </c>
    </row>
    <row r="26" spans="5:9" ht="15.75" x14ac:dyDescent="0.25">
      <c r="E26" s="41" t="s">
        <v>54</v>
      </c>
      <c r="F26" s="42" t="s">
        <v>21</v>
      </c>
      <c r="G26" s="43">
        <f>5*368</f>
        <v>1840</v>
      </c>
      <c r="H26" s="44">
        <f>721*3</f>
        <v>2163</v>
      </c>
      <c r="I26" s="45">
        <f t="shared" ref="I26:I32" si="1">1-G26/H26</f>
        <v>0.14932963476652794</v>
      </c>
    </row>
    <row r="27" spans="5:9" ht="15.75" x14ac:dyDescent="0.25">
      <c r="E27" s="41" t="s">
        <v>55</v>
      </c>
      <c r="F27" s="42" t="s">
        <v>56</v>
      </c>
      <c r="G27" s="43">
        <f>5*251</f>
        <v>1255</v>
      </c>
      <c r="H27" s="44">
        <f>3*464</f>
        <v>1392</v>
      </c>
      <c r="I27" s="45">
        <f t="shared" si="1"/>
        <v>9.8419540229885083E-2</v>
      </c>
    </row>
    <row r="28" spans="5:9" ht="15.75" x14ac:dyDescent="0.25">
      <c r="E28" s="41" t="s">
        <v>57</v>
      </c>
      <c r="F28" s="42" t="s">
        <v>58</v>
      </c>
      <c r="G28" s="43">
        <f>5*251</f>
        <v>1255</v>
      </c>
      <c r="H28" s="44">
        <f>3*462</f>
        <v>1386</v>
      </c>
      <c r="I28" s="45">
        <f t="shared" si="1"/>
        <v>9.4516594516594554E-2</v>
      </c>
    </row>
    <row r="29" spans="5:9" ht="15.75" x14ac:dyDescent="0.25">
      <c r="E29" s="41" t="s">
        <v>59</v>
      </c>
      <c r="F29" s="42" t="s">
        <v>34</v>
      </c>
      <c r="G29" s="43">
        <f>5*175</f>
        <v>875</v>
      </c>
      <c r="H29" s="44">
        <f>3*314</f>
        <v>942</v>
      </c>
      <c r="I29" s="45">
        <f t="shared" si="1"/>
        <v>7.1125265392781301E-2</v>
      </c>
    </row>
    <row r="30" spans="5:9" ht="15.75" x14ac:dyDescent="0.25">
      <c r="E30" s="41" t="s">
        <v>60</v>
      </c>
      <c r="F30" s="42" t="s">
        <v>61</v>
      </c>
      <c r="G30" s="43">
        <f>5*159</f>
        <v>795</v>
      </c>
      <c r="H30" s="44">
        <f>3*330</f>
        <v>990</v>
      </c>
      <c r="I30" s="45">
        <f t="shared" si="1"/>
        <v>0.19696969696969702</v>
      </c>
    </row>
    <row r="31" spans="5:9" ht="15.75" x14ac:dyDescent="0.25">
      <c r="E31" s="41" t="s">
        <v>62</v>
      </c>
      <c r="F31" s="42" t="s">
        <v>63</v>
      </c>
      <c r="G31" s="43">
        <f>5*73</f>
        <v>365</v>
      </c>
      <c r="H31" s="44">
        <f>3*141</f>
        <v>423</v>
      </c>
      <c r="I31" s="45">
        <f t="shared" si="1"/>
        <v>0.13711583924349879</v>
      </c>
    </row>
    <row r="32" spans="5:9" ht="15.75" x14ac:dyDescent="0.25">
      <c r="E32" s="41" t="s">
        <v>64</v>
      </c>
      <c r="F32" s="42" t="s">
        <v>65</v>
      </c>
      <c r="G32" s="43">
        <f>5*326</f>
        <v>1630</v>
      </c>
      <c r="H32" s="44">
        <f>3*599</f>
        <v>1797</v>
      </c>
      <c r="I32" s="45">
        <f t="shared" si="1"/>
        <v>9.2932665553700611E-2</v>
      </c>
    </row>
    <row r="35" spans="5:15" x14ac:dyDescent="0.2">
      <c r="E35" s="74" t="s">
        <v>67</v>
      </c>
      <c r="F35" s="74"/>
      <c r="G35" s="74"/>
      <c r="H35" s="74"/>
      <c r="I35" s="74"/>
    </row>
    <row r="37" spans="5:15" ht="15" x14ac:dyDescent="0.25">
      <c r="E37" s="40" t="s">
        <v>49</v>
      </c>
      <c r="F37" s="40" t="s">
        <v>50</v>
      </c>
      <c r="G37" s="40" t="s">
        <v>51</v>
      </c>
      <c r="H37" s="40" t="s">
        <v>52</v>
      </c>
      <c r="I37" s="40" t="s">
        <v>53</v>
      </c>
      <c r="L37" s="46" t="s">
        <v>68</v>
      </c>
      <c r="M37" s="46" t="s">
        <v>69</v>
      </c>
      <c r="N37" s="46" t="s">
        <v>70</v>
      </c>
      <c r="O37" s="46" t="s">
        <v>71</v>
      </c>
    </row>
    <row r="38" spans="5:15" ht="15.75" x14ac:dyDescent="0.25">
      <c r="E38" s="41" t="s">
        <v>54</v>
      </c>
      <c r="F38" s="42" t="s">
        <v>21</v>
      </c>
      <c r="G38" s="43">
        <f>5*368</f>
        <v>1840</v>
      </c>
      <c r="H38" s="44">
        <v>2109</v>
      </c>
      <c r="I38" s="45">
        <f t="shared" ref="I38:I44" si="2">1-G38/H38</f>
        <v>0.12754860123281175</v>
      </c>
      <c r="L38" s="46" t="s">
        <v>63</v>
      </c>
      <c r="M38" s="46">
        <v>377</v>
      </c>
      <c r="N38" s="46">
        <v>27</v>
      </c>
      <c r="O38" s="46">
        <v>0</v>
      </c>
    </row>
    <row r="39" spans="5:15" ht="15.75" x14ac:dyDescent="0.25">
      <c r="E39" s="41" t="s">
        <v>55</v>
      </c>
      <c r="F39" s="42" t="s">
        <v>56</v>
      </c>
      <c r="G39" s="43">
        <f>5*251</f>
        <v>1255</v>
      </c>
      <c r="H39" s="46">
        <v>1315</v>
      </c>
      <c r="I39" s="45">
        <f t="shared" si="2"/>
        <v>4.5627376425855459E-2</v>
      </c>
      <c r="L39" s="46" t="s">
        <v>61</v>
      </c>
      <c r="M39" s="46">
        <v>998</v>
      </c>
      <c r="N39" s="46">
        <v>1</v>
      </c>
      <c r="O39" s="46">
        <v>0</v>
      </c>
    </row>
    <row r="40" spans="5:15" ht="15.75" x14ac:dyDescent="0.25">
      <c r="E40" s="41" t="s">
        <v>57</v>
      </c>
      <c r="F40" s="42" t="s">
        <v>58</v>
      </c>
      <c r="G40" s="43">
        <f>5*251</f>
        <v>1255</v>
      </c>
      <c r="H40" s="44">
        <v>1315</v>
      </c>
      <c r="I40" s="45">
        <f t="shared" si="2"/>
        <v>4.5627376425855459E-2</v>
      </c>
      <c r="L40" s="46" t="s">
        <v>56</v>
      </c>
      <c r="M40" s="46" t="s">
        <v>72</v>
      </c>
      <c r="N40" s="46">
        <v>0</v>
      </c>
      <c r="O40" s="46">
        <v>0</v>
      </c>
    </row>
    <row r="41" spans="5:15" ht="15.75" x14ac:dyDescent="0.25">
      <c r="E41" s="41" t="s">
        <v>59</v>
      </c>
      <c r="F41" s="42" t="s">
        <v>34</v>
      </c>
      <c r="G41" s="43">
        <f>5*175</f>
        <v>875</v>
      </c>
      <c r="H41" s="46">
        <v>924</v>
      </c>
      <c r="I41" s="45">
        <f t="shared" si="2"/>
        <v>5.3030303030302983E-2</v>
      </c>
      <c r="L41" s="46" t="s">
        <v>21</v>
      </c>
      <c r="M41" s="46" t="s">
        <v>73</v>
      </c>
      <c r="N41" s="46">
        <v>139</v>
      </c>
      <c r="O41" s="46">
        <v>0</v>
      </c>
    </row>
    <row r="42" spans="5:15" ht="15.75" x14ac:dyDescent="0.25">
      <c r="E42" s="41" t="s">
        <v>60</v>
      </c>
      <c r="F42" s="42" t="s">
        <v>61</v>
      </c>
      <c r="G42" s="43">
        <f>5*159</f>
        <v>795</v>
      </c>
      <c r="H42" s="46">
        <v>998</v>
      </c>
      <c r="I42" s="45">
        <f t="shared" si="2"/>
        <v>0.20340681362725455</v>
      </c>
      <c r="L42" s="46" t="s">
        <v>65</v>
      </c>
      <c r="M42" s="46" t="s">
        <v>74</v>
      </c>
      <c r="N42" s="46">
        <v>1</v>
      </c>
      <c r="O42" s="46">
        <v>0</v>
      </c>
    </row>
    <row r="43" spans="5:15" ht="15.75" x14ac:dyDescent="0.25">
      <c r="E43" s="41" t="s">
        <v>62</v>
      </c>
      <c r="F43" s="42" t="s">
        <v>63</v>
      </c>
      <c r="G43" s="43">
        <f>5*73</f>
        <v>365</v>
      </c>
      <c r="H43" s="46">
        <v>404</v>
      </c>
      <c r="I43" s="45">
        <f t="shared" si="2"/>
        <v>9.6534653465346509E-2</v>
      </c>
      <c r="L43" s="46" t="s">
        <v>34</v>
      </c>
      <c r="M43" s="46">
        <v>924</v>
      </c>
      <c r="N43" s="46">
        <v>0</v>
      </c>
      <c r="O43" s="46">
        <v>0</v>
      </c>
    </row>
    <row r="44" spans="5:15" ht="15.75" x14ac:dyDescent="0.25">
      <c r="E44" s="41" t="s">
        <v>64</v>
      </c>
      <c r="F44" s="42" t="s">
        <v>65</v>
      </c>
      <c r="G44" s="43">
        <f>5*326</f>
        <v>1630</v>
      </c>
      <c r="H44" s="44">
        <v>1675</v>
      </c>
      <c r="I44" s="45">
        <f t="shared" si="2"/>
        <v>2.68656716417911E-2</v>
      </c>
      <c r="L44" s="46" t="s">
        <v>58</v>
      </c>
      <c r="M44" s="46" t="s">
        <v>72</v>
      </c>
      <c r="N44" s="46">
        <v>0</v>
      </c>
      <c r="O44" s="46">
        <v>0</v>
      </c>
    </row>
  </sheetData>
  <mergeCells count="3">
    <mergeCell ref="E9:I9"/>
    <mergeCell ref="E23:I23"/>
    <mergeCell ref="E35:I35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Автоматизированный_расчет</vt:lpstr>
      <vt:lpstr>Ступени поиска максимума</vt:lpstr>
      <vt:lpstr>Шаблоны_соотвествие_профилю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Горин</dc:creator>
  <cp:lastModifiedBy>Сергей Горин</cp:lastModifiedBy>
  <cp:revision>15</cp:revision>
  <dcterms:created xsi:type="dcterms:W3CDTF">2021-09-14T22:17:42Z</dcterms:created>
  <dcterms:modified xsi:type="dcterms:W3CDTF">2021-09-14T23:30:20Z</dcterms:modified>
</cp:coreProperties>
</file>