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o-global.kpmg.com/sites/MY-FRM/Shared Documents/General/Projects/SME Bank/2022 - Model Review/5. Working Files/Treasury/Final FL/Final FL (revised Z score)/"/>
    </mc:Choice>
  </mc:AlternateContent>
  <xr:revisionPtr revIDLastSave="15" documentId="13_ncr:1_{5C55163D-5C7B-4CF3-9A6C-D7FA4B7C7DCF}" xr6:coauthVersionLast="47" xr6:coauthVersionMax="47" xr10:uidLastSave="{2F1487CC-D15B-4020-8529-D66301ABDD16}"/>
  <bookViews>
    <workbookView minimized="1" xWindow="6020" yWindow="6020" windowWidth="9600" windowHeight="4910" activeTab="4" xr2:uid="{F0CFA52A-5338-4599-9B7E-E5A323B7EBB3}"/>
  </bookViews>
  <sheets>
    <sheet name="RAW Y" sheetId="1" r:id="rId1"/>
    <sheet name="RAW Q" sheetId="5" r:id="rId2"/>
    <sheet name="Sorting Y" sheetId="3" r:id="rId3"/>
    <sheet name="Sorting Q" sheetId="6" r:id="rId4"/>
    <sheet name="Transformation" sheetId="2" r:id="rId5"/>
    <sheet name="Log Mod" sheetId="8" r:id="rId6"/>
    <sheet name="Log Mod Lag" sheetId="10" r:id="rId7"/>
    <sheet name="Treasury" sheetId="13" r:id="rId8"/>
    <sheet name="coeff. check" sheetId="14" r:id="rId9"/>
  </sheets>
  <definedNames>
    <definedName name="_xlnm._FilterDatabase" localSheetId="8" hidden="1">'coeff. check'!$A$1:$L$119</definedName>
    <definedName name="_xlnm._FilterDatabase" localSheetId="0" hidden="1">'RAW Y'!#REF!</definedName>
    <definedName name="_xlnm._FilterDatabase" localSheetId="3" hidden="1">'Sorting Q'!$B$1:$R$49</definedName>
    <definedName name="_xlnm._FilterDatabase" localSheetId="2" hidden="1">'Sorting Y'!$A$1:$P$13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2" l="1" a="1"/>
  <c r="B18" i="2" s="1"/>
  <c r="ES3" i="2" s="1"/>
  <c r="W13" i="2"/>
  <c r="W3" i="2"/>
  <c r="DX3" i="2"/>
  <c r="B3" i="2"/>
  <c r="CH3" i="2" s="1"/>
  <c r="AR3" i="2"/>
  <c r="AR4" i="2"/>
  <c r="HE3" i="2"/>
  <c r="HF3" i="2"/>
  <c r="HG3" i="2"/>
  <c r="HH3" i="2"/>
  <c r="HI3" i="2"/>
  <c r="HJ3" i="2"/>
  <c r="HK3" i="2"/>
  <c r="HL3" i="2"/>
  <c r="HM3" i="2"/>
  <c r="HN3" i="2"/>
  <c r="HO3" i="2"/>
  <c r="HP3" i="2"/>
  <c r="HQ3" i="2"/>
  <c r="HR3" i="2"/>
  <c r="HS3" i="2"/>
  <c r="HT3" i="2"/>
  <c r="HU3" i="2"/>
  <c r="HV3" i="2"/>
  <c r="HE4" i="2"/>
  <c r="HF4" i="2"/>
  <c r="HG4" i="2"/>
  <c r="HH4" i="2"/>
  <c r="HI4" i="2"/>
  <c r="HJ4" i="2"/>
  <c r="HK4" i="2"/>
  <c r="HL4" i="2"/>
  <c r="HM4" i="2"/>
  <c r="HN4" i="2"/>
  <c r="HO4" i="2"/>
  <c r="HP4" i="2"/>
  <c r="HQ4" i="2"/>
  <c r="HR4" i="2"/>
  <c r="HS4" i="2"/>
  <c r="HT4" i="2"/>
  <c r="HU4" i="2"/>
  <c r="HV4" i="2"/>
  <c r="HE5" i="2"/>
  <c r="HF5" i="2"/>
  <c r="HG5" i="2"/>
  <c r="HH5" i="2"/>
  <c r="HI5" i="2"/>
  <c r="HJ5" i="2"/>
  <c r="HK5" i="2"/>
  <c r="HL5" i="2"/>
  <c r="HM5" i="2"/>
  <c r="HN5" i="2"/>
  <c r="HO5" i="2"/>
  <c r="HP5" i="2"/>
  <c r="HQ5" i="2"/>
  <c r="HR5" i="2"/>
  <c r="HS5" i="2"/>
  <c r="HT5" i="2"/>
  <c r="HU5" i="2"/>
  <c r="HV5" i="2"/>
  <c r="HE6" i="2"/>
  <c r="HF6" i="2"/>
  <c r="HG6" i="2"/>
  <c r="HH6" i="2"/>
  <c r="HI6" i="2"/>
  <c r="HJ6" i="2"/>
  <c r="HK6" i="2"/>
  <c r="HL6" i="2"/>
  <c r="HM6" i="2"/>
  <c r="HN6" i="2"/>
  <c r="HO6" i="2"/>
  <c r="HP6" i="2"/>
  <c r="HQ6" i="2"/>
  <c r="HR6" i="2"/>
  <c r="HS6" i="2"/>
  <c r="HT6" i="2"/>
  <c r="HU6" i="2"/>
  <c r="HV6" i="2"/>
  <c r="HE7" i="2"/>
  <c r="HF7" i="2"/>
  <c r="HG7" i="2"/>
  <c r="HH7" i="2"/>
  <c r="HI7" i="2"/>
  <c r="HJ7" i="2"/>
  <c r="HK7" i="2"/>
  <c r="HL7" i="2"/>
  <c r="HM7" i="2"/>
  <c r="HN7" i="2"/>
  <c r="HO7" i="2"/>
  <c r="HP7" i="2"/>
  <c r="HQ7" i="2"/>
  <c r="HR7" i="2"/>
  <c r="HS7" i="2"/>
  <c r="HT7" i="2"/>
  <c r="HU7" i="2"/>
  <c r="HV7" i="2"/>
  <c r="HE8" i="2"/>
  <c r="HF8" i="2"/>
  <c r="HG8" i="2"/>
  <c r="HH8" i="2"/>
  <c r="HI8" i="2"/>
  <c r="HJ8" i="2"/>
  <c r="HK8" i="2"/>
  <c r="HL8" i="2"/>
  <c r="HM8" i="2"/>
  <c r="HN8" i="2"/>
  <c r="HO8" i="2"/>
  <c r="HP8" i="2"/>
  <c r="HQ8" i="2"/>
  <c r="HR8" i="2"/>
  <c r="HS8" i="2"/>
  <c r="HT8" i="2"/>
  <c r="HU8" i="2"/>
  <c r="HV8" i="2"/>
  <c r="HE9" i="2"/>
  <c r="HF9" i="2"/>
  <c r="HG9" i="2"/>
  <c r="HH9" i="2"/>
  <c r="HI9" i="2"/>
  <c r="HJ9" i="2"/>
  <c r="HK9" i="2"/>
  <c r="HL9" i="2"/>
  <c r="HM9" i="2"/>
  <c r="HN9" i="2"/>
  <c r="HO9" i="2"/>
  <c r="HP9" i="2"/>
  <c r="HQ9" i="2"/>
  <c r="HR9" i="2"/>
  <c r="HS9" i="2"/>
  <c r="HT9" i="2"/>
  <c r="HU9" i="2"/>
  <c r="HV9" i="2"/>
  <c r="HE10" i="2"/>
  <c r="HF10" i="2"/>
  <c r="HG10" i="2"/>
  <c r="HH10" i="2"/>
  <c r="HI10" i="2"/>
  <c r="HJ10" i="2"/>
  <c r="HK10" i="2"/>
  <c r="HL10" i="2"/>
  <c r="HM10" i="2"/>
  <c r="HN10" i="2"/>
  <c r="HO10" i="2"/>
  <c r="HP10" i="2"/>
  <c r="HQ10" i="2"/>
  <c r="HR10" i="2"/>
  <c r="HS10" i="2"/>
  <c r="HT10" i="2"/>
  <c r="HU10" i="2"/>
  <c r="HV10" i="2"/>
  <c r="HE11" i="2"/>
  <c r="HF11" i="2"/>
  <c r="HG11" i="2"/>
  <c r="HH11" i="2"/>
  <c r="HI11" i="2"/>
  <c r="HJ11" i="2"/>
  <c r="HK11" i="2"/>
  <c r="HL11" i="2"/>
  <c r="HM11" i="2"/>
  <c r="HN11" i="2"/>
  <c r="HO11" i="2"/>
  <c r="HP11" i="2"/>
  <c r="HQ11" i="2"/>
  <c r="HR11" i="2"/>
  <c r="HS11" i="2"/>
  <c r="HT11" i="2"/>
  <c r="HU11" i="2"/>
  <c r="HV11" i="2"/>
  <c r="HE12" i="2"/>
  <c r="HF12" i="2"/>
  <c r="HG12" i="2"/>
  <c r="HH12" i="2"/>
  <c r="HI12" i="2"/>
  <c r="HJ12" i="2"/>
  <c r="HK12" i="2"/>
  <c r="HL12" i="2"/>
  <c r="HM12" i="2"/>
  <c r="HN12" i="2"/>
  <c r="HO12" i="2"/>
  <c r="HP12" i="2"/>
  <c r="HQ12" i="2"/>
  <c r="HR12" i="2"/>
  <c r="HS12" i="2"/>
  <c r="HT12" i="2"/>
  <c r="HU12" i="2"/>
  <c r="HV12" i="2"/>
  <c r="HE13" i="2"/>
  <c r="HF13" i="2"/>
  <c r="HG13" i="2"/>
  <c r="HH13" i="2"/>
  <c r="HI13" i="2"/>
  <c r="HJ13" i="2"/>
  <c r="HK13" i="2"/>
  <c r="HL13" i="2"/>
  <c r="HM13" i="2"/>
  <c r="HN13" i="2"/>
  <c r="HO13" i="2"/>
  <c r="HP13" i="2"/>
  <c r="HQ13" i="2"/>
  <c r="HR13" i="2"/>
  <c r="HS13" i="2"/>
  <c r="HT13" i="2"/>
  <c r="HU13" i="2"/>
  <c r="HV13" i="2"/>
  <c r="GV4" i="2"/>
  <c r="GV5" i="2"/>
  <c r="GV6" i="2"/>
  <c r="GV7" i="2"/>
  <c r="GV8" i="2"/>
  <c r="GV9" i="2"/>
  <c r="GV10" i="2"/>
  <c r="GV11" i="2"/>
  <c r="GV12" i="2"/>
  <c r="GV13" i="2"/>
  <c r="GV14" i="2"/>
  <c r="GV3" i="2"/>
  <c r="GJ3" i="2"/>
  <c r="GK3" i="2"/>
  <c r="GL3" i="2"/>
  <c r="GM3" i="2"/>
  <c r="GN3" i="2"/>
  <c r="GO3" i="2"/>
  <c r="GP3" i="2"/>
  <c r="GQ3" i="2"/>
  <c r="GR3" i="2"/>
  <c r="GS3" i="2"/>
  <c r="GT3" i="2"/>
  <c r="GU3" i="2"/>
  <c r="GW3" i="2"/>
  <c r="GX3" i="2"/>
  <c r="GY3" i="2"/>
  <c r="GZ3" i="2"/>
  <c r="HA3" i="2"/>
  <c r="GJ4" i="2"/>
  <c r="GK4" i="2"/>
  <c r="GL4" i="2"/>
  <c r="GM4" i="2"/>
  <c r="GN4" i="2"/>
  <c r="GO4" i="2"/>
  <c r="GP4" i="2"/>
  <c r="GQ4" i="2"/>
  <c r="GR4" i="2"/>
  <c r="GS4" i="2"/>
  <c r="GT4" i="2"/>
  <c r="GU4" i="2"/>
  <c r="GW4" i="2"/>
  <c r="GX4" i="2"/>
  <c r="GY4" i="2"/>
  <c r="GZ4" i="2"/>
  <c r="HA4" i="2"/>
  <c r="GJ5" i="2"/>
  <c r="GK5" i="2"/>
  <c r="GL5" i="2"/>
  <c r="GM5" i="2"/>
  <c r="GN5" i="2"/>
  <c r="GO5" i="2"/>
  <c r="GP5" i="2"/>
  <c r="GQ5" i="2"/>
  <c r="GR5" i="2"/>
  <c r="GS5" i="2"/>
  <c r="GT5" i="2"/>
  <c r="GU5" i="2"/>
  <c r="GW5" i="2"/>
  <c r="GX5" i="2"/>
  <c r="GY5" i="2"/>
  <c r="GZ5" i="2"/>
  <c r="HA5" i="2"/>
  <c r="GJ6" i="2"/>
  <c r="GK6" i="2"/>
  <c r="GL6" i="2"/>
  <c r="GM6" i="2"/>
  <c r="GN6" i="2"/>
  <c r="GO6" i="2"/>
  <c r="GP6" i="2"/>
  <c r="GQ6" i="2"/>
  <c r="GR6" i="2"/>
  <c r="GS6" i="2"/>
  <c r="GT6" i="2"/>
  <c r="GU6" i="2"/>
  <c r="GW6" i="2"/>
  <c r="GX6" i="2"/>
  <c r="GY6" i="2"/>
  <c r="GZ6" i="2"/>
  <c r="HA6" i="2"/>
  <c r="GJ7" i="2"/>
  <c r="GK7" i="2"/>
  <c r="GL7" i="2"/>
  <c r="GM7" i="2"/>
  <c r="GN7" i="2"/>
  <c r="GO7" i="2"/>
  <c r="GP7" i="2"/>
  <c r="GQ7" i="2"/>
  <c r="GR7" i="2"/>
  <c r="GS7" i="2"/>
  <c r="GT7" i="2"/>
  <c r="GU7" i="2"/>
  <c r="GW7" i="2"/>
  <c r="GX7" i="2"/>
  <c r="GY7" i="2"/>
  <c r="GZ7" i="2"/>
  <c r="HA7" i="2"/>
  <c r="GJ8" i="2"/>
  <c r="GK8" i="2"/>
  <c r="GL8" i="2"/>
  <c r="GM8" i="2"/>
  <c r="GN8" i="2"/>
  <c r="GO8" i="2"/>
  <c r="GP8" i="2"/>
  <c r="GQ8" i="2"/>
  <c r="GR8" i="2"/>
  <c r="GS8" i="2"/>
  <c r="GT8" i="2"/>
  <c r="GU8" i="2"/>
  <c r="GW8" i="2"/>
  <c r="GX8" i="2"/>
  <c r="GY8" i="2"/>
  <c r="GZ8" i="2"/>
  <c r="HA8" i="2"/>
  <c r="GJ9" i="2"/>
  <c r="GK9" i="2"/>
  <c r="GL9" i="2"/>
  <c r="GM9" i="2"/>
  <c r="GN9" i="2"/>
  <c r="GO9" i="2"/>
  <c r="GP9" i="2"/>
  <c r="GQ9" i="2"/>
  <c r="GR9" i="2"/>
  <c r="GS9" i="2"/>
  <c r="GT9" i="2"/>
  <c r="GU9" i="2"/>
  <c r="GW9" i="2"/>
  <c r="GX9" i="2"/>
  <c r="GY9" i="2"/>
  <c r="GZ9" i="2"/>
  <c r="HA9" i="2"/>
  <c r="GJ10" i="2"/>
  <c r="GK10" i="2"/>
  <c r="GL10" i="2"/>
  <c r="GM10" i="2"/>
  <c r="GN10" i="2"/>
  <c r="GO10" i="2"/>
  <c r="GP10" i="2"/>
  <c r="GQ10" i="2"/>
  <c r="GR10" i="2"/>
  <c r="GS10" i="2"/>
  <c r="GT10" i="2"/>
  <c r="GU10" i="2"/>
  <c r="GW10" i="2"/>
  <c r="GX10" i="2"/>
  <c r="GY10" i="2"/>
  <c r="GZ10" i="2"/>
  <c r="HA10" i="2"/>
  <c r="GJ11" i="2"/>
  <c r="GK11" i="2"/>
  <c r="GL11" i="2"/>
  <c r="GM11" i="2"/>
  <c r="GN11" i="2"/>
  <c r="GO11" i="2"/>
  <c r="GP11" i="2"/>
  <c r="GQ11" i="2"/>
  <c r="GR11" i="2"/>
  <c r="GS11" i="2"/>
  <c r="GT11" i="2"/>
  <c r="GU11" i="2"/>
  <c r="GW11" i="2"/>
  <c r="GX11" i="2"/>
  <c r="GY11" i="2"/>
  <c r="GZ11" i="2"/>
  <c r="HA11" i="2"/>
  <c r="GJ12" i="2"/>
  <c r="GK12" i="2"/>
  <c r="GL12" i="2"/>
  <c r="GM12" i="2"/>
  <c r="GN12" i="2"/>
  <c r="GO12" i="2"/>
  <c r="GP12" i="2"/>
  <c r="GQ12" i="2"/>
  <c r="GR12" i="2"/>
  <c r="GS12" i="2"/>
  <c r="GT12" i="2"/>
  <c r="GU12" i="2"/>
  <c r="GW12" i="2"/>
  <c r="GX12" i="2"/>
  <c r="GY12" i="2"/>
  <c r="GZ12" i="2"/>
  <c r="HA12" i="2"/>
  <c r="GJ13" i="2"/>
  <c r="GK13" i="2"/>
  <c r="GL13" i="2"/>
  <c r="GM13" i="2"/>
  <c r="GN13" i="2"/>
  <c r="GO13" i="2"/>
  <c r="GP13" i="2"/>
  <c r="GQ13" i="2"/>
  <c r="GR13" i="2"/>
  <c r="GS13" i="2"/>
  <c r="GT13" i="2"/>
  <c r="GU13" i="2"/>
  <c r="GW13" i="2"/>
  <c r="GX13" i="2"/>
  <c r="GY13" i="2"/>
  <c r="GZ13" i="2"/>
  <c r="HA13" i="2"/>
  <c r="GJ14" i="2"/>
  <c r="GK14" i="2"/>
  <c r="GL14" i="2"/>
  <c r="GM14" i="2"/>
  <c r="GN14" i="2"/>
  <c r="GO14" i="2"/>
  <c r="GP14" i="2"/>
  <c r="GQ14" i="2"/>
  <c r="GR14" i="2"/>
  <c r="GS14" i="2"/>
  <c r="GT14" i="2"/>
  <c r="GU14" i="2"/>
  <c r="GW14" i="2"/>
  <c r="GX14" i="2"/>
  <c r="GY14" i="2"/>
  <c r="GZ14" i="2"/>
  <c r="HA14" i="2"/>
  <c r="DD2" i="10"/>
  <c r="DE2" i="10"/>
  <c r="DF2" i="10"/>
  <c r="DG2" i="10"/>
  <c r="DH2" i="10"/>
  <c r="DI2" i="10"/>
  <c r="DJ2" i="10"/>
  <c r="DK2" i="10"/>
  <c r="DL2" i="10"/>
  <c r="DM2" i="10"/>
  <c r="DN2" i="10"/>
  <c r="DO2" i="10"/>
  <c r="DP2" i="10"/>
  <c r="DQ2" i="10"/>
  <c r="DR2" i="10"/>
  <c r="DS2" i="10"/>
  <c r="DT2" i="10"/>
  <c r="DU2" i="10"/>
  <c r="DD3" i="10"/>
  <c r="DE3" i="10"/>
  <c r="DF3" i="10"/>
  <c r="DG3" i="10"/>
  <c r="DH3" i="10"/>
  <c r="DI3" i="10"/>
  <c r="DJ3" i="10"/>
  <c r="DK3" i="10"/>
  <c r="DL3" i="10"/>
  <c r="DM3" i="10"/>
  <c r="DN3" i="10"/>
  <c r="DO3" i="10"/>
  <c r="DP3" i="10"/>
  <c r="DQ3" i="10"/>
  <c r="DR3" i="10"/>
  <c r="DS3" i="10"/>
  <c r="DT3" i="10"/>
  <c r="DU3" i="10"/>
  <c r="DD4" i="10"/>
  <c r="DE4" i="10"/>
  <c r="DF4" i="10"/>
  <c r="DG4" i="10"/>
  <c r="DH4" i="10"/>
  <c r="DI4" i="10"/>
  <c r="DJ4" i="10"/>
  <c r="DK4" i="10"/>
  <c r="DL4" i="10"/>
  <c r="DM4" i="10"/>
  <c r="DN4" i="10"/>
  <c r="DO4" i="10"/>
  <c r="DP4" i="10"/>
  <c r="DQ4" i="10"/>
  <c r="DR4" i="10"/>
  <c r="DS4" i="10"/>
  <c r="DT4" i="10"/>
  <c r="DU4" i="10"/>
  <c r="DD5" i="10"/>
  <c r="DE5" i="10"/>
  <c r="DF5" i="10"/>
  <c r="DG5" i="10"/>
  <c r="DH5" i="10"/>
  <c r="DI5" i="10"/>
  <c r="DJ5" i="10"/>
  <c r="DK5" i="10"/>
  <c r="DL5" i="10"/>
  <c r="DM5" i="10"/>
  <c r="DN5" i="10"/>
  <c r="DO5" i="10"/>
  <c r="DP5" i="10"/>
  <c r="DQ5" i="10"/>
  <c r="DR5" i="10"/>
  <c r="DS5" i="10"/>
  <c r="DT5" i="10"/>
  <c r="DU5" i="10"/>
  <c r="DD6" i="10"/>
  <c r="DE6" i="10"/>
  <c r="DF6" i="10"/>
  <c r="DG6" i="10"/>
  <c r="DH6" i="10"/>
  <c r="DI6" i="10"/>
  <c r="DJ6" i="10"/>
  <c r="DK6" i="10"/>
  <c r="DL6" i="10"/>
  <c r="DM6" i="10"/>
  <c r="DN6" i="10"/>
  <c r="DO6" i="10"/>
  <c r="DP6" i="10"/>
  <c r="DQ6" i="10"/>
  <c r="DR6" i="10"/>
  <c r="DS6" i="10"/>
  <c r="DT6" i="10"/>
  <c r="DU6" i="10"/>
  <c r="DD7" i="10"/>
  <c r="DE7" i="10"/>
  <c r="DF7" i="10"/>
  <c r="DG7" i="10"/>
  <c r="DH7" i="10"/>
  <c r="DI7" i="10"/>
  <c r="DJ7" i="10"/>
  <c r="DK7" i="10"/>
  <c r="DL7" i="10"/>
  <c r="DM7" i="10"/>
  <c r="DN7" i="10"/>
  <c r="DO7" i="10"/>
  <c r="DP7" i="10"/>
  <c r="DQ7" i="10"/>
  <c r="DR7" i="10"/>
  <c r="DS7" i="10"/>
  <c r="DT7" i="10"/>
  <c r="DU7" i="10"/>
  <c r="DD8" i="10"/>
  <c r="DE8" i="10"/>
  <c r="DF8" i="10"/>
  <c r="DG8" i="10"/>
  <c r="DH8" i="10"/>
  <c r="DI8" i="10"/>
  <c r="DJ8" i="10"/>
  <c r="DK8" i="10"/>
  <c r="DL8" i="10"/>
  <c r="DM8" i="10"/>
  <c r="DN8" i="10"/>
  <c r="DO8" i="10"/>
  <c r="DP8" i="10"/>
  <c r="DQ8" i="10"/>
  <c r="DR8" i="10"/>
  <c r="DS8" i="10"/>
  <c r="DT8" i="10"/>
  <c r="DU8" i="10"/>
  <c r="DD9" i="10"/>
  <c r="DE9" i="10"/>
  <c r="DF9" i="10"/>
  <c r="DG9" i="10"/>
  <c r="DH9" i="10"/>
  <c r="DI9" i="10"/>
  <c r="DJ9" i="10"/>
  <c r="DK9" i="10"/>
  <c r="DL9" i="10"/>
  <c r="DM9" i="10"/>
  <c r="DN9" i="10"/>
  <c r="DO9" i="10"/>
  <c r="DP9" i="10"/>
  <c r="DQ9" i="10"/>
  <c r="DR9" i="10"/>
  <c r="DS9" i="10"/>
  <c r="DT9" i="10"/>
  <c r="DU9" i="10"/>
  <c r="DD10" i="10"/>
  <c r="DE10" i="10"/>
  <c r="DF10" i="10"/>
  <c r="DG10" i="10"/>
  <c r="DH10" i="10"/>
  <c r="DI10" i="10"/>
  <c r="DJ10" i="10"/>
  <c r="DK10" i="10"/>
  <c r="DL10" i="10"/>
  <c r="DM10" i="10"/>
  <c r="DN10" i="10"/>
  <c r="DO10" i="10"/>
  <c r="DP10" i="10"/>
  <c r="DQ10" i="10"/>
  <c r="DR10" i="10"/>
  <c r="DS10" i="10"/>
  <c r="DT10" i="10"/>
  <c r="DU10" i="10"/>
  <c r="DD11" i="10"/>
  <c r="DE11" i="10"/>
  <c r="DF11" i="10"/>
  <c r="DG11" i="10"/>
  <c r="DH11" i="10"/>
  <c r="DI11" i="10"/>
  <c r="DJ11" i="10"/>
  <c r="DK11" i="10"/>
  <c r="DL11" i="10"/>
  <c r="DM11" i="10"/>
  <c r="DN11" i="10"/>
  <c r="DO11" i="10"/>
  <c r="DP11" i="10"/>
  <c r="DQ11" i="10"/>
  <c r="DR11" i="10"/>
  <c r="DS11" i="10"/>
  <c r="DT11" i="10"/>
  <c r="DU11" i="10"/>
  <c r="DD12" i="10"/>
  <c r="DE12" i="10"/>
  <c r="DF12" i="10"/>
  <c r="DG12" i="10"/>
  <c r="DH12" i="10"/>
  <c r="DI12" i="10"/>
  <c r="DJ12" i="10"/>
  <c r="DK12" i="10"/>
  <c r="DL12" i="10"/>
  <c r="DM12" i="10"/>
  <c r="DN12" i="10"/>
  <c r="DO12" i="10"/>
  <c r="DP12" i="10"/>
  <c r="DQ12" i="10"/>
  <c r="DR12" i="10"/>
  <c r="DS12" i="10"/>
  <c r="DT12" i="10"/>
  <c r="DU12" i="10"/>
  <c r="DD13" i="10"/>
  <c r="DE13" i="10"/>
  <c r="DF13" i="10"/>
  <c r="DG13" i="10"/>
  <c r="DH13" i="10"/>
  <c r="DI13" i="10"/>
  <c r="DJ13" i="10"/>
  <c r="DK13" i="10"/>
  <c r="DL13" i="10"/>
  <c r="DM13" i="10"/>
  <c r="DN13" i="10"/>
  <c r="DO13" i="10"/>
  <c r="DP13" i="10"/>
  <c r="DQ13" i="10"/>
  <c r="DR13" i="10"/>
  <c r="DS13" i="10"/>
  <c r="DT13" i="10"/>
  <c r="DU13" i="10"/>
  <c r="DD14" i="10"/>
  <c r="DE14" i="10"/>
  <c r="DF14" i="10"/>
  <c r="DG14" i="10"/>
  <c r="DH14" i="10"/>
  <c r="DI14" i="10"/>
  <c r="DJ14" i="10"/>
  <c r="DK14" i="10"/>
  <c r="DL14" i="10"/>
  <c r="DM14" i="10"/>
  <c r="DN14" i="10"/>
  <c r="DO14" i="10"/>
  <c r="DP14" i="10"/>
  <c r="DQ14" i="10"/>
  <c r="DR14" i="10"/>
  <c r="DS14" i="10"/>
  <c r="DT14" i="10"/>
  <c r="DU14" i="10"/>
  <c r="DD15" i="10"/>
  <c r="DE15" i="10"/>
  <c r="DF15" i="10"/>
  <c r="DG15" i="10"/>
  <c r="DH15" i="10"/>
  <c r="DI15" i="10"/>
  <c r="DJ15" i="10"/>
  <c r="DK15" i="10"/>
  <c r="DL15" i="10"/>
  <c r="DM15" i="10"/>
  <c r="DN15" i="10"/>
  <c r="DO15" i="10"/>
  <c r="DP15" i="10"/>
  <c r="DQ15" i="10"/>
  <c r="DR15" i="10"/>
  <c r="DS15" i="10"/>
  <c r="DT15" i="10"/>
  <c r="DU15" i="10"/>
  <c r="DD16" i="10"/>
  <c r="DE16" i="10"/>
  <c r="DF16" i="10"/>
  <c r="DG16" i="10"/>
  <c r="DH16" i="10"/>
  <c r="DI16" i="10"/>
  <c r="DJ16" i="10"/>
  <c r="DK16" i="10"/>
  <c r="DL16" i="10"/>
  <c r="DM16" i="10"/>
  <c r="DN16" i="10"/>
  <c r="DO16" i="10"/>
  <c r="DP16" i="10"/>
  <c r="DQ16" i="10"/>
  <c r="DR16" i="10"/>
  <c r="DS16" i="10"/>
  <c r="DT16" i="10"/>
  <c r="DU16" i="10"/>
  <c r="DD17" i="10"/>
  <c r="DE17" i="10"/>
  <c r="DF17" i="10"/>
  <c r="DG17" i="10"/>
  <c r="DH17" i="10"/>
  <c r="DI17" i="10"/>
  <c r="DJ17" i="10"/>
  <c r="DK17" i="10"/>
  <c r="DL17" i="10"/>
  <c r="DM17" i="10"/>
  <c r="DN17" i="10"/>
  <c r="DO17" i="10"/>
  <c r="DP17" i="10"/>
  <c r="DQ17" i="10"/>
  <c r="DR17" i="10"/>
  <c r="DS17" i="10"/>
  <c r="DT17" i="10"/>
  <c r="DU17" i="10"/>
  <c r="DD18" i="10"/>
  <c r="DE18" i="10"/>
  <c r="DF18" i="10"/>
  <c r="DG18" i="10"/>
  <c r="DH18" i="10"/>
  <c r="DI18" i="10"/>
  <c r="DJ18" i="10"/>
  <c r="DK18" i="10"/>
  <c r="DL18" i="10"/>
  <c r="DM18" i="10"/>
  <c r="DN18" i="10"/>
  <c r="DO18" i="10"/>
  <c r="DP18" i="10"/>
  <c r="DQ18" i="10"/>
  <c r="DR18" i="10"/>
  <c r="DS18" i="10"/>
  <c r="DT18" i="10"/>
  <c r="DU18" i="10"/>
  <c r="DD19" i="10"/>
  <c r="DE19" i="10"/>
  <c r="DF19" i="10"/>
  <c r="DG19" i="10"/>
  <c r="DH19" i="10"/>
  <c r="DI19" i="10"/>
  <c r="DJ19" i="10"/>
  <c r="DK19" i="10"/>
  <c r="DL19" i="10"/>
  <c r="DM19" i="10"/>
  <c r="DN19" i="10"/>
  <c r="DO19" i="10"/>
  <c r="DP19" i="10"/>
  <c r="DQ19" i="10"/>
  <c r="DR19" i="10"/>
  <c r="DS19" i="10"/>
  <c r="DT19" i="10"/>
  <c r="DU19" i="10"/>
  <c r="DD20" i="10"/>
  <c r="DE20" i="10"/>
  <c r="DF20" i="10"/>
  <c r="DG20" i="10"/>
  <c r="DH20" i="10"/>
  <c r="DI20" i="10"/>
  <c r="DJ20" i="10"/>
  <c r="DK20" i="10"/>
  <c r="DL20" i="10"/>
  <c r="DM20" i="10"/>
  <c r="DN20" i="10"/>
  <c r="DO20" i="10"/>
  <c r="DP20" i="10"/>
  <c r="DQ20" i="10"/>
  <c r="DR20" i="10"/>
  <c r="DS20" i="10"/>
  <c r="DT20" i="10"/>
  <c r="DU20" i="10"/>
  <c r="DD21" i="10"/>
  <c r="DE21" i="10"/>
  <c r="DF21" i="10"/>
  <c r="DG21" i="10"/>
  <c r="DH21" i="10"/>
  <c r="DI21" i="10"/>
  <c r="DJ21" i="10"/>
  <c r="DK21" i="10"/>
  <c r="DL21" i="10"/>
  <c r="DM21" i="10"/>
  <c r="DN21" i="10"/>
  <c r="DO21" i="10"/>
  <c r="DP21" i="10"/>
  <c r="DQ21" i="10"/>
  <c r="DR21" i="10"/>
  <c r="DS21" i="10"/>
  <c r="DT21" i="10"/>
  <c r="DU21" i="10"/>
  <c r="DD22" i="10"/>
  <c r="DE22" i="10"/>
  <c r="DF22" i="10"/>
  <c r="DG22" i="10"/>
  <c r="DH22" i="10"/>
  <c r="DI22" i="10"/>
  <c r="DJ22" i="10"/>
  <c r="DK22" i="10"/>
  <c r="DL22" i="10"/>
  <c r="DM22" i="10"/>
  <c r="DN22" i="10"/>
  <c r="DO22" i="10"/>
  <c r="DP22" i="10"/>
  <c r="DQ22" i="10"/>
  <c r="DR22" i="10"/>
  <c r="DS22" i="10"/>
  <c r="DT22" i="10"/>
  <c r="DU22" i="10"/>
  <c r="DD23" i="10"/>
  <c r="DE23" i="10"/>
  <c r="DF23" i="10"/>
  <c r="DG23" i="10"/>
  <c r="DH23" i="10"/>
  <c r="DI23" i="10"/>
  <c r="DJ23" i="10"/>
  <c r="DK23" i="10"/>
  <c r="DL23" i="10"/>
  <c r="DM23" i="10"/>
  <c r="DN23" i="10"/>
  <c r="DO23" i="10"/>
  <c r="DP23" i="10"/>
  <c r="DQ23" i="10"/>
  <c r="DR23" i="10"/>
  <c r="DS23" i="10"/>
  <c r="DT23" i="10"/>
  <c r="DU23" i="10"/>
  <c r="DD24" i="10"/>
  <c r="DE24" i="10"/>
  <c r="DF24" i="10"/>
  <c r="DG24" i="10"/>
  <c r="DH24" i="10"/>
  <c r="DI24" i="10"/>
  <c r="DJ24" i="10"/>
  <c r="DK24" i="10"/>
  <c r="DL24" i="10"/>
  <c r="DM24" i="10"/>
  <c r="DN24" i="10"/>
  <c r="DO24" i="10"/>
  <c r="DP24" i="10"/>
  <c r="DQ24" i="10"/>
  <c r="DR24" i="10"/>
  <c r="DS24" i="10"/>
  <c r="DT24" i="10"/>
  <c r="DU24" i="10"/>
  <c r="DD25" i="10"/>
  <c r="DE25" i="10"/>
  <c r="DF25" i="10"/>
  <c r="DG25" i="10"/>
  <c r="DH25" i="10"/>
  <c r="DI25" i="10"/>
  <c r="DJ25" i="10"/>
  <c r="DK25" i="10"/>
  <c r="DL25" i="10"/>
  <c r="DM25" i="10"/>
  <c r="DN25" i="10"/>
  <c r="DO25" i="10"/>
  <c r="DP25" i="10"/>
  <c r="DQ25" i="10"/>
  <c r="DR25" i="10"/>
  <c r="DS25" i="10"/>
  <c r="DT25" i="10"/>
  <c r="DU25" i="10"/>
  <c r="DD26" i="10"/>
  <c r="DE26" i="10"/>
  <c r="DF26" i="10"/>
  <c r="DG26" i="10"/>
  <c r="DH26" i="10"/>
  <c r="DI26" i="10"/>
  <c r="DJ26" i="10"/>
  <c r="DK26" i="10"/>
  <c r="DL26" i="10"/>
  <c r="DM26" i="10"/>
  <c r="DN26" i="10"/>
  <c r="DO26" i="10"/>
  <c r="DP26" i="10"/>
  <c r="DQ26" i="10"/>
  <c r="DR26" i="10"/>
  <c r="DS26" i="10"/>
  <c r="DT26" i="10"/>
  <c r="DU26" i="10"/>
  <c r="DD27" i="10"/>
  <c r="DE27" i="10"/>
  <c r="DF27" i="10"/>
  <c r="DG27" i="10"/>
  <c r="DH27" i="10"/>
  <c r="DI27" i="10"/>
  <c r="DJ27" i="10"/>
  <c r="DK27" i="10"/>
  <c r="DL27" i="10"/>
  <c r="DM27" i="10"/>
  <c r="DN27" i="10"/>
  <c r="DO27" i="10"/>
  <c r="DP27" i="10"/>
  <c r="DQ27" i="10"/>
  <c r="DR27" i="10"/>
  <c r="DS27" i="10"/>
  <c r="DT27" i="10"/>
  <c r="DU27" i="10"/>
  <c r="DD28" i="10"/>
  <c r="DE28" i="10"/>
  <c r="DF28" i="10"/>
  <c r="DG28" i="10"/>
  <c r="DH28" i="10"/>
  <c r="DI28" i="10"/>
  <c r="DJ28" i="10"/>
  <c r="DK28" i="10"/>
  <c r="DL28" i="10"/>
  <c r="DM28" i="10"/>
  <c r="DN28" i="10"/>
  <c r="DO28" i="10"/>
  <c r="DP28" i="10"/>
  <c r="DQ28" i="10"/>
  <c r="DR28" i="10"/>
  <c r="DS28" i="10"/>
  <c r="DT28" i="10"/>
  <c r="DU28" i="10"/>
  <c r="DD29" i="10"/>
  <c r="DE29" i="10"/>
  <c r="DF29" i="10"/>
  <c r="DG29" i="10"/>
  <c r="DH29" i="10"/>
  <c r="DI29" i="10"/>
  <c r="DJ29" i="10"/>
  <c r="DK29" i="10"/>
  <c r="DL29" i="10"/>
  <c r="DM29" i="10"/>
  <c r="DN29" i="10"/>
  <c r="DO29" i="10"/>
  <c r="DP29" i="10"/>
  <c r="DQ29" i="10"/>
  <c r="DR29" i="10"/>
  <c r="DS29" i="10"/>
  <c r="DT29" i="10"/>
  <c r="DU29" i="10"/>
  <c r="DD30" i="10"/>
  <c r="DE30" i="10"/>
  <c r="DF30" i="10"/>
  <c r="DG30" i="10"/>
  <c r="DH30" i="10"/>
  <c r="DI30" i="10"/>
  <c r="DJ30" i="10"/>
  <c r="DK30" i="10"/>
  <c r="DL30" i="10"/>
  <c r="DM30" i="10"/>
  <c r="DN30" i="10"/>
  <c r="DO30" i="10"/>
  <c r="DP30" i="10"/>
  <c r="DQ30" i="10"/>
  <c r="DR30" i="10"/>
  <c r="DS30" i="10"/>
  <c r="DT30" i="10"/>
  <c r="DU30" i="10"/>
  <c r="DD31" i="10"/>
  <c r="DE31" i="10"/>
  <c r="DF31" i="10"/>
  <c r="DG31" i="10"/>
  <c r="DH31" i="10"/>
  <c r="DI31" i="10"/>
  <c r="DJ31" i="10"/>
  <c r="DK31" i="10"/>
  <c r="DL31" i="10"/>
  <c r="DM31" i="10"/>
  <c r="DN31" i="10"/>
  <c r="DO31" i="10"/>
  <c r="DP31" i="10"/>
  <c r="DQ31" i="10"/>
  <c r="DR31" i="10"/>
  <c r="DS31" i="10"/>
  <c r="DT31" i="10"/>
  <c r="DU31" i="10"/>
  <c r="DD32" i="10"/>
  <c r="DE32" i="10"/>
  <c r="DF32" i="10"/>
  <c r="DG32" i="10"/>
  <c r="DH32" i="10"/>
  <c r="DI32" i="10"/>
  <c r="DJ32" i="10"/>
  <c r="DK32" i="10"/>
  <c r="DL32" i="10"/>
  <c r="DM32" i="10"/>
  <c r="DN32" i="10"/>
  <c r="DO32" i="10"/>
  <c r="DP32" i="10"/>
  <c r="DQ32" i="10"/>
  <c r="DR32" i="10"/>
  <c r="DS32" i="10"/>
  <c r="DT32" i="10"/>
  <c r="DU32" i="10"/>
  <c r="DD33" i="10"/>
  <c r="DE33" i="10"/>
  <c r="DF33" i="10"/>
  <c r="DG33" i="10"/>
  <c r="DH33" i="10"/>
  <c r="DI33" i="10"/>
  <c r="DJ33" i="10"/>
  <c r="DK33" i="10"/>
  <c r="DL33" i="10"/>
  <c r="DM33" i="10"/>
  <c r="DN33" i="10"/>
  <c r="DO33" i="10"/>
  <c r="DP33" i="10"/>
  <c r="DQ33" i="10"/>
  <c r="DR33" i="10"/>
  <c r="DS33" i="10"/>
  <c r="DT33" i="10"/>
  <c r="DU33" i="10"/>
  <c r="DD34" i="10"/>
  <c r="DE34" i="10"/>
  <c r="DF34" i="10"/>
  <c r="DG34" i="10"/>
  <c r="DH34" i="10"/>
  <c r="DI34" i="10"/>
  <c r="DJ34" i="10"/>
  <c r="DK34" i="10"/>
  <c r="DL34" i="10"/>
  <c r="DM34" i="10"/>
  <c r="DN34" i="10"/>
  <c r="DO34" i="10"/>
  <c r="DP34" i="10"/>
  <c r="DQ34" i="10"/>
  <c r="DR34" i="10"/>
  <c r="DS34" i="10"/>
  <c r="DT34" i="10"/>
  <c r="DU34" i="10"/>
  <c r="DD35" i="10"/>
  <c r="DE35" i="10"/>
  <c r="DF35" i="10"/>
  <c r="DG35" i="10"/>
  <c r="DH35" i="10"/>
  <c r="DI35" i="10"/>
  <c r="DJ35" i="10"/>
  <c r="DK35" i="10"/>
  <c r="DL35" i="10"/>
  <c r="DM35" i="10"/>
  <c r="DN35" i="10"/>
  <c r="DO35" i="10"/>
  <c r="DP35" i="10"/>
  <c r="DQ35" i="10"/>
  <c r="DR35" i="10"/>
  <c r="DS35" i="10"/>
  <c r="DT35" i="10"/>
  <c r="DU35" i="10"/>
  <c r="DD36" i="10"/>
  <c r="DE36" i="10"/>
  <c r="DF36" i="10"/>
  <c r="DG36" i="10"/>
  <c r="DH36" i="10"/>
  <c r="DI36" i="10"/>
  <c r="DJ36" i="10"/>
  <c r="DK36" i="10"/>
  <c r="DL36" i="10"/>
  <c r="DM36" i="10"/>
  <c r="DN36" i="10"/>
  <c r="DO36" i="10"/>
  <c r="DP36" i="10"/>
  <c r="DQ36" i="10"/>
  <c r="DR36" i="10"/>
  <c r="DS36" i="10"/>
  <c r="DT36" i="10"/>
  <c r="DU36" i="10"/>
  <c r="DD37" i="10"/>
  <c r="DE37" i="10"/>
  <c r="DF37" i="10"/>
  <c r="DG37" i="10"/>
  <c r="DH37" i="10"/>
  <c r="DI37" i="10"/>
  <c r="DJ37" i="10"/>
  <c r="DK37" i="10"/>
  <c r="DL37" i="10"/>
  <c r="DM37" i="10"/>
  <c r="DN37" i="10"/>
  <c r="DO37" i="10"/>
  <c r="DP37" i="10"/>
  <c r="DQ37" i="10"/>
  <c r="DR37" i="10"/>
  <c r="DS37" i="10"/>
  <c r="DT37" i="10"/>
  <c r="DU37" i="10"/>
  <c r="DD38" i="10"/>
  <c r="DE38" i="10"/>
  <c r="DF38" i="10"/>
  <c r="DG38" i="10"/>
  <c r="DH38" i="10"/>
  <c r="DI38" i="10"/>
  <c r="DJ38" i="10"/>
  <c r="DK38" i="10"/>
  <c r="DL38" i="10"/>
  <c r="DM38" i="10"/>
  <c r="DN38" i="10"/>
  <c r="DO38" i="10"/>
  <c r="DP38" i="10"/>
  <c r="DQ38" i="10"/>
  <c r="DR38" i="10"/>
  <c r="DS38" i="10"/>
  <c r="DT38" i="10"/>
  <c r="DU38" i="10"/>
  <c r="DD39" i="10"/>
  <c r="DE39" i="10"/>
  <c r="DF39" i="10"/>
  <c r="DG39" i="10"/>
  <c r="DH39" i="10"/>
  <c r="DI39" i="10"/>
  <c r="DJ39" i="10"/>
  <c r="DK39" i="10"/>
  <c r="DL39" i="10"/>
  <c r="DM39" i="10"/>
  <c r="DN39" i="10"/>
  <c r="DO39" i="10"/>
  <c r="DP39" i="10"/>
  <c r="DQ39" i="10"/>
  <c r="DR39" i="10"/>
  <c r="DS39" i="10"/>
  <c r="DT39" i="10"/>
  <c r="DU39" i="10"/>
  <c r="DD40" i="10"/>
  <c r="DE40" i="10"/>
  <c r="DF40" i="10"/>
  <c r="DG40" i="10"/>
  <c r="DH40" i="10"/>
  <c r="DI40" i="10"/>
  <c r="DJ40" i="10"/>
  <c r="DK40" i="10"/>
  <c r="DL40" i="10"/>
  <c r="DM40" i="10"/>
  <c r="DN40" i="10"/>
  <c r="DO40" i="10"/>
  <c r="DP40" i="10"/>
  <c r="DQ40" i="10"/>
  <c r="DR40" i="10"/>
  <c r="DS40" i="10"/>
  <c r="DT40" i="10"/>
  <c r="DU40" i="10"/>
  <c r="DD41" i="10"/>
  <c r="DE41" i="10"/>
  <c r="DF41" i="10"/>
  <c r="DG41" i="10"/>
  <c r="DH41" i="10"/>
  <c r="DI41" i="10"/>
  <c r="DJ41" i="10"/>
  <c r="DK41" i="10"/>
  <c r="DL41" i="10"/>
  <c r="DM41" i="10"/>
  <c r="DN41" i="10"/>
  <c r="DO41" i="10"/>
  <c r="DP41" i="10"/>
  <c r="DQ41" i="10"/>
  <c r="DR41" i="10"/>
  <c r="DS41" i="10"/>
  <c r="DT41" i="10"/>
  <c r="DU41" i="10"/>
  <c r="DD42" i="10"/>
  <c r="DE42" i="10"/>
  <c r="DF42" i="10"/>
  <c r="DG42" i="10"/>
  <c r="DH42" i="10"/>
  <c r="DI42" i="10"/>
  <c r="DJ42" i="10"/>
  <c r="DK42" i="10"/>
  <c r="DL42" i="10"/>
  <c r="DM42" i="10"/>
  <c r="DN42" i="10"/>
  <c r="DO42" i="10"/>
  <c r="DP42" i="10"/>
  <c r="DQ42" i="10"/>
  <c r="DR42" i="10"/>
  <c r="DS42" i="10"/>
  <c r="DT42" i="10"/>
  <c r="DU42" i="10"/>
  <c r="DD43" i="10"/>
  <c r="DE43" i="10"/>
  <c r="DF43" i="10"/>
  <c r="DG43" i="10"/>
  <c r="DH43" i="10"/>
  <c r="DI43" i="10"/>
  <c r="DJ43" i="10"/>
  <c r="DK43" i="10"/>
  <c r="DL43" i="10"/>
  <c r="DM43" i="10"/>
  <c r="DN43" i="10"/>
  <c r="DO43" i="10"/>
  <c r="DP43" i="10"/>
  <c r="DQ43" i="10"/>
  <c r="DR43" i="10"/>
  <c r="DS43" i="10"/>
  <c r="DT43" i="10"/>
  <c r="DU43" i="10"/>
  <c r="DD44" i="10"/>
  <c r="DE44" i="10"/>
  <c r="DF44" i="10"/>
  <c r="DG44" i="10"/>
  <c r="DH44" i="10"/>
  <c r="DI44" i="10"/>
  <c r="DJ44" i="10"/>
  <c r="DK44" i="10"/>
  <c r="DL44" i="10"/>
  <c r="DM44" i="10"/>
  <c r="DN44" i="10"/>
  <c r="DO44" i="10"/>
  <c r="DP44" i="10"/>
  <c r="DQ44" i="10"/>
  <c r="DR44" i="10"/>
  <c r="DS44" i="10"/>
  <c r="DT44" i="10"/>
  <c r="DU44" i="10"/>
  <c r="DD45" i="10"/>
  <c r="DE45" i="10"/>
  <c r="DF45" i="10"/>
  <c r="DG45" i="10"/>
  <c r="DH45" i="10"/>
  <c r="DI45" i="10"/>
  <c r="DJ45" i="10"/>
  <c r="DK45" i="10"/>
  <c r="DL45" i="10"/>
  <c r="DM45" i="10"/>
  <c r="DN45" i="10"/>
  <c r="DO45" i="10"/>
  <c r="DP45" i="10"/>
  <c r="DQ45" i="10"/>
  <c r="DR45" i="10"/>
  <c r="DS45" i="10"/>
  <c r="DT45" i="10"/>
  <c r="DU45" i="10"/>
  <c r="DC3" i="10"/>
  <c r="DC4" i="10"/>
  <c r="DC5" i="10"/>
  <c r="DC6" i="10"/>
  <c r="DC7" i="10"/>
  <c r="DC8" i="10"/>
  <c r="DC9" i="10"/>
  <c r="DC10" i="10"/>
  <c r="DC11" i="10"/>
  <c r="DC12" i="10"/>
  <c r="DC13" i="10"/>
  <c r="DC14" i="10"/>
  <c r="DC15" i="10"/>
  <c r="DC16" i="10"/>
  <c r="DC17" i="10"/>
  <c r="DC18" i="10"/>
  <c r="DC19" i="10"/>
  <c r="DC20" i="10"/>
  <c r="DC21" i="10"/>
  <c r="DC22" i="10"/>
  <c r="DC23" i="10"/>
  <c r="DC24" i="10"/>
  <c r="DC25" i="10"/>
  <c r="DC26" i="10"/>
  <c r="DC27" i="10"/>
  <c r="DC28" i="10"/>
  <c r="DC29" i="10"/>
  <c r="DC30" i="10"/>
  <c r="DC31" i="10"/>
  <c r="DC32" i="10"/>
  <c r="DC33" i="10"/>
  <c r="DC34" i="10"/>
  <c r="DC35" i="10"/>
  <c r="DC36" i="10"/>
  <c r="DC37" i="10"/>
  <c r="DC38" i="10"/>
  <c r="DC39" i="10"/>
  <c r="DC40" i="10"/>
  <c r="DC41" i="10"/>
  <c r="DC42" i="10"/>
  <c r="DC43" i="10"/>
  <c r="DC44" i="10"/>
  <c r="DC45" i="10"/>
  <c r="DC2" i="10"/>
  <c r="CI2" i="10"/>
  <c r="CJ2" i="10"/>
  <c r="CK2" i="10"/>
  <c r="CL2" i="10"/>
  <c r="CM2" i="10"/>
  <c r="CN2" i="10"/>
  <c r="CO2" i="10"/>
  <c r="CP2" i="10"/>
  <c r="CQ2" i="10"/>
  <c r="CR2" i="10"/>
  <c r="CS2" i="10"/>
  <c r="CT2" i="10"/>
  <c r="CU2" i="10"/>
  <c r="CV2" i="10"/>
  <c r="CW2" i="10"/>
  <c r="CX2" i="10"/>
  <c r="CY2" i="10"/>
  <c r="CZ2" i="10"/>
  <c r="CI3" i="10"/>
  <c r="CJ3" i="10"/>
  <c r="CK3" i="10"/>
  <c r="CL3" i="10"/>
  <c r="CM3" i="10"/>
  <c r="CN3" i="10"/>
  <c r="CO3" i="10"/>
  <c r="CP3" i="10"/>
  <c r="CQ3" i="10"/>
  <c r="CR3" i="10"/>
  <c r="CS3" i="10"/>
  <c r="CT3" i="10"/>
  <c r="CU3" i="10"/>
  <c r="CV3" i="10"/>
  <c r="CW3" i="10"/>
  <c r="CX3" i="10"/>
  <c r="CY3" i="10"/>
  <c r="CZ3" i="10"/>
  <c r="CI4" i="10"/>
  <c r="CJ4" i="10"/>
  <c r="CK4" i="10"/>
  <c r="CL4" i="10"/>
  <c r="CM4" i="10"/>
  <c r="CN4" i="10"/>
  <c r="CO4" i="10"/>
  <c r="CP4" i="10"/>
  <c r="CQ4" i="10"/>
  <c r="CR4" i="10"/>
  <c r="CS4" i="10"/>
  <c r="CT4" i="10"/>
  <c r="CU4" i="10"/>
  <c r="CV4" i="10"/>
  <c r="CW4" i="10"/>
  <c r="CX4" i="10"/>
  <c r="CY4" i="10"/>
  <c r="CZ4" i="10"/>
  <c r="CI5" i="10"/>
  <c r="CJ5" i="10"/>
  <c r="CK5" i="10"/>
  <c r="CL5" i="10"/>
  <c r="CM5" i="10"/>
  <c r="CN5" i="10"/>
  <c r="CO5" i="10"/>
  <c r="CP5" i="10"/>
  <c r="CQ5" i="10"/>
  <c r="CR5" i="10"/>
  <c r="CS5" i="10"/>
  <c r="CT5" i="10"/>
  <c r="CU5" i="10"/>
  <c r="CV5" i="10"/>
  <c r="CW5" i="10"/>
  <c r="CX5" i="10"/>
  <c r="CY5" i="10"/>
  <c r="CZ5" i="10"/>
  <c r="CI6" i="10"/>
  <c r="CJ6" i="10"/>
  <c r="CK6" i="10"/>
  <c r="CL6" i="10"/>
  <c r="CM6" i="10"/>
  <c r="CN6" i="10"/>
  <c r="CO6" i="10"/>
  <c r="CP6" i="10"/>
  <c r="CQ6" i="10"/>
  <c r="CR6" i="10"/>
  <c r="CS6" i="10"/>
  <c r="CT6" i="10"/>
  <c r="CU6" i="10"/>
  <c r="CV6" i="10"/>
  <c r="CW6" i="10"/>
  <c r="CX6" i="10"/>
  <c r="CY6" i="10"/>
  <c r="CZ6" i="10"/>
  <c r="CI7" i="10"/>
  <c r="CJ7" i="10"/>
  <c r="CK7" i="10"/>
  <c r="CL7" i="10"/>
  <c r="CM7" i="10"/>
  <c r="CN7" i="10"/>
  <c r="CO7" i="10"/>
  <c r="CP7" i="10"/>
  <c r="CQ7" i="10"/>
  <c r="CR7" i="10"/>
  <c r="CS7" i="10"/>
  <c r="CT7" i="10"/>
  <c r="CU7" i="10"/>
  <c r="CV7" i="10"/>
  <c r="CW7" i="10"/>
  <c r="CX7" i="10"/>
  <c r="CY7" i="10"/>
  <c r="CZ7" i="10"/>
  <c r="CI8" i="10"/>
  <c r="CJ8" i="10"/>
  <c r="CK8" i="10"/>
  <c r="CL8" i="10"/>
  <c r="CM8" i="10"/>
  <c r="CN8" i="10"/>
  <c r="CO8" i="10"/>
  <c r="CP8" i="10"/>
  <c r="CQ8" i="10"/>
  <c r="CR8" i="10"/>
  <c r="CS8" i="10"/>
  <c r="CT8" i="10"/>
  <c r="CU8" i="10"/>
  <c r="CV8" i="10"/>
  <c r="CW8" i="10"/>
  <c r="CX8" i="10"/>
  <c r="CY8" i="10"/>
  <c r="CZ8" i="10"/>
  <c r="CI9" i="10"/>
  <c r="CJ9" i="10"/>
  <c r="CK9" i="10"/>
  <c r="CL9" i="10"/>
  <c r="CM9" i="10"/>
  <c r="CN9" i="10"/>
  <c r="CO9" i="10"/>
  <c r="CP9" i="10"/>
  <c r="CQ9" i="10"/>
  <c r="CR9" i="10"/>
  <c r="CS9" i="10"/>
  <c r="CT9" i="10"/>
  <c r="CU9" i="10"/>
  <c r="CV9" i="10"/>
  <c r="CW9" i="10"/>
  <c r="CX9" i="10"/>
  <c r="CY9" i="10"/>
  <c r="CZ9" i="10"/>
  <c r="CI10" i="10"/>
  <c r="CJ10" i="10"/>
  <c r="CK10" i="10"/>
  <c r="CL10" i="10"/>
  <c r="CM10" i="10"/>
  <c r="CN10" i="10"/>
  <c r="CO10" i="10"/>
  <c r="CP10" i="10"/>
  <c r="CQ10" i="10"/>
  <c r="CR10" i="10"/>
  <c r="CS10" i="10"/>
  <c r="CT10" i="10"/>
  <c r="CU10" i="10"/>
  <c r="CV10" i="10"/>
  <c r="CW10" i="10"/>
  <c r="CX10" i="10"/>
  <c r="CY10" i="10"/>
  <c r="CZ10" i="10"/>
  <c r="CI11" i="10"/>
  <c r="CJ11" i="10"/>
  <c r="CK11" i="10"/>
  <c r="CL11" i="10"/>
  <c r="CM11" i="10"/>
  <c r="CN11" i="10"/>
  <c r="CO11" i="10"/>
  <c r="CP11" i="10"/>
  <c r="CQ11" i="10"/>
  <c r="CR11" i="10"/>
  <c r="CS11" i="10"/>
  <c r="CT11" i="10"/>
  <c r="CU11" i="10"/>
  <c r="CV11" i="10"/>
  <c r="CW11" i="10"/>
  <c r="CX11" i="10"/>
  <c r="CY11" i="10"/>
  <c r="CZ11" i="10"/>
  <c r="CI12" i="10"/>
  <c r="CJ12" i="10"/>
  <c r="CK12" i="10"/>
  <c r="CL12" i="10"/>
  <c r="CM12" i="10"/>
  <c r="CN12" i="10"/>
  <c r="CO12" i="10"/>
  <c r="CP12" i="10"/>
  <c r="CQ12" i="10"/>
  <c r="CR12" i="10"/>
  <c r="CS12" i="10"/>
  <c r="CT12" i="10"/>
  <c r="CU12" i="10"/>
  <c r="CV12" i="10"/>
  <c r="CW12" i="10"/>
  <c r="CX12" i="10"/>
  <c r="CY12" i="10"/>
  <c r="CZ12" i="10"/>
  <c r="CI13" i="10"/>
  <c r="CJ13" i="10"/>
  <c r="CK13" i="10"/>
  <c r="CL13" i="10"/>
  <c r="CM13" i="10"/>
  <c r="CN13" i="10"/>
  <c r="CO13" i="10"/>
  <c r="CP13" i="10"/>
  <c r="CQ13" i="10"/>
  <c r="CR13" i="10"/>
  <c r="CS13" i="10"/>
  <c r="CT13" i="10"/>
  <c r="CU13" i="10"/>
  <c r="CV13" i="10"/>
  <c r="CW13" i="10"/>
  <c r="CX13" i="10"/>
  <c r="CY13" i="10"/>
  <c r="CZ13" i="10"/>
  <c r="CI14" i="10"/>
  <c r="CJ14" i="10"/>
  <c r="CK14" i="10"/>
  <c r="CL14" i="10"/>
  <c r="CM14" i="10"/>
  <c r="CN14" i="10"/>
  <c r="CO14" i="10"/>
  <c r="CP14" i="10"/>
  <c r="CQ14" i="10"/>
  <c r="CR14" i="10"/>
  <c r="CS14" i="10"/>
  <c r="CT14" i="10"/>
  <c r="CU14" i="10"/>
  <c r="CV14" i="10"/>
  <c r="CW14" i="10"/>
  <c r="CX14" i="10"/>
  <c r="CY14" i="10"/>
  <c r="CZ14" i="10"/>
  <c r="CI15" i="10"/>
  <c r="CJ15" i="10"/>
  <c r="CK15" i="10"/>
  <c r="CL15" i="10"/>
  <c r="CM15" i="10"/>
  <c r="CN15" i="10"/>
  <c r="CO15" i="10"/>
  <c r="CP15" i="10"/>
  <c r="CQ15" i="10"/>
  <c r="CR15" i="10"/>
  <c r="CS15" i="10"/>
  <c r="CT15" i="10"/>
  <c r="CU15" i="10"/>
  <c r="CV15" i="10"/>
  <c r="CW15" i="10"/>
  <c r="CX15" i="10"/>
  <c r="CY15" i="10"/>
  <c r="CZ15" i="10"/>
  <c r="CI16" i="10"/>
  <c r="CJ16" i="10"/>
  <c r="CK16" i="10"/>
  <c r="CL16" i="10"/>
  <c r="CM16" i="10"/>
  <c r="CN16" i="10"/>
  <c r="CO16" i="10"/>
  <c r="CP16" i="10"/>
  <c r="CQ16" i="10"/>
  <c r="CR16" i="10"/>
  <c r="CS16" i="10"/>
  <c r="CT16" i="10"/>
  <c r="CU16" i="10"/>
  <c r="CV16" i="10"/>
  <c r="CW16" i="10"/>
  <c r="CX16" i="10"/>
  <c r="CY16" i="10"/>
  <c r="CZ16" i="10"/>
  <c r="CI17" i="10"/>
  <c r="CJ17" i="10"/>
  <c r="CK17" i="10"/>
  <c r="CL17" i="10"/>
  <c r="CM17" i="10"/>
  <c r="CN17" i="10"/>
  <c r="CO17" i="10"/>
  <c r="CP17" i="10"/>
  <c r="CQ17" i="10"/>
  <c r="CR17" i="10"/>
  <c r="CS17" i="10"/>
  <c r="CT17" i="10"/>
  <c r="CU17" i="10"/>
  <c r="CV17" i="10"/>
  <c r="CW17" i="10"/>
  <c r="CX17" i="10"/>
  <c r="CY17" i="10"/>
  <c r="CZ17" i="10"/>
  <c r="CI18" i="10"/>
  <c r="CJ18" i="10"/>
  <c r="CK18" i="10"/>
  <c r="CL18" i="10"/>
  <c r="CM18" i="10"/>
  <c r="CN18" i="10"/>
  <c r="CO18" i="10"/>
  <c r="CP18" i="10"/>
  <c r="CQ18" i="10"/>
  <c r="CR18" i="10"/>
  <c r="CS18" i="10"/>
  <c r="CT18" i="10"/>
  <c r="CU18" i="10"/>
  <c r="CV18" i="10"/>
  <c r="CW18" i="10"/>
  <c r="CX18" i="10"/>
  <c r="CY18" i="10"/>
  <c r="CZ18" i="10"/>
  <c r="CI19" i="10"/>
  <c r="CJ19" i="10"/>
  <c r="CK19" i="10"/>
  <c r="CL19" i="10"/>
  <c r="CM19" i="10"/>
  <c r="CN19" i="10"/>
  <c r="CO19" i="10"/>
  <c r="CP19" i="10"/>
  <c r="CQ19" i="10"/>
  <c r="CR19" i="10"/>
  <c r="CS19" i="10"/>
  <c r="CT19" i="10"/>
  <c r="CU19" i="10"/>
  <c r="CV19" i="10"/>
  <c r="CW19" i="10"/>
  <c r="CX19" i="10"/>
  <c r="CY19" i="10"/>
  <c r="CZ19" i="10"/>
  <c r="CI20" i="10"/>
  <c r="CJ20" i="10"/>
  <c r="CK20" i="10"/>
  <c r="CL20" i="10"/>
  <c r="CM20" i="10"/>
  <c r="CN20" i="10"/>
  <c r="CO20" i="10"/>
  <c r="CP20" i="10"/>
  <c r="CQ20" i="10"/>
  <c r="CR20" i="10"/>
  <c r="CS20" i="10"/>
  <c r="CT20" i="10"/>
  <c r="CU20" i="10"/>
  <c r="CV20" i="10"/>
  <c r="CW20" i="10"/>
  <c r="CX20" i="10"/>
  <c r="CY20" i="10"/>
  <c r="CZ20" i="10"/>
  <c r="CI21" i="10"/>
  <c r="CJ21" i="10"/>
  <c r="CK21" i="10"/>
  <c r="CL21" i="10"/>
  <c r="CM21" i="10"/>
  <c r="CN21" i="10"/>
  <c r="CO21" i="10"/>
  <c r="CP21" i="10"/>
  <c r="CQ21" i="10"/>
  <c r="CR21" i="10"/>
  <c r="CS21" i="10"/>
  <c r="CT21" i="10"/>
  <c r="CU21" i="10"/>
  <c r="CV21" i="10"/>
  <c r="CW21" i="10"/>
  <c r="CX21" i="10"/>
  <c r="CY21" i="10"/>
  <c r="CZ21" i="10"/>
  <c r="CI22" i="10"/>
  <c r="CJ22" i="10"/>
  <c r="CK22" i="10"/>
  <c r="CL22" i="10"/>
  <c r="CM22" i="10"/>
  <c r="CN22" i="10"/>
  <c r="CO22" i="10"/>
  <c r="CP22" i="10"/>
  <c r="CQ22" i="10"/>
  <c r="CR22" i="10"/>
  <c r="CS22" i="10"/>
  <c r="CT22" i="10"/>
  <c r="CU22" i="10"/>
  <c r="CV22" i="10"/>
  <c r="CW22" i="10"/>
  <c r="CX22" i="10"/>
  <c r="CY22" i="10"/>
  <c r="CZ22" i="10"/>
  <c r="CI23" i="10"/>
  <c r="CJ23" i="10"/>
  <c r="CK23" i="10"/>
  <c r="CL23" i="10"/>
  <c r="CM23" i="10"/>
  <c r="CN23" i="10"/>
  <c r="CO23" i="10"/>
  <c r="CP23" i="10"/>
  <c r="CQ23" i="10"/>
  <c r="CR23" i="10"/>
  <c r="CS23" i="10"/>
  <c r="CT23" i="10"/>
  <c r="CU23" i="10"/>
  <c r="CV23" i="10"/>
  <c r="CW23" i="10"/>
  <c r="CX23" i="10"/>
  <c r="CY23" i="10"/>
  <c r="CZ23" i="10"/>
  <c r="CI24" i="10"/>
  <c r="CJ24" i="10"/>
  <c r="CK24" i="10"/>
  <c r="CL24" i="10"/>
  <c r="CM24" i="10"/>
  <c r="CN24" i="10"/>
  <c r="CO24" i="10"/>
  <c r="CP24" i="10"/>
  <c r="CQ24" i="10"/>
  <c r="CR24" i="10"/>
  <c r="CS24" i="10"/>
  <c r="CT24" i="10"/>
  <c r="CU24" i="10"/>
  <c r="CV24" i="10"/>
  <c r="CW24" i="10"/>
  <c r="CX24" i="10"/>
  <c r="CY24" i="10"/>
  <c r="CZ24" i="10"/>
  <c r="CI25" i="10"/>
  <c r="CJ25" i="10"/>
  <c r="CK25" i="10"/>
  <c r="CL25" i="10"/>
  <c r="CM25" i="10"/>
  <c r="CN25" i="10"/>
  <c r="CO25" i="10"/>
  <c r="CP25" i="10"/>
  <c r="CQ25" i="10"/>
  <c r="CR25" i="10"/>
  <c r="CS25" i="10"/>
  <c r="CT25" i="10"/>
  <c r="CU25" i="10"/>
  <c r="CV25" i="10"/>
  <c r="CW25" i="10"/>
  <c r="CX25" i="10"/>
  <c r="CY25" i="10"/>
  <c r="CZ25" i="10"/>
  <c r="CI26" i="10"/>
  <c r="CJ26" i="10"/>
  <c r="CK26" i="10"/>
  <c r="CL26" i="10"/>
  <c r="CM26" i="10"/>
  <c r="CN26" i="10"/>
  <c r="CO26" i="10"/>
  <c r="CP26" i="10"/>
  <c r="CQ26" i="10"/>
  <c r="CR26" i="10"/>
  <c r="CS26" i="10"/>
  <c r="CT26" i="10"/>
  <c r="CU26" i="10"/>
  <c r="CV26" i="10"/>
  <c r="CW26" i="10"/>
  <c r="CX26" i="10"/>
  <c r="CY26" i="10"/>
  <c r="CZ26" i="10"/>
  <c r="CI27" i="10"/>
  <c r="CJ27" i="10"/>
  <c r="CK27" i="10"/>
  <c r="CL27" i="10"/>
  <c r="CM27" i="10"/>
  <c r="CN27" i="10"/>
  <c r="CO27" i="10"/>
  <c r="CP27" i="10"/>
  <c r="CQ27" i="10"/>
  <c r="CR27" i="10"/>
  <c r="CS27" i="10"/>
  <c r="CT27" i="10"/>
  <c r="CU27" i="10"/>
  <c r="CV27" i="10"/>
  <c r="CW27" i="10"/>
  <c r="CX27" i="10"/>
  <c r="CY27" i="10"/>
  <c r="CZ27" i="10"/>
  <c r="CI28" i="10"/>
  <c r="CJ28" i="10"/>
  <c r="CK28" i="10"/>
  <c r="CL28" i="10"/>
  <c r="CM28" i="10"/>
  <c r="CN28" i="10"/>
  <c r="CO28" i="10"/>
  <c r="CP28" i="10"/>
  <c r="CQ28" i="10"/>
  <c r="CR28" i="10"/>
  <c r="CS28" i="10"/>
  <c r="CT28" i="10"/>
  <c r="CU28" i="10"/>
  <c r="CV28" i="10"/>
  <c r="CW28" i="10"/>
  <c r="CX28" i="10"/>
  <c r="CY28" i="10"/>
  <c r="CZ28" i="10"/>
  <c r="CI29" i="10"/>
  <c r="CJ29" i="10"/>
  <c r="CK29" i="10"/>
  <c r="CL29" i="10"/>
  <c r="CM29" i="10"/>
  <c r="CN29" i="10"/>
  <c r="CO29" i="10"/>
  <c r="CP29" i="10"/>
  <c r="CQ29" i="10"/>
  <c r="CR29" i="10"/>
  <c r="CS29" i="10"/>
  <c r="CT29" i="10"/>
  <c r="CU29" i="10"/>
  <c r="CV29" i="10"/>
  <c r="CW29" i="10"/>
  <c r="CX29" i="10"/>
  <c r="CY29" i="10"/>
  <c r="CZ29" i="10"/>
  <c r="CI30" i="10"/>
  <c r="CJ30" i="10"/>
  <c r="CK30" i="10"/>
  <c r="CL30" i="10"/>
  <c r="CM30" i="10"/>
  <c r="CN30" i="10"/>
  <c r="CO30" i="10"/>
  <c r="CP30" i="10"/>
  <c r="CQ30" i="10"/>
  <c r="CR30" i="10"/>
  <c r="CS30" i="10"/>
  <c r="CT30" i="10"/>
  <c r="CU30" i="10"/>
  <c r="CV30" i="10"/>
  <c r="CW30" i="10"/>
  <c r="CX30" i="10"/>
  <c r="CY30" i="10"/>
  <c r="CZ30" i="10"/>
  <c r="CI31" i="10"/>
  <c r="CJ31" i="10"/>
  <c r="CK31" i="10"/>
  <c r="CL31" i="10"/>
  <c r="CM31" i="10"/>
  <c r="CN31" i="10"/>
  <c r="CO31" i="10"/>
  <c r="CP31" i="10"/>
  <c r="CQ31" i="10"/>
  <c r="CR31" i="10"/>
  <c r="CS31" i="10"/>
  <c r="CT31" i="10"/>
  <c r="CU31" i="10"/>
  <c r="CV31" i="10"/>
  <c r="CW31" i="10"/>
  <c r="CX31" i="10"/>
  <c r="CY31" i="10"/>
  <c r="CZ31" i="10"/>
  <c r="CI32" i="10"/>
  <c r="CJ32" i="10"/>
  <c r="CK32" i="10"/>
  <c r="CL32" i="10"/>
  <c r="CM32" i="10"/>
  <c r="CN32" i="10"/>
  <c r="CO32" i="10"/>
  <c r="CP32" i="10"/>
  <c r="CQ32" i="10"/>
  <c r="CR32" i="10"/>
  <c r="CS32" i="10"/>
  <c r="CT32" i="10"/>
  <c r="CU32" i="10"/>
  <c r="CV32" i="10"/>
  <c r="CW32" i="10"/>
  <c r="CX32" i="10"/>
  <c r="CY32" i="10"/>
  <c r="CZ32" i="10"/>
  <c r="CI33" i="10"/>
  <c r="CJ33" i="10"/>
  <c r="CK33" i="10"/>
  <c r="CL33" i="10"/>
  <c r="CM33" i="10"/>
  <c r="CN33" i="10"/>
  <c r="CO33" i="10"/>
  <c r="CP33" i="10"/>
  <c r="CQ33" i="10"/>
  <c r="CR33" i="10"/>
  <c r="CS33" i="10"/>
  <c r="CT33" i="10"/>
  <c r="CU33" i="10"/>
  <c r="CV33" i="10"/>
  <c r="CW33" i="10"/>
  <c r="CX33" i="10"/>
  <c r="CY33" i="10"/>
  <c r="CZ33" i="10"/>
  <c r="CI34" i="10"/>
  <c r="CJ34" i="10"/>
  <c r="CK34" i="10"/>
  <c r="CL34" i="10"/>
  <c r="CM34" i="10"/>
  <c r="CN34" i="10"/>
  <c r="CO34" i="10"/>
  <c r="CP34" i="10"/>
  <c r="CQ34" i="10"/>
  <c r="CR34" i="10"/>
  <c r="CS34" i="10"/>
  <c r="CT34" i="10"/>
  <c r="CU34" i="10"/>
  <c r="CV34" i="10"/>
  <c r="CW34" i="10"/>
  <c r="CX34" i="10"/>
  <c r="CY34" i="10"/>
  <c r="CZ34" i="10"/>
  <c r="CI35" i="10"/>
  <c r="CJ35" i="10"/>
  <c r="CK35" i="10"/>
  <c r="CL35" i="10"/>
  <c r="CM35" i="10"/>
  <c r="CN35" i="10"/>
  <c r="CO35" i="10"/>
  <c r="CP35" i="10"/>
  <c r="CQ35" i="10"/>
  <c r="CR35" i="10"/>
  <c r="CS35" i="10"/>
  <c r="CT35" i="10"/>
  <c r="CU35" i="10"/>
  <c r="CV35" i="10"/>
  <c r="CW35" i="10"/>
  <c r="CX35" i="10"/>
  <c r="CY35" i="10"/>
  <c r="CZ35" i="10"/>
  <c r="CI36" i="10"/>
  <c r="CJ36" i="10"/>
  <c r="CK36" i="10"/>
  <c r="CL36" i="10"/>
  <c r="CM36" i="10"/>
  <c r="CN36" i="10"/>
  <c r="CO36" i="10"/>
  <c r="CP36" i="10"/>
  <c r="CQ36" i="10"/>
  <c r="CR36" i="10"/>
  <c r="CS36" i="10"/>
  <c r="CT36" i="10"/>
  <c r="CU36" i="10"/>
  <c r="CV36" i="10"/>
  <c r="CW36" i="10"/>
  <c r="CX36" i="10"/>
  <c r="CY36" i="10"/>
  <c r="CZ36" i="10"/>
  <c r="CI37" i="10"/>
  <c r="CJ37" i="10"/>
  <c r="CK37" i="10"/>
  <c r="CL37" i="10"/>
  <c r="CM37" i="10"/>
  <c r="CN37" i="10"/>
  <c r="CO37" i="10"/>
  <c r="CP37" i="10"/>
  <c r="CQ37" i="10"/>
  <c r="CR37" i="10"/>
  <c r="CS37" i="10"/>
  <c r="CT37" i="10"/>
  <c r="CU37" i="10"/>
  <c r="CV37" i="10"/>
  <c r="CW37" i="10"/>
  <c r="CX37" i="10"/>
  <c r="CY37" i="10"/>
  <c r="CZ37" i="10"/>
  <c r="CI38" i="10"/>
  <c r="CJ38" i="10"/>
  <c r="CK38" i="10"/>
  <c r="CL38" i="10"/>
  <c r="CM38" i="10"/>
  <c r="CN38" i="10"/>
  <c r="CO38" i="10"/>
  <c r="CP38" i="10"/>
  <c r="CQ38" i="10"/>
  <c r="CR38" i="10"/>
  <c r="CS38" i="10"/>
  <c r="CT38" i="10"/>
  <c r="CU38" i="10"/>
  <c r="CV38" i="10"/>
  <c r="CW38" i="10"/>
  <c r="CX38" i="10"/>
  <c r="CY38" i="10"/>
  <c r="CZ38" i="10"/>
  <c r="CI39" i="10"/>
  <c r="CJ39" i="10"/>
  <c r="CK39" i="10"/>
  <c r="CL39" i="10"/>
  <c r="CM39" i="10"/>
  <c r="CN39" i="10"/>
  <c r="CO39" i="10"/>
  <c r="CP39" i="10"/>
  <c r="CQ39" i="10"/>
  <c r="CR39" i="10"/>
  <c r="CS39" i="10"/>
  <c r="CT39" i="10"/>
  <c r="CU39" i="10"/>
  <c r="CV39" i="10"/>
  <c r="CW39" i="10"/>
  <c r="CX39" i="10"/>
  <c r="CY39" i="10"/>
  <c r="CZ39" i="10"/>
  <c r="CI40" i="10"/>
  <c r="CJ40" i="10"/>
  <c r="CK40" i="10"/>
  <c r="CL40" i="10"/>
  <c r="CM40" i="10"/>
  <c r="CN40" i="10"/>
  <c r="CO40" i="10"/>
  <c r="CP40" i="10"/>
  <c r="CQ40" i="10"/>
  <c r="CR40" i="10"/>
  <c r="CS40" i="10"/>
  <c r="CT40" i="10"/>
  <c r="CU40" i="10"/>
  <c r="CV40" i="10"/>
  <c r="CW40" i="10"/>
  <c r="CX40" i="10"/>
  <c r="CY40" i="10"/>
  <c r="CZ40" i="10"/>
  <c r="CI41" i="10"/>
  <c r="CJ41" i="10"/>
  <c r="CK41" i="10"/>
  <c r="CL41" i="10"/>
  <c r="CM41" i="10"/>
  <c r="CN41" i="10"/>
  <c r="CO41" i="10"/>
  <c r="CP41" i="10"/>
  <c r="CQ41" i="10"/>
  <c r="CR41" i="10"/>
  <c r="CS41" i="10"/>
  <c r="CT41" i="10"/>
  <c r="CU41" i="10"/>
  <c r="CV41" i="10"/>
  <c r="CW41" i="10"/>
  <c r="CX41" i="10"/>
  <c r="CY41" i="10"/>
  <c r="CZ41" i="10"/>
  <c r="CI42" i="10"/>
  <c r="CJ42" i="10"/>
  <c r="CK42" i="10"/>
  <c r="CL42" i="10"/>
  <c r="CM42" i="10"/>
  <c r="CN42" i="10"/>
  <c r="CO42" i="10"/>
  <c r="CP42" i="10"/>
  <c r="CQ42" i="10"/>
  <c r="CR42" i="10"/>
  <c r="CS42" i="10"/>
  <c r="CT42" i="10"/>
  <c r="CU42" i="10"/>
  <c r="CV42" i="10"/>
  <c r="CW42" i="10"/>
  <c r="CX42" i="10"/>
  <c r="CY42" i="10"/>
  <c r="CZ42" i="10"/>
  <c r="CI43" i="10"/>
  <c r="CJ43" i="10"/>
  <c r="CK43" i="10"/>
  <c r="CL43" i="10"/>
  <c r="CM43" i="10"/>
  <c r="CN43" i="10"/>
  <c r="CO43" i="10"/>
  <c r="CP43" i="10"/>
  <c r="CQ43" i="10"/>
  <c r="CR43" i="10"/>
  <c r="CS43" i="10"/>
  <c r="CT43" i="10"/>
  <c r="CU43" i="10"/>
  <c r="CV43" i="10"/>
  <c r="CW43" i="10"/>
  <c r="CX43" i="10"/>
  <c r="CY43" i="10"/>
  <c r="CZ43" i="10"/>
  <c r="CI44" i="10"/>
  <c r="CJ44" i="10"/>
  <c r="CK44" i="10"/>
  <c r="CL44" i="10"/>
  <c r="CM44" i="10"/>
  <c r="CN44" i="10"/>
  <c r="CO44" i="10"/>
  <c r="CP44" i="10"/>
  <c r="CQ44" i="10"/>
  <c r="CR44" i="10"/>
  <c r="CS44" i="10"/>
  <c r="CT44" i="10"/>
  <c r="CU44" i="10"/>
  <c r="CV44" i="10"/>
  <c r="CW44" i="10"/>
  <c r="CX44" i="10"/>
  <c r="CY44" i="10"/>
  <c r="CZ44" i="10"/>
  <c r="CI45" i="10"/>
  <c r="CJ45" i="10"/>
  <c r="CK45" i="10"/>
  <c r="CL45" i="10"/>
  <c r="CM45" i="10"/>
  <c r="CN45" i="10"/>
  <c r="CO45" i="10"/>
  <c r="CP45" i="10"/>
  <c r="CQ45" i="10"/>
  <c r="CR45" i="10"/>
  <c r="CS45" i="10"/>
  <c r="CT45" i="10"/>
  <c r="CU45" i="10"/>
  <c r="CV45" i="10"/>
  <c r="CW45" i="10"/>
  <c r="CX45" i="10"/>
  <c r="CY45" i="10"/>
  <c r="CZ45" i="10"/>
  <c r="CH3" i="10"/>
  <c r="CH4" i="10"/>
  <c r="CH5" i="10"/>
  <c r="CH6" i="10"/>
  <c r="CH7" i="10"/>
  <c r="CH8" i="10"/>
  <c r="CH9" i="10"/>
  <c r="CH10" i="10"/>
  <c r="CH11" i="10"/>
  <c r="CH12" i="10"/>
  <c r="CH13" i="10"/>
  <c r="CH14" i="10"/>
  <c r="CH15" i="10"/>
  <c r="CH16" i="10"/>
  <c r="CH17" i="10"/>
  <c r="CH18" i="10"/>
  <c r="CH19" i="10"/>
  <c r="CH20" i="10"/>
  <c r="CH21" i="10"/>
  <c r="CH22" i="10"/>
  <c r="CH23" i="10"/>
  <c r="CH24" i="10"/>
  <c r="CH25" i="10"/>
  <c r="CH26" i="10"/>
  <c r="CH27" i="10"/>
  <c r="CH28" i="10"/>
  <c r="CH29" i="10"/>
  <c r="CH30" i="10"/>
  <c r="CH31" i="10"/>
  <c r="CH32" i="10"/>
  <c r="CH33" i="10"/>
  <c r="CH34" i="10"/>
  <c r="CH35" i="10"/>
  <c r="CH36" i="10"/>
  <c r="CH37" i="10"/>
  <c r="CH38" i="10"/>
  <c r="CH39" i="10"/>
  <c r="CH40" i="10"/>
  <c r="CH41" i="10"/>
  <c r="CH42" i="10"/>
  <c r="CH43" i="10"/>
  <c r="CH44" i="10"/>
  <c r="CH45" i="10"/>
  <c r="CH2" i="10"/>
  <c r="BN2" i="10"/>
  <c r="BO2" i="10"/>
  <c r="BP2" i="10"/>
  <c r="BQ2" i="10"/>
  <c r="BR2" i="10"/>
  <c r="BS2" i="10"/>
  <c r="BT2" i="10"/>
  <c r="BU2" i="10"/>
  <c r="BV2" i="10"/>
  <c r="BW2" i="10"/>
  <c r="BX2" i="10"/>
  <c r="BY2" i="10"/>
  <c r="BZ2" i="10"/>
  <c r="CA2" i="10"/>
  <c r="CB2" i="10"/>
  <c r="CC2" i="10"/>
  <c r="CD2" i="10"/>
  <c r="CE2" i="10"/>
  <c r="BN3" i="10"/>
  <c r="BO3" i="10"/>
  <c r="BP3" i="10"/>
  <c r="BQ3" i="10"/>
  <c r="BR3" i="10"/>
  <c r="BS3" i="10"/>
  <c r="BT3" i="10"/>
  <c r="BU3" i="10"/>
  <c r="BV3" i="10"/>
  <c r="BW3" i="10"/>
  <c r="BX3" i="10"/>
  <c r="BY3" i="10"/>
  <c r="BZ3" i="10"/>
  <c r="CA3" i="10"/>
  <c r="CB3" i="10"/>
  <c r="CC3" i="10"/>
  <c r="CD3" i="10"/>
  <c r="CE3" i="10"/>
  <c r="BN4" i="10"/>
  <c r="BO4" i="10"/>
  <c r="BP4" i="10"/>
  <c r="BQ4" i="10"/>
  <c r="BR4" i="10"/>
  <c r="BS4" i="10"/>
  <c r="BT4" i="10"/>
  <c r="BU4" i="10"/>
  <c r="BV4" i="10"/>
  <c r="BW4" i="10"/>
  <c r="BX4" i="10"/>
  <c r="BY4" i="10"/>
  <c r="BZ4" i="10"/>
  <c r="CA4" i="10"/>
  <c r="CB4" i="10"/>
  <c r="CC4" i="10"/>
  <c r="CD4" i="10"/>
  <c r="CE4" i="10"/>
  <c r="BN5" i="10"/>
  <c r="BO5" i="10"/>
  <c r="BP5" i="10"/>
  <c r="BQ5" i="10"/>
  <c r="BR5" i="10"/>
  <c r="BS5" i="10"/>
  <c r="BT5" i="10"/>
  <c r="BU5" i="10"/>
  <c r="BV5" i="10"/>
  <c r="BW5" i="10"/>
  <c r="BX5" i="10"/>
  <c r="BY5" i="10"/>
  <c r="BZ5" i="10"/>
  <c r="CA5" i="10"/>
  <c r="CB5" i="10"/>
  <c r="CC5" i="10"/>
  <c r="CD5" i="10"/>
  <c r="CE5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CA6" i="10"/>
  <c r="CB6" i="10"/>
  <c r="CC6" i="10"/>
  <c r="CD6" i="10"/>
  <c r="CE6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CA7" i="10"/>
  <c r="CB7" i="10"/>
  <c r="CC7" i="10"/>
  <c r="CD7" i="10"/>
  <c r="CE7" i="10"/>
  <c r="BN8" i="10"/>
  <c r="BO8" i="10"/>
  <c r="BP8" i="10"/>
  <c r="BQ8" i="10"/>
  <c r="BR8" i="10"/>
  <c r="BS8" i="10"/>
  <c r="BT8" i="10"/>
  <c r="BU8" i="10"/>
  <c r="BV8" i="10"/>
  <c r="BW8" i="10"/>
  <c r="BX8" i="10"/>
  <c r="BY8" i="10"/>
  <c r="BZ8" i="10"/>
  <c r="CA8" i="10"/>
  <c r="CB8" i="10"/>
  <c r="CC8" i="10"/>
  <c r="CD8" i="10"/>
  <c r="CE8" i="10"/>
  <c r="BN9" i="10"/>
  <c r="BO9" i="10"/>
  <c r="BP9" i="10"/>
  <c r="BQ9" i="10"/>
  <c r="BR9" i="10"/>
  <c r="BS9" i="10"/>
  <c r="BT9" i="10"/>
  <c r="BU9" i="10"/>
  <c r="BV9" i="10"/>
  <c r="BW9" i="10"/>
  <c r="BX9" i="10"/>
  <c r="BY9" i="10"/>
  <c r="BZ9" i="10"/>
  <c r="CA9" i="10"/>
  <c r="CB9" i="10"/>
  <c r="CC9" i="10"/>
  <c r="CD9" i="10"/>
  <c r="CE9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CA10" i="10"/>
  <c r="CB10" i="10"/>
  <c r="CC10" i="10"/>
  <c r="CD10" i="10"/>
  <c r="CE10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BN12" i="10"/>
  <c r="BO12" i="10"/>
  <c r="BP12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BN17" i="10"/>
  <c r="BO17" i="10"/>
  <c r="BP17" i="10"/>
  <c r="BQ17" i="10"/>
  <c r="BR17" i="10"/>
  <c r="BS17" i="10"/>
  <c r="BT17" i="10"/>
  <c r="BU17" i="10"/>
  <c r="BV17" i="10"/>
  <c r="BW17" i="10"/>
  <c r="BX17" i="10"/>
  <c r="BY17" i="10"/>
  <c r="BZ17" i="10"/>
  <c r="CA17" i="10"/>
  <c r="CB17" i="10"/>
  <c r="CC17" i="10"/>
  <c r="CD17" i="10"/>
  <c r="CE17" i="10"/>
  <c r="BN18" i="10"/>
  <c r="BO18" i="10"/>
  <c r="BP18" i="10"/>
  <c r="BQ18" i="10"/>
  <c r="BR18" i="10"/>
  <c r="BS18" i="10"/>
  <c r="BT18" i="10"/>
  <c r="BU18" i="10"/>
  <c r="BV18" i="10"/>
  <c r="BW18" i="10"/>
  <c r="BX18" i="10"/>
  <c r="BY18" i="10"/>
  <c r="BZ18" i="10"/>
  <c r="CA18" i="10"/>
  <c r="CB18" i="10"/>
  <c r="CC18" i="10"/>
  <c r="CD18" i="10"/>
  <c r="CE18" i="10"/>
  <c r="BN19" i="10"/>
  <c r="BO19" i="10"/>
  <c r="BP19" i="10"/>
  <c r="BQ19" i="10"/>
  <c r="BR19" i="10"/>
  <c r="BS19" i="10"/>
  <c r="BT19" i="10"/>
  <c r="BU19" i="10"/>
  <c r="BV19" i="10"/>
  <c r="BW19" i="10"/>
  <c r="BX19" i="10"/>
  <c r="BY19" i="10"/>
  <c r="BZ19" i="10"/>
  <c r="CA19" i="10"/>
  <c r="CB19" i="10"/>
  <c r="CC19" i="10"/>
  <c r="CD19" i="10"/>
  <c r="CE19" i="10"/>
  <c r="BN20" i="10"/>
  <c r="BO20" i="10"/>
  <c r="BP20" i="10"/>
  <c r="BQ20" i="10"/>
  <c r="BR20" i="10"/>
  <c r="BS20" i="10"/>
  <c r="BT20" i="10"/>
  <c r="BU20" i="10"/>
  <c r="BV20" i="10"/>
  <c r="BW20" i="10"/>
  <c r="BX20" i="10"/>
  <c r="BY20" i="10"/>
  <c r="BZ20" i="10"/>
  <c r="CA20" i="10"/>
  <c r="CB20" i="10"/>
  <c r="CC20" i="10"/>
  <c r="CD20" i="10"/>
  <c r="CE20" i="10"/>
  <c r="BN21" i="10"/>
  <c r="BO21" i="10"/>
  <c r="BP21" i="10"/>
  <c r="BQ21" i="10"/>
  <c r="BR21" i="10"/>
  <c r="BS21" i="10"/>
  <c r="BT21" i="10"/>
  <c r="BU21" i="10"/>
  <c r="BV21" i="10"/>
  <c r="BW21" i="10"/>
  <c r="BX21" i="10"/>
  <c r="BY21" i="10"/>
  <c r="BZ21" i="10"/>
  <c r="CA21" i="10"/>
  <c r="CB21" i="10"/>
  <c r="CC21" i="10"/>
  <c r="CD21" i="10"/>
  <c r="CE21" i="10"/>
  <c r="BN22" i="10"/>
  <c r="BO22" i="10"/>
  <c r="BP22" i="10"/>
  <c r="BQ22" i="10"/>
  <c r="BR22" i="10"/>
  <c r="BS22" i="10"/>
  <c r="BT22" i="10"/>
  <c r="BU22" i="10"/>
  <c r="BV22" i="10"/>
  <c r="BW22" i="10"/>
  <c r="BX22" i="10"/>
  <c r="BY22" i="10"/>
  <c r="BZ22" i="10"/>
  <c r="CA22" i="10"/>
  <c r="CB22" i="10"/>
  <c r="CC22" i="10"/>
  <c r="CD22" i="10"/>
  <c r="CE22" i="10"/>
  <c r="BN23" i="10"/>
  <c r="BO23" i="10"/>
  <c r="BP23" i="10"/>
  <c r="BQ23" i="10"/>
  <c r="BR23" i="10"/>
  <c r="BS23" i="10"/>
  <c r="BT23" i="10"/>
  <c r="BU23" i="10"/>
  <c r="BV23" i="10"/>
  <c r="BW23" i="10"/>
  <c r="BX23" i="10"/>
  <c r="BY23" i="10"/>
  <c r="BZ23" i="10"/>
  <c r="CA23" i="10"/>
  <c r="CB23" i="10"/>
  <c r="CC23" i="10"/>
  <c r="CD23" i="10"/>
  <c r="CE23" i="10"/>
  <c r="BN24" i="10"/>
  <c r="BO24" i="10"/>
  <c r="BP24" i="10"/>
  <c r="BQ24" i="10"/>
  <c r="BR24" i="10"/>
  <c r="BS24" i="10"/>
  <c r="BT24" i="10"/>
  <c r="BU24" i="10"/>
  <c r="BV24" i="10"/>
  <c r="BW24" i="10"/>
  <c r="BX24" i="10"/>
  <c r="BY24" i="10"/>
  <c r="BZ24" i="10"/>
  <c r="CA24" i="10"/>
  <c r="CB24" i="10"/>
  <c r="CC24" i="10"/>
  <c r="CD24" i="10"/>
  <c r="CE24" i="10"/>
  <c r="BN25" i="10"/>
  <c r="BO25" i="10"/>
  <c r="BP25" i="10"/>
  <c r="BQ25" i="10"/>
  <c r="BR25" i="10"/>
  <c r="BS25" i="10"/>
  <c r="BT25" i="10"/>
  <c r="BU25" i="10"/>
  <c r="BV25" i="10"/>
  <c r="BW25" i="10"/>
  <c r="BX25" i="10"/>
  <c r="BY25" i="10"/>
  <c r="BZ25" i="10"/>
  <c r="CA25" i="10"/>
  <c r="CB25" i="10"/>
  <c r="CC25" i="10"/>
  <c r="CD25" i="10"/>
  <c r="CE25" i="10"/>
  <c r="BN26" i="10"/>
  <c r="BO26" i="10"/>
  <c r="BP26" i="10"/>
  <c r="BQ26" i="10"/>
  <c r="BR26" i="10"/>
  <c r="BS26" i="10"/>
  <c r="BT26" i="10"/>
  <c r="BU26" i="10"/>
  <c r="BV26" i="10"/>
  <c r="BW26" i="10"/>
  <c r="BX26" i="10"/>
  <c r="BY26" i="10"/>
  <c r="BZ26" i="10"/>
  <c r="CA26" i="10"/>
  <c r="CB26" i="10"/>
  <c r="CC26" i="10"/>
  <c r="CD26" i="10"/>
  <c r="CE26" i="10"/>
  <c r="BN27" i="10"/>
  <c r="BO27" i="10"/>
  <c r="BP27" i="10"/>
  <c r="BQ27" i="10"/>
  <c r="BR27" i="10"/>
  <c r="BS27" i="10"/>
  <c r="BT27" i="10"/>
  <c r="BU27" i="10"/>
  <c r="BV27" i="10"/>
  <c r="BW27" i="10"/>
  <c r="BX27" i="10"/>
  <c r="BY27" i="10"/>
  <c r="BZ27" i="10"/>
  <c r="CA27" i="10"/>
  <c r="CB27" i="10"/>
  <c r="CC27" i="10"/>
  <c r="CD27" i="10"/>
  <c r="CE27" i="10"/>
  <c r="BN28" i="10"/>
  <c r="BO28" i="10"/>
  <c r="BP28" i="10"/>
  <c r="BQ28" i="10"/>
  <c r="BR28" i="10"/>
  <c r="BS28" i="10"/>
  <c r="BT28" i="10"/>
  <c r="BU28" i="10"/>
  <c r="BV28" i="10"/>
  <c r="BW28" i="10"/>
  <c r="BX28" i="10"/>
  <c r="BY28" i="10"/>
  <c r="BZ28" i="10"/>
  <c r="CA28" i="10"/>
  <c r="CB28" i="10"/>
  <c r="CC28" i="10"/>
  <c r="CD28" i="10"/>
  <c r="CE28" i="10"/>
  <c r="BN29" i="10"/>
  <c r="BO29" i="10"/>
  <c r="BP29" i="10"/>
  <c r="BQ29" i="10"/>
  <c r="BR29" i="10"/>
  <c r="BS29" i="10"/>
  <c r="BT29" i="10"/>
  <c r="BU29" i="10"/>
  <c r="BV29" i="10"/>
  <c r="BW29" i="10"/>
  <c r="BX29" i="10"/>
  <c r="BY29" i="10"/>
  <c r="BZ29" i="10"/>
  <c r="CA29" i="10"/>
  <c r="CB29" i="10"/>
  <c r="CC29" i="10"/>
  <c r="CD29" i="10"/>
  <c r="CE29" i="10"/>
  <c r="BN30" i="10"/>
  <c r="BO30" i="10"/>
  <c r="BP30" i="10"/>
  <c r="BQ30" i="10"/>
  <c r="BR30" i="10"/>
  <c r="BS30" i="10"/>
  <c r="BT30" i="10"/>
  <c r="BU30" i="10"/>
  <c r="BV30" i="10"/>
  <c r="BW30" i="10"/>
  <c r="BX30" i="10"/>
  <c r="BY30" i="10"/>
  <c r="BZ30" i="10"/>
  <c r="CA30" i="10"/>
  <c r="CB30" i="10"/>
  <c r="CC30" i="10"/>
  <c r="CD30" i="10"/>
  <c r="CE30" i="10"/>
  <c r="BN31" i="10"/>
  <c r="BO31" i="10"/>
  <c r="BP31" i="10"/>
  <c r="BQ31" i="10"/>
  <c r="BR31" i="10"/>
  <c r="BS31" i="10"/>
  <c r="BT31" i="10"/>
  <c r="BU31" i="10"/>
  <c r="BV31" i="10"/>
  <c r="BW31" i="10"/>
  <c r="BX31" i="10"/>
  <c r="BY31" i="10"/>
  <c r="BZ31" i="10"/>
  <c r="CA31" i="10"/>
  <c r="CB31" i="10"/>
  <c r="CC31" i="10"/>
  <c r="CD31" i="10"/>
  <c r="CE31" i="10"/>
  <c r="BN32" i="10"/>
  <c r="BO32" i="10"/>
  <c r="BP32" i="10"/>
  <c r="BQ32" i="10"/>
  <c r="BR32" i="10"/>
  <c r="BS32" i="10"/>
  <c r="BT32" i="10"/>
  <c r="BU32" i="10"/>
  <c r="BV32" i="10"/>
  <c r="BW32" i="10"/>
  <c r="BX32" i="10"/>
  <c r="BY32" i="10"/>
  <c r="BZ32" i="10"/>
  <c r="CA32" i="10"/>
  <c r="CB32" i="10"/>
  <c r="CC32" i="10"/>
  <c r="CD32" i="10"/>
  <c r="CE32" i="10"/>
  <c r="BN33" i="10"/>
  <c r="BO33" i="10"/>
  <c r="BP33" i="10"/>
  <c r="BQ33" i="10"/>
  <c r="BR33" i="10"/>
  <c r="BS33" i="10"/>
  <c r="BT33" i="10"/>
  <c r="BU33" i="10"/>
  <c r="BV33" i="10"/>
  <c r="BW33" i="10"/>
  <c r="BX33" i="10"/>
  <c r="BY33" i="10"/>
  <c r="BZ33" i="10"/>
  <c r="CA33" i="10"/>
  <c r="CB33" i="10"/>
  <c r="CC33" i="10"/>
  <c r="CD33" i="10"/>
  <c r="CE33" i="10"/>
  <c r="BN34" i="10"/>
  <c r="BO34" i="10"/>
  <c r="BP34" i="10"/>
  <c r="BQ34" i="10"/>
  <c r="BR34" i="10"/>
  <c r="BS34" i="10"/>
  <c r="BT34" i="10"/>
  <c r="BU34" i="10"/>
  <c r="BV34" i="10"/>
  <c r="BW34" i="10"/>
  <c r="BX34" i="10"/>
  <c r="BY34" i="10"/>
  <c r="BZ34" i="10"/>
  <c r="CA34" i="10"/>
  <c r="CB34" i="10"/>
  <c r="CC34" i="10"/>
  <c r="CD34" i="10"/>
  <c r="CE34" i="10"/>
  <c r="BN35" i="10"/>
  <c r="BO35" i="10"/>
  <c r="BP35" i="10"/>
  <c r="BQ35" i="10"/>
  <c r="BR35" i="10"/>
  <c r="BS35" i="10"/>
  <c r="BT35" i="10"/>
  <c r="BU35" i="10"/>
  <c r="BV35" i="10"/>
  <c r="BW35" i="10"/>
  <c r="BX35" i="10"/>
  <c r="BY35" i="10"/>
  <c r="BZ35" i="10"/>
  <c r="CA35" i="10"/>
  <c r="CB35" i="10"/>
  <c r="CC35" i="10"/>
  <c r="CD35" i="10"/>
  <c r="CE35" i="10"/>
  <c r="BN36" i="10"/>
  <c r="BO36" i="10"/>
  <c r="BP36" i="10"/>
  <c r="BQ36" i="10"/>
  <c r="BR36" i="10"/>
  <c r="BS36" i="10"/>
  <c r="BT36" i="10"/>
  <c r="BU36" i="10"/>
  <c r="BV36" i="10"/>
  <c r="BW36" i="10"/>
  <c r="BX36" i="10"/>
  <c r="BY36" i="10"/>
  <c r="BZ36" i="10"/>
  <c r="CA36" i="10"/>
  <c r="CB36" i="10"/>
  <c r="CC36" i="10"/>
  <c r="CD36" i="10"/>
  <c r="CE36" i="10"/>
  <c r="BN37" i="10"/>
  <c r="BO37" i="10"/>
  <c r="BP37" i="10"/>
  <c r="BQ37" i="10"/>
  <c r="BR37" i="10"/>
  <c r="BS37" i="10"/>
  <c r="BT37" i="10"/>
  <c r="BU37" i="10"/>
  <c r="BV37" i="10"/>
  <c r="BW37" i="10"/>
  <c r="BX37" i="10"/>
  <c r="BY37" i="10"/>
  <c r="BZ37" i="10"/>
  <c r="CA37" i="10"/>
  <c r="CB37" i="10"/>
  <c r="CC37" i="10"/>
  <c r="CD37" i="10"/>
  <c r="CE37" i="10"/>
  <c r="BN38" i="10"/>
  <c r="BO38" i="10"/>
  <c r="BP38" i="10"/>
  <c r="BQ38" i="10"/>
  <c r="BR38" i="10"/>
  <c r="BS38" i="10"/>
  <c r="BT38" i="10"/>
  <c r="BU38" i="10"/>
  <c r="BV38" i="10"/>
  <c r="BW38" i="10"/>
  <c r="BX38" i="10"/>
  <c r="BY38" i="10"/>
  <c r="BZ38" i="10"/>
  <c r="CA38" i="10"/>
  <c r="CB38" i="10"/>
  <c r="CC38" i="10"/>
  <c r="CD38" i="10"/>
  <c r="CE38" i="10"/>
  <c r="BN39" i="10"/>
  <c r="BO39" i="10"/>
  <c r="BP39" i="10"/>
  <c r="BQ39" i="10"/>
  <c r="BR39" i="10"/>
  <c r="BS39" i="10"/>
  <c r="BT39" i="10"/>
  <c r="BU39" i="10"/>
  <c r="BV39" i="10"/>
  <c r="BW39" i="10"/>
  <c r="BX39" i="10"/>
  <c r="BY39" i="10"/>
  <c r="BZ39" i="10"/>
  <c r="CA39" i="10"/>
  <c r="CB39" i="10"/>
  <c r="CC39" i="10"/>
  <c r="CD39" i="10"/>
  <c r="CE39" i="10"/>
  <c r="BN40" i="10"/>
  <c r="BO40" i="10"/>
  <c r="BP40" i="10"/>
  <c r="BQ40" i="10"/>
  <c r="BR40" i="10"/>
  <c r="BS40" i="10"/>
  <c r="BT40" i="10"/>
  <c r="BU40" i="10"/>
  <c r="BV40" i="10"/>
  <c r="BW40" i="10"/>
  <c r="BX40" i="10"/>
  <c r="BY40" i="10"/>
  <c r="BZ40" i="10"/>
  <c r="CA40" i="10"/>
  <c r="CB40" i="10"/>
  <c r="CC40" i="10"/>
  <c r="CD40" i="10"/>
  <c r="CE40" i="10"/>
  <c r="BN41" i="10"/>
  <c r="BO41" i="10"/>
  <c r="BP41" i="10"/>
  <c r="BQ41" i="10"/>
  <c r="BR41" i="10"/>
  <c r="BS41" i="10"/>
  <c r="BT41" i="10"/>
  <c r="BU41" i="10"/>
  <c r="BV41" i="10"/>
  <c r="BW41" i="10"/>
  <c r="BX41" i="10"/>
  <c r="BY41" i="10"/>
  <c r="BZ41" i="10"/>
  <c r="CA41" i="10"/>
  <c r="CB41" i="10"/>
  <c r="CC41" i="10"/>
  <c r="CD41" i="10"/>
  <c r="CE41" i="10"/>
  <c r="BN42" i="10"/>
  <c r="BO42" i="10"/>
  <c r="BP42" i="10"/>
  <c r="BQ42" i="10"/>
  <c r="BR42" i="10"/>
  <c r="BS42" i="10"/>
  <c r="BT42" i="10"/>
  <c r="BU42" i="10"/>
  <c r="BV42" i="10"/>
  <c r="BW42" i="10"/>
  <c r="BX42" i="10"/>
  <c r="BY42" i="10"/>
  <c r="BZ42" i="10"/>
  <c r="CA42" i="10"/>
  <c r="CB42" i="10"/>
  <c r="CC42" i="10"/>
  <c r="CD42" i="10"/>
  <c r="CE42" i="10"/>
  <c r="BN43" i="10"/>
  <c r="BO43" i="10"/>
  <c r="BP43" i="10"/>
  <c r="BQ43" i="10"/>
  <c r="BR43" i="10"/>
  <c r="BS43" i="10"/>
  <c r="BT43" i="10"/>
  <c r="BU43" i="10"/>
  <c r="BV43" i="10"/>
  <c r="BW43" i="10"/>
  <c r="BX43" i="10"/>
  <c r="BY43" i="10"/>
  <c r="BZ43" i="10"/>
  <c r="CA43" i="10"/>
  <c r="CB43" i="10"/>
  <c r="CC43" i="10"/>
  <c r="CD43" i="10"/>
  <c r="CE43" i="10"/>
  <c r="BN44" i="10"/>
  <c r="BO44" i="10"/>
  <c r="BP44" i="10"/>
  <c r="BQ44" i="10"/>
  <c r="BR44" i="10"/>
  <c r="BS44" i="10"/>
  <c r="BT44" i="10"/>
  <c r="BU44" i="10"/>
  <c r="BV44" i="10"/>
  <c r="BW44" i="10"/>
  <c r="BX44" i="10"/>
  <c r="BY44" i="10"/>
  <c r="BZ44" i="10"/>
  <c r="CA44" i="10"/>
  <c r="CB44" i="10"/>
  <c r="CC44" i="10"/>
  <c r="CD44" i="10"/>
  <c r="CE44" i="10"/>
  <c r="BN45" i="10"/>
  <c r="BO45" i="10"/>
  <c r="BP45" i="10"/>
  <c r="BQ45" i="10"/>
  <c r="BR45" i="10"/>
  <c r="BS45" i="10"/>
  <c r="BT45" i="10"/>
  <c r="BU45" i="10"/>
  <c r="BV45" i="10"/>
  <c r="BW45" i="10"/>
  <c r="BX45" i="10"/>
  <c r="BY45" i="10"/>
  <c r="BZ45" i="10"/>
  <c r="CA45" i="10"/>
  <c r="CB45" i="10"/>
  <c r="CC45" i="10"/>
  <c r="CD45" i="10"/>
  <c r="CE45" i="10"/>
  <c r="BM3" i="10"/>
  <c r="BM4" i="10"/>
  <c r="BM5" i="10"/>
  <c r="BM6" i="10"/>
  <c r="BM7" i="10"/>
  <c r="BM8" i="10"/>
  <c r="BM9" i="10"/>
  <c r="BM10" i="10"/>
  <c r="BM11" i="10"/>
  <c r="BM12" i="10"/>
  <c r="BM13" i="10"/>
  <c r="BM14" i="10"/>
  <c r="BM15" i="10"/>
  <c r="BM16" i="10"/>
  <c r="BM17" i="10"/>
  <c r="BM18" i="10"/>
  <c r="BM19" i="10"/>
  <c r="BM20" i="10"/>
  <c r="BM21" i="10"/>
  <c r="BM22" i="10"/>
  <c r="BM23" i="10"/>
  <c r="BM24" i="10"/>
  <c r="BM25" i="10"/>
  <c r="BM26" i="10"/>
  <c r="BM27" i="10"/>
  <c r="BM28" i="10"/>
  <c r="BM29" i="10"/>
  <c r="BM30" i="10"/>
  <c r="BM31" i="10"/>
  <c r="BM32" i="10"/>
  <c r="BM33" i="10"/>
  <c r="BM34" i="10"/>
  <c r="BM35" i="10"/>
  <c r="BM36" i="10"/>
  <c r="BM37" i="10"/>
  <c r="BM38" i="10"/>
  <c r="BM39" i="10"/>
  <c r="BM40" i="10"/>
  <c r="BM41" i="10"/>
  <c r="BM42" i="10"/>
  <c r="BM43" i="10"/>
  <c r="BM44" i="10"/>
  <c r="BM45" i="10"/>
  <c r="BM2" i="10"/>
  <c r="AS2" i="10"/>
  <c r="AT2" i="10"/>
  <c r="AU2" i="10"/>
  <c r="AV2" i="10"/>
  <c r="AW2" i="10"/>
  <c r="AX2" i="10"/>
  <c r="AY2" i="10"/>
  <c r="AZ2" i="10"/>
  <c r="BA2" i="10"/>
  <c r="BB2" i="10"/>
  <c r="BC2" i="10"/>
  <c r="BD2" i="10"/>
  <c r="BE2" i="10"/>
  <c r="BF2" i="10"/>
  <c r="BG2" i="10"/>
  <c r="BH2" i="10"/>
  <c r="BI2" i="10"/>
  <c r="BJ2" i="10"/>
  <c r="AS3" i="10"/>
  <c r="AT3" i="10"/>
  <c r="AU3" i="10"/>
  <c r="AV3" i="10"/>
  <c r="AW3" i="10"/>
  <c r="AX3" i="10"/>
  <c r="AY3" i="10"/>
  <c r="AZ3" i="10"/>
  <c r="BA3" i="10"/>
  <c r="BB3" i="10"/>
  <c r="BC3" i="10"/>
  <c r="BD3" i="10"/>
  <c r="BE3" i="10"/>
  <c r="BF3" i="10"/>
  <c r="BG3" i="10"/>
  <c r="BH3" i="10"/>
  <c r="BI3" i="10"/>
  <c r="BJ3" i="10"/>
  <c r="AS4" i="10"/>
  <c r="AT4" i="10"/>
  <c r="AU4" i="10"/>
  <c r="AV4" i="10"/>
  <c r="AW4" i="10"/>
  <c r="AX4" i="10"/>
  <c r="AY4" i="10"/>
  <c r="AZ4" i="10"/>
  <c r="BA4" i="10"/>
  <c r="BB4" i="10"/>
  <c r="BC4" i="10"/>
  <c r="BD4" i="10"/>
  <c r="BE4" i="10"/>
  <c r="BF4" i="10"/>
  <c r="BG4" i="10"/>
  <c r="BH4" i="10"/>
  <c r="BI4" i="10"/>
  <c r="BJ4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H6" i="10"/>
  <c r="BI6" i="10"/>
  <c r="BJ6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AS17" i="10"/>
  <c r="AT17" i="10"/>
  <c r="AU17" i="10"/>
  <c r="AV17" i="10"/>
  <c r="AW17" i="10"/>
  <c r="AX17" i="10"/>
  <c r="AY17" i="10"/>
  <c r="AZ17" i="10"/>
  <c r="BA17" i="10"/>
  <c r="BB17" i="10"/>
  <c r="BC17" i="10"/>
  <c r="BD17" i="10"/>
  <c r="BE17" i="10"/>
  <c r="BF17" i="10"/>
  <c r="BG17" i="10"/>
  <c r="BH17" i="10"/>
  <c r="BI17" i="10"/>
  <c r="BJ17" i="10"/>
  <c r="AS18" i="10"/>
  <c r="AT18" i="10"/>
  <c r="AU18" i="10"/>
  <c r="AV18" i="10"/>
  <c r="AW18" i="10"/>
  <c r="AX18" i="10"/>
  <c r="AY18" i="10"/>
  <c r="AZ18" i="10"/>
  <c r="BA18" i="10"/>
  <c r="BB18" i="10"/>
  <c r="BC18" i="10"/>
  <c r="BD18" i="10"/>
  <c r="BE18" i="10"/>
  <c r="BF18" i="10"/>
  <c r="BG18" i="10"/>
  <c r="BH18" i="10"/>
  <c r="BI18" i="10"/>
  <c r="BJ18" i="10"/>
  <c r="AS19" i="10"/>
  <c r="AT19" i="10"/>
  <c r="AU19" i="10"/>
  <c r="AV19" i="10"/>
  <c r="AW19" i="10"/>
  <c r="AX19" i="10"/>
  <c r="AY19" i="10"/>
  <c r="AZ19" i="10"/>
  <c r="BA19" i="10"/>
  <c r="BB19" i="10"/>
  <c r="BC19" i="10"/>
  <c r="BD19" i="10"/>
  <c r="BE19" i="10"/>
  <c r="BF19" i="10"/>
  <c r="BG19" i="10"/>
  <c r="BH19" i="10"/>
  <c r="BI19" i="10"/>
  <c r="BJ19" i="10"/>
  <c r="AS20" i="10"/>
  <c r="AT20" i="10"/>
  <c r="AU20" i="10"/>
  <c r="AV20" i="10"/>
  <c r="AW20" i="10"/>
  <c r="AX20" i="10"/>
  <c r="AY20" i="10"/>
  <c r="AZ20" i="10"/>
  <c r="BA20" i="10"/>
  <c r="BB20" i="10"/>
  <c r="BC20" i="10"/>
  <c r="BD20" i="10"/>
  <c r="BE20" i="10"/>
  <c r="BF20" i="10"/>
  <c r="BG20" i="10"/>
  <c r="BH20" i="10"/>
  <c r="BI20" i="10"/>
  <c r="BJ20" i="10"/>
  <c r="AS21" i="10"/>
  <c r="AT21" i="10"/>
  <c r="AU21" i="10"/>
  <c r="AV21" i="10"/>
  <c r="AW21" i="10"/>
  <c r="AX21" i="10"/>
  <c r="AY21" i="10"/>
  <c r="AZ21" i="10"/>
  <c r="BA21" i="10"/>
  <c r="BB21" i="10"/>
  <c r="BC21" i="10"/>
  <c r="BD21" i="10"/>
  <c r="BE21" i="10"/>
  <c r="BF21" i="10"/>
  <c r="BG21" i="10"/>
  <c r="BH21" i="10"/>
  <c r="BI21" i="10"/>
  <c r="BJ21" i="10"/>
  <c r="AS22" i="10"/>
  <c r="AT22" i="10"/>
  <c r="AU22" i="10"/>
  <c r="AV22" i="10"/>
  <c r="AW22" i="10"/>
  <c r="AX22" i="10"/>
  <c r="AY22" i="10"/>
  <c r="AZ22" i="10"/>
  <c r="BA22" i="10"/>
  <c r="BB22" i="10"/>
  <c r="BC22" i="10"/>
  <c r="BD22" i="10"/>
  <c r="BE22" i="10"/>
  <c r="BF22" i="10"/>
  <c r="BG22" i="10"/>
  <c r="BH22" i="10"/>
  <c r="BI22" i="10"/>
  <c r="BJ22" i="10"/>
  <c r="AS23" i="10"/>
  <c r="AT23" i="10"/>
  <c r="AU23" i="10"/>
  <c r="AV23" i="10"/>
  <c r="AW23" i="10"/>
  <c r="AX23" i="10"/>
  <c r="AY23" i="10"/>
  <c r="AZ23" i="10"/>
  <c r="BA23" i="10"/>
  <c r="BB23" i="10"/>
  <c r="BC23" i="10"/>
  <c r="BD23" i="10"/>
  <c r="BE23" i="10"/>
  <c r="BF23" i="10"/>
  <c r="BG23" i="10"/>
  <c r="BH23" i="10"/>
  <c r="BI23" i="10"/>
  <c r="BJ23" i="10"/>
  <c r="AS24" i="10"/>
  <c r="AT24" i="10"/>
  <c r="AU24" i="10"/>
  <c r="AV24" i="10"/>
  <c r="AW24" i="10"/>
  <c r="AX24" i="10"/>
  <c r="AY24" i="10"/>
  <c r="AZ24" i="10"/>
  <c r="BA24" i="10"/>
  <c r="BB24" i="10"/>
  <c r="BC24" i="10"/>
  <c r="BD24" i="10"/>
  <c r="BE24" i="10"/>
  <c r="BF24" i="10"/>
  <c r="BG24" i="10"/>
  <c r="BH24" i="10"/>
  <c r="BI24" i="10"/>
  <c r="BJ24" i="10"/>
  <c r="AS25" i="10"/>
  <c r="AT25" i="10"/>
  <c r="AU25" i="10"/>
  <c r="AV25" i="10"/>
  <c r="AW25" i="10"/>
  <c r="AX25" i="10"/>
  <c r="AY25" i="10"/>
  <c r="AZ25" i="10"/>
  <c r="BA25" i="10"/>
  <c r="BB25" i="10"/>
  <c r="BC25" i="10"/>
  <c r="BD25" i="10"/>
  <c r="BE25" i="10"/>
  <c r="BF25" i="10"/>
  <c r="BG25" i="10"/>
  <c r="BH25" i="10"/>
  <c r="BI25" i="10"/>
  <c r="BJ25" i="10"/>
  <c r="AS26" i="10"/>
  <c r="AT26" i="10"/>
  <c r="AU26" i="10"/>
  <c r="AV26" i="10"/>
  <c r="AW26" i="10"/>
  <c r="AX26" i="10"/>
  <c r="AY26" i="10"/>
  <c r="AZ26" i="10"/>
  <c r="BA26" i="10"/>
  <c r="BB26" i="10"/>
  <c r="BC26" i="10"/>
  <c r="BD26" i="10"/>
  <c r="BE26" i="10"/>
  <c r="BF26" i="10"/>
  <c r="BG26" i="10"/>
  <c r="BH26" i="10"/>
  <c r="BI26" i="10"/>
  <c r="BJ26" i="10"/>
  <c r="AS27" i="10"/>
  <c r="AT27" i="10"/>
  <c r="AU27" i="10"/>
  <c r="AV27" i="10"/>
  <c r="AW27" i="10"/>
  <c r="AX27" i="10"/>
  <c r="AY27" i="10"/>
  <c r="AZ27" i="10"/>
  <c r="BA27" i="10"/>
  <c r="BB27" i="10"/>
  <c r="BC27" i="10"/>
  <c r="BD27" i="10"/>
  <c r="BE27" i="10"/>
  <c r="BF27" i="10"/>
  <c r="BG27" i="10"/>
  <c r="BH27" i="10"/>
  <c r="BI27" i="10"/>
  <c r="BJ27" i="10"/>
  <c r="AS28" i="10"/>
  <c r="AT28" i="10"/>
  <c r="AU28" i="10"/>
  <c r="AV28" i="10"/>
  <c r="AW28" i="10"/>
  <c r="AX28" i="10"/>
  <c r="AY28" i="10"/>
  <c r="AZ28" i="10"/>
  <c r="BA28" i="10"/>
  <c r="BB28" i="10"/>
  <c r="BC28" i="10"/>
  <c r="BD28" i="10"/>
  <c r="BE28" i="10"/>
  <c r="BF28" i="10"/>
  <c r="BG28" i="10"/>
  <c r="BH28" i="10"/>
  <c r="BI28" i="10"/>
  <c r="BJ28" i="10"/>
  <c r="AS29" i="10"/>
  <c r="AT29" i="10"/>
  <c r="AU29" i="10"/>
  <c r="AV29" i="10"/>
  <c r="AW29" i="10"/>
  <c r="AX29" i="10"/>
  <c r="AY29" i="10"/>
  <c r="AZ29" i="10"/>
  <c r="BA29" i="10"/>
  <c r="BB29" i="10"/>
  <c r="BC29" i="10"/>
  <c r="BD29" i="10"/>
  <c r="BE29" i="10"/>
  <c r="BF29" i="10"/>
  <c r="BG29" i="10"/>
  <c r="BH29" i="10"/>
  <c r="BI29" i="10"/>
  <c r="BJ29" i="10"/>
  <c r="AS30" i="10"/>
  <c r="AT30" i="10"/>
  <c r="AU30" i="10"/>
  <c r="AV30" i="10"/>
  <c r="AW30" i="10"/>
  <c r="AX30" i="10"/>
  <c r="AY30" i="10"/>
  <c r="AZ30" i="10"/>
  <c r="BA30" i="10"/>
  <c r="BB30" i="10"/>
  <c r="BC30" i="10"/>
  <c r="BD30" i="10"/>
  <c r="BE30" i="10"/>
  <c r="BF30" i="10"/>
  <c r="BG30" i="10"/>
  <c r="BH30" i="10"/>
  <c r="BI30" i="10"/>
  <c r="BJ30" i="10"/>
  <c r="AS31" i="10"/>
  <c r="AT31" i="10"/>
  <c r="AU31" i="10"/>
  <c r="AV31" i="10"/>
  <c r="AW31" i="10"/>
  <c r="AX31" i="10"/>
  <c r="AY31" i="10"/>
  <c r="AZ31" i="10"/>
  <c r="BA31" i="10"/>
  <c r="BB31" i="10"/>
  <c r="BC31" i="10"/>
  <c r="BD31" i="10"/>
  <c r="BE31" i="10"/>
  <c r="BF31" i="10"/>
  <c r="BG31" i="10"/>
  <c r="BH31" i="10"/>
  <c r="BI31" i="10"/>
  <c r="BJ31" i="10"/>
  <c r="AS32" i="10"/>
  <c r="AT32" i="10"/>
  <c r="AU32" i="10"/>
  <c r="AV32" i="10"/>
  <c r="AW32" i="10"/>
  <c r="AX32" i="10"/>
  <c r="AY32" i="10"/>
  <c r="AZ32" i="10"/>
  <c r="BA32" i="10"/>
  <c r="BB32" i="10"/>
  <c r="BC32" i="10"/>
  <c r="BD32" i="10"/>
  <c r="BE32" i="10"/>
  <c r="BF32" i="10"/>
  <c r="BG32" i="10"/>
  <c r="BH32" i="10"/>
  <c r="BI32" i="10"/>
  <c r="BJ32" i="10"/>
  <c r="AS33" i="10"/>
  <c r="AT33" i="10"/>
  <c r="AU33" i="10"/>
  <c r="AV33" i="10"/>
  <c r="AW33" i="10"/>
  <c r="AX33" i="10"/>
  <c r="AY33" i="10"/>
  <c r="AZ33" i="10"/>
  <c r="BA33" i="10"/>
  <c r="BB33" i="10"/>
  <c r="BC33" i="10"/>
  <c r="BD33" i="10"/>
  <c r="BE33" i="10"/>
  <c r="BF33" i="10"/>
  <c r="BG33" i="10"/>
  <c r="BH33" i="10"/>
  <c r="BI33" i="10"/>
  <c r="BJ33" i="10"/>
  <c r="AS34" i="10"/>
  <c r="AT34" i="10"/>
  <c r="AU34" i="10"/>
  <c r="AV34" i="10"/>
  <c r="AW34" i="10"/>
  <c r="AX34" i="10"/>
  <c r="AY34" i="10"/>
  <c r="AZ34" i="10"/>
  <c r="BA34" i="10"/>
  <c r="BB34" i="10"/>
  <c r="BC34" i="10"/>
  <c r="BD34" i="10"/>
  <c r="BE34" i="10"/>
  <c r="BF34" i="10"/>
  <c r="BG34" i="10"/>
  <c r="BH34" i="10"/>
  <c r="BI34" i="10"/>
  <c r="BJ34" i="10"/>
  <c r="AS35" i="10"/>
  <c r="AT35" i="10"/>
  <c r="AU35" i="10"/>
  <c r="AV35" i="10"/>
  <c r="AW35" i="10"/>
  <c r="AX35" i="10"/>
  <c r="AY35" i="10"/>
  <c r="AZ35" i="10"/>
  <c r="BA35" i="10"/>
  <c r="BB35" i="10"/>
  <c r="BC35" i="10"/>
  <c r="BD35" i="10"/>
  <c r="BE35" i="10"/>
  <c r="BF35" i="10"/>
  <c r="BG35" i="10"/>
  <c r="BH35" i="10"/>
  <c r="BI35" i="10"/>
  <c r="BJ35" i="10"/>
  <c r="AS36" i="10"/>
  <c r="AT36" i="10"/>
  <c r="AU36" i="10"/>
  <c r="AV36" i="10"/>
  <c r="AW36" i="10"/>
  <c r="AX36" i="10"/>
  <c r="AY36" i="10"/>
  <c r="AZ36" i="10"/>
  <c r="BA36" i="10"/>
  <c r="BB36" i="10"/>
  <c r="BC36" i="10"/>
  <c r="BD36" i="10"/>
  <c r="BE36" i="10"/>
  <c r="BF36" i="10"/>
  <c r="BG36" i="10"/>
  <c r="BH36" i="10"/>
  <c r="BI36" i="10"/>
  <c r="BJ36" i="10"/>
  <c r="AS37" i="10"/>
  <c r="AT37" i="10"/>
  <c r="AU37" i="10"/>
  <c r="AV37" i="10"/>
  <c r="AW37" i="10"/>
  <c r="AX37" i="10"/>
  <c r="AY37" i="10"/>
  <c r="AZ37" i="10"/>
  <c r="BA37" i="10"/>
  <c r="BB37" i="10"/>
  <c r="BC37" i="10"/>
  <c r="BD37" i="10"/>
  <c r="BE37" i="10"/>
  <c r="BF37" i="10"/>
  <c r="BG37" i="10"/>
  <c r="BH37" i="10"/>
  <c r="BI37" i="10"/>
  <c r="BJ37" i="10"/>
  <c r="AS38" i="10"/>
  <c r="AT38" i="10"/>
  <c r="AU38" i="10"/>
  <c r="AV38" i="10"/>
  <c r="AW38" i="10"/>
  <c r="AX38" i="10"/>
  <c r="AY38" i="10"/>
  <c r="AZ38" i="10"/>
  <c r="BA38" i="10"/>
  <c r="BB38" i="10"/>
  <c r="BC38" i="10"/>
  <c r="BD38" i="10"/>
  <c r="BE38" i="10"/>
  <c r="BF38" i="10"/>
  <c r="BG38" i="10"/>
  <c r="BH38" i="10"/>
  <c r="BI38" i="10"/>
  <c r="BJ38" i="10"/>
  <c r="AS39" i="10"/>
  <c r="AT39" i="10"/>
  <c r="AU39" i="10"/>
  <c r="AV39" i="10"/>
  <c r="AW39" i="10"/>
  <c r="AX39" i="10"/>
  <c r="AY39" i="10"/>
  <c r="AZ39" i="10"/>
  <c r="BA39" i="10"/>
  <c r="BB39" i="10"/>
  <c r="BC39" i="10"/>
  <c r="BD39" i="10"/>
  <c r="BE39" i="10"/>
  <c r="BF39" i="10"/>
  <c r="BG39" i="10"/>
  <c r="BH39" i="10"/>
  <c r="BI39" i="10"/>
  <c r="BJ39" i="10"/>
  <c r="AS40" i="10"/>
  <c r="AT40" i="10"/>
  <c r="AU40" i="10"/>
  <c r="AV40" i="10"/>
  <c r="AW40" i="10"/>
  <c r="AX40" i="10"/>
  <c r="AY40" i="10"/>
  <c r="AZ40" i="10"/>
  <c r="BA40" i="10"/>
  <c r="BB40" i="10"/>
  <c r="BC40" i="10"/>
  <c r="BD40" i="10"/>
  <c r="BE40" i="10"/>
  <c r="BF40" i="10"/>
  <c r="BG40" i="10"/>
  <c r="BH40" i="10"/>
  <c r="BI40" i="10"/>
  <c r="BJ40" i="10"/>
  <c r="AS41" i="10"/>
  <c r="AT41" i="10"/>
  <c r="AU41" i="10"/>
  <c r="AV41" i="10"/>
  <c r="AW41" i="10"/>
  <c r="AX41" i="10"/>
  <c r="AY41" i="10"/>
  <c r="AZ41" i="10"/>
  <c r="BA41" i="10"/>
  <c r="BB41" i="10"/>
  <c r="BC41" i="10"/>
  <c r="BD41" i="10"/>
  <c r="BE41" i="10"/>
  <c r="BF41" i="10"/>
  <c r="BG41" i="10"/>
  <c r="BH41" i="10"/>
  <c r="BI41" i="10"/>
  <c r="BJ41" i="10"/>
  <c r="AS42" i="10"/>
  <c r="AT42" i="10"/>
  <c r="AU42" i="10"/>
  <c r="AV42" i="10"/>
  <c r="AW42" i="10"/>
  <c r="AX42" i="10"/>
  <c r="AY42" i="10"/>
  <c r="AZ42" i="10"/>
  <c r="BA42" i="10"/>
  <c r="BB42" i="10"/>
  <c r="BC42" i="10"/>
  <c r="BD42" i="10"/>
  <c r="BE42" i="10"/>
  <c r="BF42" i="10"/>
  <c r="BG42" i="10"/>
  <c r="BH42" i="10"/>
  <c r="BI42" i="10"/>
  <c r="BJ42" i="10"/>
  <c r="AS43" i="10"/>
  <c r="AT43" i="10"/>
  <c r="AU43" i="10"/>
  <c r="AV43" i="10"/>
  <c r="AW43" i="10"/>
  <c r="AX43" i="10"/>
  <c r="AY43" i="10"/>
  <c r="AZ43" i="10"/>
  <c r="BA43" i="10"/>
  <c r="BB43" i="10"/>
  <c r="BC43" i="10"/>
  <c r="BD43" i="10"/>
  <c r="BE43" i="10"/>
  <c r="BF43" i="10"/>
  <c r="BG43" i="10"/>
  <c r="BH43" i="10"/>
  <c r="BI43" i="10"/>
  <c r="BJ43" i="10"/>
  <c r="AS44" i="10"/>
  <c r="AT44" i="10"/>
  <c r="AU44" i="10"/>
  <c r="AV44" i="10"/>
  <c r="AW44" i="10"/>
  <c r="AX44" i="10"/>
  <c r="AY44" i="10"/>
  <c r="AZ44" i="10"/>
  <c r="BA44" i="10"/>
  <c r="BB44" i="10"/>
  <c r="BC44" i="10"/>
  <c r="BD44" i="10"/>
  <c r="BE44" i="10"/>
  <c r="BF44" i="10"/>
  <c r="BG44" i="10"/>
  <c r="BH44" i="10"/>
  <c r="BI44" i="10"/>
  <c r="BJ44" i="10"/>
  <c r="AS45" i="10"/>
  <c r="AT45" i="10"/>
  <c r="AU45" i="10"/>
  <c r="AV45" i="10"/>
  <c r="AW45" i="10"/>
  <c r="AX45" i="10"/>
  <c r="AY45" i="10"/>
  <c r="AZ45" i="10"/>
  <c r="BA45" i="10"/>
  <c r="BB45" i="10"/>
  <c r="BC45" i="10"/>
  <c r="BD45" i="10"/>
  <c r="BE45" i="10"/>
  <c r="BF45" i="10"/>
  <c r="BG45" i="10"/>
  <c r="BH45" i="10"/>
  <c r="BI45" i="10"/>
  <c r="BJ45" i="10"/>
  <c r="AR3" i="10"/>
  <c r="AR4" i="10"/>
  <c r="AR5" i="10"/>
  <c r="AR6" i="10"/>
  <c r="AR7" i="10"/>
  <c r="AR8" i="10"/>
  <c r="AR9" i="10"/>
  <c r="AR10" i="10"/>
  <c r="AR11" i="10"/>
  <c r="AR12" i="10"/>
  <c r="AR13" i="10"/>
  <c r="AR14" i="10"/>
  <c r="AR15" i="10"/>
  <c r="AR16" i="10"/>
  <c r="AR17" i="10"/>
  <c r="AR18" i="10"/>
  <c r="AR19" i="10"/>
  <c r="AR20" i="10"/>
  <c r="AR21" i="10"/>
  <c r="AR22" i="10"/>
  <c r="AR23" i="10"/>
  <c r="AR24" i="10"/>
  <c r="AR25" i="10"/>
  <c r="AR26" i="10"/>
  <c r="AR27" i="10"/>
  <c r="AR28" i="10"/>
  <c r="AR29" i="10"/>
  <c r="AR30" i="10"/>
  <c r="AR31" i="10"/>
  <c r="AR32" i="10"/>
  <c r="AR33" i="10"/>
  <c r="AR34" i="10"/>
  <c r="AR35" i="10"/>
  <c r="AR36" i="10"/>
  <c r="AR37" i="10"/>
  <c r="AR38" i="10"/>
  <c r="AR39" i="10"/>
  <c r="AR40" i="10"/>
  <c r="AR41" i="10"/>
  <c r="AR42" i="10"/>
  <c r="AR43" i="10"/>
  <c r="AR44" i="10"/>
  <c r="AR45" i="10"/>
  <c r="AR2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AK2" i="10"/>
  <c r="AL2" i="10"/>
  <c r="AM2" i="10"/>
  <c r="AN2" i="10"/>
  <c r="AO2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O17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AJ18" i="10"/>
  <c r="AK18" i="10"/>
  <c r="AL18" i="10"/>
  <c r="AM18" i="10"/>
  <c r="AN18" i="10"/>
  <c r="AO18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AJ19" i="10"/>
  <c r="AK19" i="10"/>
  <c r="AL19" i="10"/>
  <c r="AM19" i="10"/>
  <c r="AN19" i="10"/>
  <c r="AO19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AJ20" i="10"/>
  <c r="AK20" i="10"/>
  <c r="AL20" i="10"/>
  <c r="AM20" i="10"/>
  <c r="AN20" i="10"/>
  <c r="AO20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AJ21" i="10"/>
  <c r="AK21" i="10"/>
  <c r="AL21" i="10"/>
  <c r="AM21" i="10"/>
  <c r="AN21" i="10"/>
  <c r="AO21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J23" i="10"/>
  <c r="AK23" i="10"/>
  <c r="AL23" i="10"/>
  <c r="AM23" i="10"/>
  <c r="AN23" i="10"/>
  <c r="AO23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AJ24" i="10"/>
  <c r="AK24" i="10"/>
  <c r="AL24" i="10"/>
  <c r="AM24" i="10"/>
  <c r="AN24" i="10"/>
  <c r="AO24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AJ25" i="10"/>
  <c r="AK25" i="10"/>
  <c r="AL25" i="10"/>
  <c r="AM25" i="10"/>
  <c r="AN25" i="10"/>
  <c r="AO25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AJ26" i="10"/>
  <c r="AK26" i="10"/>
  <c r="AL26" i="10"/>
  <c r="AM26" i="10"/>
  <c r="AN26" i="10"/>
  <c r="AO26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AJ27" i="10"/>
  <c r="AK27" i="10"/>
  <c r="AL27" i="10"/>
  <c r="AM27" i="10"/>
  <c r="AN27" i="10"/>
  <c r="AO27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AJ28" i="10"/>
  <c r="AK28" i="10"/>
  <c r="AL28" i="10"/>
  <c r="AM28" i="10"/>
  <c r="AN28" i="10"/>
  <c r="AO28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AJ29" i="10"/>
  <c r="AK29" i="10"/>
  <c r="AL29" i="10"/>
  <c r="AM29" i="10"/>
  <c r="AN29" i="10"/>
  <c r="AO29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AJ30" i="10"/>
  <c r="AK30" i="10"/>
  <c r="AL30" i="10"/>
  <c r="AM30" i="10"/>
  <c r="AN30" i="10"/>
  <c r="AO30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AM31" i="10"/>
  <c r="AN31" i="10"/>
  <c r="AO31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AJ32" i="10"/>
  <c r="AK32" i="10"/>
  <c r="AL32" i="10"/>
  <c r="AM32" i="10"/>
  <c r="AN32" i="10"/>
  <c r="AO32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AJ33" i="10"/>
  <c r="AK33" i="10"/>
  <c r="AL33" i="10"/>
  <c r="AM33" i="10"/>
  <c r="AN33" i="10"/>
  <c r="AO33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AJ34" i="10"/>
  <c r="AK34" i="10"/>
  <c r="AL34" i="10"/>
  <c r="AM34" i="10"/>
  <c r="AN34" i="10"/>
  <c r="AO34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AJ35" i="10"/>
  <c r="AK35" i="10"/>
  <c r="AL35" i="10"/>
  <c r="AM35" i="10"/>
  <c r="AN35" i="10"/>
  <c r="AO35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AJ36" i="10"/>
  <c r="AK36" i="10"/>
  <c r="AL36" i="10"/>
  <c r="AM36" i="10"/>
  <c r="AN36" i="10"/>
  <c r="AO36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AJ37" i="10"/>
  <c r="AK37" i="10"/>
  <c r="AL37" i="10"/>
  <c r="AM37" i="10"/>
  <c r="AN37" i="10"/>
  <c r="AO37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AJ38" i="10"/>
  <c r="AK38" i="10"/>
  <c r="AL38" i="10"/>
  <c r="AM38" i="10"/>
  <c r="AN38" i="10"/>
  <c r="AO38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AJ39" i="10"/>
  <c r="AK39" i="10"/>
  <c r="AL39" i="10"/>
  <c r="AM39" i="10"/>
  <c r="AN39" i="10"/>
  <c r="AO39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AJ40" i="10"/>
  <c r="AK40" i="10"/>
  <c r="AL40" i="10"/>
  <c r="AM40" i="10"/>
  <c r="AN40" i="10"/>
  <c r="AO40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AJ41" i="10"/>
  <c r="AK41" i="10"/>
  <c r="AL41" i="10"/>
  <c r="AM41" i="10"/>
  <c r="AN41" i="10"/>
  <c r="AO41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AJ42" i="10"/>
  <c r="AK42" i="10"/>
  <c r="AL42" i="10"/>
  <c r="AM42" i="10"/>
  <c r="AN42" i="10"/>
  <c r="AO42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AJ43" i="10"/>
  <c r="AK43" i="10"/>
  <c r="AL43" i="10"/>
  <c r="AM43" i="10"/>
  <c r="AN43" i="10"/>
  <c r="AO43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AJ44" i="10"/>
  <c r="AK44" i="10"/>
  <c r="AL44" i="10"/>
  <c r="AM44" i="10"/>
  <c r="AN44" i="10"/>
  <c r="AO44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AJ45" i="10"/>
  <c r="AK45" i="10"/>
  <c r="AL45" i="10"/>
  <c r="AM45" i="10"/>
  <c r="AN45" i="10"/>
  <c r="AO45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AJ46" i="10"/>
  <c r="AK46" i="10"/>
  <c r="AL46" i="10"/>
  <c r="AM46" i="10"/>
  <c r="AN46" i="10"/>
  <c r="AO46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W3" i="10"/>
  <c r="W4" i="10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8" i="10"/>
  <c r="W39" i="10"/>
  <c r="W40" i="10"/>
  <c r="W41" i="10"/>
  <c r="W42" i="10"/>
  <c r="W43" i="10"/>
  <c r="W44" i="10"/>
  <c r="W45" i="10"/>
  <c r="W46" i="10"/>
  <c r="W47" i="10"/>
  <c r="W48" i="10"/>
  <c r="W49" i="10"/>
  <c r="W2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2" i="10"/>
  <c r="F2" i="10"/>
  <c r="I2" i="10"/>
  <c r="J2" i="10"/>
  <c r="K2" i="10"/>
  <c r="L2" i="10"/>
  <c r="M2" i="10"/>
  <c r="R2" i="10"/>
  <c r="S2" i="10"/>
  <c r="T2" i="10"/>
  <c r="F3" i="10"/>
  <c r="I3" i="10"/>
  <c r="J3" i="10"/>
  <c r="K3" i="10"/>
  <c r="L3" i="10"/>
  <c r="M3" i="10"/>
  <c r="R3" i="10"/>
  <c r="S3" i="10"/>
  <c r="T3" i="10"/>
  <c r="F4" i="10"/>
  <c r="I4" i="10"/>
  <c r="J4" i="10"/>
  <c r="K4" i="10"/>
  <c r="L4" i="10"/>
  <c r="M4" i="10"/>
  <c r="R4" i="10"/>
  <c r="S4" i="10"/>
  <c r="T4" i="10"/>
  <c r="F5" i="10"/>
  <c r="I5" i="10"/>
  <c r="J5" i="10"/>
  <c r="K5" i="10"/>
  <c r="L5" i="10"/>
  <c r="M5" i="10"/>
  <c r="R5" i="10"/>
  <c r="S5" i="10"/>
  <c r="T5" i="10"/>
  <c r="D2" i="10"/>
  <c r="D3" i="10"/>
  <c r="D4" i="10"/>
  <c r="D5" i="10"/>
  <c r="C2" i="10"/>
  <c r="C3" i="10"/>
  <c r="C4" i="10"/>
  <c r="C5" i="10"/>
  <c r="B2" i="10"/>
  <c r="B3" i="10"/>
  <c r="B4" i="10"/>
  <c r="B5" i="10"/>
  <c r="T49" i="10"/>
  <c r="S49" i="10"/>
  <c r="R49" i="10"/>
  <c r="M49" i="10"/>
  <c r="L49" i="10"/>
  <c r="K49" i="10"/>
  <c r="J49" i="10"/>
  <c r="I49" i="10"/>
  <c r="F49" i="10"/>
  <c r="D49" i="10"/>
  <c r="C49" i="10"/>
  <c r="B49" i="10"/>
  <c r="T48" i="10"/>
  <c r="S48" i="10"/>
  <c r="R48" i="10"/>
  <c r="M48" i="10"/>
  <c r="L48" i="10"/>
  <c r="K48" i="10"/>
  <c r="J48" i="10"/>
  <c r="I48" i="10"/>
  <c r="F48" i="10"/>
  <c r="D48" i="10"/>
  <c r="C48" i="10"/>
  <c r="B48" i="10"/>
  <c r="T47" i="10"/>
  <c r="S47" i="10"/>
  <c r="R47" i="10"/>
  <c r="M47" i="10"/>
  <c r="L47" i="10"/>
  <c r="K47" i="10"/>
  <c r="J47" i="10"/>
  <c r="I47" i="10"/>
  <c r="F47" i="10"/>
  <c r="D47" i="10"/>
  <c r="C47" i="10"/>
  <c r="B47" i="10"/>
  <c r="T46" i="10"/>
  <c r="S46" i="10"/>
  <c r="R46" i="10"/>
  <c r="M46" i="10"/>
  <c r="L46" i="10"/>
  <c r="K46" i="10"/>
  <c r="J46" i="10"/>
  <c r="I46" i="10"/>
  <c r="F46" i="10"/>
  <c r="D46" i="10"/>
  <c r="C46" i="10"/>
  <c r="B46" i="10"/>
  <c r="T45" i="10"/>
  <c r="S45" i="10"/>
  <c r="R45" i="10"/>
  <c r="M45" i="10"/>
  <c r="L45" i="10"/>
  <c r="K45" i="10"/>
  <c r="J45" i="10"/>
  <c r="I45" i="10"/>
  <c r="F45" i="10"/>
  <c r="D45" i="10"/>
  <c r="C45" i="10"/>
  <c r="B45" i="10"/>
  <c r="T44" i="10"/>
  <c r="S44" i="10"/>
  <c r="R44" i="10"/>
  <c r="M44" i="10"/>
  <c r="L44" i="10"/>
  <c r="K44" i="10"/>
  <c r="J44" i="10"/>
  <c r="I44" i="10"/>
  <c r="F44" i="10"/>
  <c r="D44" i="10"/>
  <c r="C44" i="10"/>
  <c r="B44" i="10"/>
  <c r="T43" i="10"/>
  <c r="S43" i="10"/>
  <c r="R43" i="10"/>
  <c r="M43" i="10"/>
  <c r="L43" i="10"/>
  <c r="K43" i="10"/>
  <c r="J43" i="10"/>
  <c r="I43" i="10"/>
  <c r="F43" i="10"/>
  <c r="D43" i="10"/>
  <c r="C43" i="10"/>
  <c r="B43" i="10"/>
  <c r="T42" i="10"/>
  <c r="S42" i="10"/>
  <c r="R42" i="10"/>
  <c r="M42" i="10"/>
  <c r="L42" i="10"/>
  <c r="K42" i="10"/>
  <c r="J42" i="10"/>
  <c r="I42" i="10"/>
  <c r="F42" i="10"/>
  <c r="D42" i="10"/>
  <c r="C42" i="10"/>
  <c r="B42" i="10"/>
  <c r="T41" i="10"/>
  <c r="S41" i="10"/>
  <c r="R41" i="10"/>
  <c r="M41" i="10"/>
  <c r="L41" i="10"/>
  <c r="K41" i="10"/>
  <c r="J41" i="10"/>
  <c r="I41" i="10"/>
  <c r="F41" i="10"/>
  <c r="D41" i="10"/>
  <c r="C41" i="10"/>
  <c r="B41" i="10"/>
  <c r="T40" i="10"/>
  <c r="S40" i="10"/>
  <c r="R40" i="10"/>
  <c r="M40" i="10"/>
  <c r="L40" i="10"/>
  <c r="K40" i="10"/>
  <c r="J40" i="10"/>
  <c r="I40" i="10"/>
  <c r="F40" i="10"/>
  <c r="D40" i="10"/>
  <c r="C40" i="10"/>
  <c r="B40" i="10"/>
  <c r="T39" i="10"/>
  <c r="S39" i="10"/>
  <c r="R39" i="10"/>
  <c r="M39" i="10"/>
  <c r="L39" i="10"/>
  <c r="K39" i="10"/>
  <c r="J39" i="10"/>
  <c r="I39" i="10"/>
  <c r="F39" i="10"/>
  <c r="D39" i="10"/>
  <c r="C39" i="10"/>
  <c r="B39" i="10"/>
  <c r="T38" i="10"/>
  <c r="S38" i="10"/>
  <c r="R38" i="10"/>
  <c r="M38" i="10"/>
  <c r="L38" i="10"/>
  <c r="K38" i="10"/>
  <c r="J38" i="10"/>
  <c r="I38" i="10"/>
  <c r="F38" i="10"/>
  <c r="D38" i="10"/>
  <c r="C38" i="10"/>
  <c r="B38" i="10"/>
  <c r="T37" i="10"/>
  <c r="S37" i="10"/>
  <c r="R37" i="10"/>
  <c r="M37" i="10"/>
  <c r="L37" i="10"/>
  <c r="K37" i="10"/>
  <c r="J37" i="10"/>
  <c r="I37" i="10"/>
  <c r="F37" i="10"/>
  <c r="D37" i="10"/>
  <c r="C37" i="10"/>
  <c r="B37" i="10"/>
  <c r="T36" i="10"/>
  <c r="S36" i="10"/>
  <c r="R36" i="10"/>
  <c r="M36" i="10"/>
  <c r="L36" i="10"/>
  <c r="K36" i="10"/>
  <c r="J36" i="10"/>
  <c r="I36" i="10"/>
  <c r="F36" i="10"/>
  <c r="D36" i="10"/>
  <c r="C36" i="10"/>
  <c r="B36" i="10"/>
  <c r="T35" i="10"/>
  <c r="S35" i="10"/>
  <c r="R35" i="10"/>
  <c r="M35" i="10"/>
  <c r="L35" i="10"/>
  <c r="K35" i="10"/>
  <c r="J35" i="10"/>
  <c r="I35" i="10"/>
  <c r="F35" i="10"/>
  <c r="D35" i="10"/>
  <c r="C35" i="10"/>
  <c r="B35" i="10"/>
  <c r="T34" i="10"/>
  <c r="S34" i="10"/>
  <c r="R34" i="10"/>
  <c r="M34" i="10"/>
  <c r="L34" i="10"/>
  <c r="K34" i="10"/>
  <c r="J34" i="10"/>
  <c r="I34" i="10"/>
  <c r="F34" i="10"/>
  <c r="D34" i="10"/>
  <c r="C34" i="10"/>
  <c r="B34" i="10"/>
  <c r="T33" i="10"/>
  <c r="S33" i="10"/>
  <c r="R33" i="10"/>
  <c r="M33" i="10"/>
  <c r="L33" i="10"/>
  <c r="K33" i="10"/>
  <c r="J33" i="10"/>
  <c r="I33" i="10"/>
  <c r="F33" i="10"/>
  <c r="D33" i="10"/>
  <c r="C33" i="10"/>
  <c r="B33" i="10"/>
  <c r="T32" i="10"/>
  <c r="S32" i="10"/>
  <c r="R32" i="10"/>
  <c r="M32" i="10"/>
  <c r="L32" i="10"/>
  <c r="K32" i="10"/>
  <c r="J32" i="10"/>
  <c r="I32" i="10"/>
  <c r="F32" i="10"/>
  <c r="D32" i="10"/>
  <c r="C32" i="10"/>
  <c r="B32" i="10"/>
  <c r="T31" i="10"/>
  <c r="S31" i="10"/>
  <c r="R31" i="10"/>
  <c r="M31" i="10"/>
  <c r="L31" i="10"/>
  <c r="K31" i="10"/>
  <c r="J31" i="10"/>
  <c r="I31" i="10"/>
  <c r="F31" i="10"/>
  <c r="D31" i="10"/>
  <c r="C31" i="10"/>
  <c r="B31" i="10"/>
  <c r="T30" i="10"/>
  <c r="S30" i="10"/>
  <c r="R30" i="10"/>
  <c r="M30" i="10"/>
  <c r="L30" i="10"/>
  <c r="K30" i="10"/>
  <c r="J30" i="10"/>
  <c r="I30" i="10"/>
  <c r="F30" i="10"/>
  <c r="D30" i="10"/>
  <c r="C30" i="10"/>
  <c r="B30" i="10"/>
  <c r="T29" i="10"/>
  <c r="S29" i="10"/>
  <c r="R29" i="10"/>
  <c r="M29" i="10"/>
  <c r="L29" i="10"/>
  <c r="K29" i="10"/>
  <c r="J29" i="10"/>
  <c r="I29" i="10"/>
  <c r="F29" i="10"/>
  <c r="D29" i="10"/>
  <c r="C29" i="10"/>
  <c r="B29" i="10"/>
  <c r="T28" i="10"/>
  <c r="S28" i="10"/>
  <c r="R28" i="10"/>
  <c r="M28" i="10"/>
  <c r="L28" i="10"/>
  <c r="K28" i="10"/>
  <c r="J28" i="10"/>
  <c r="I28" i="10"/>
  <c r="F28" i="10"/>
  <c r="D28" i="10"/>
  <c r="C28" i="10"/>
  <c r="B28" i="10"/>
  <c r="T27" i="10"/>
  <c r="S27" i="10"/>
  <c r="R27" i="10"/>
  <c r="M27" i="10"/>
  <c r="L27" i="10"/>
  <c r="K27" i="10"/>
  <c r="J27" i="10"/>
  <c r="I27" i="10"/>
  <c r="F27" i="10"/>
  <c r="D27" i="10"/>
  <c r="C27" i="10"/>
  <c r="B27" i="10"/>
  <c r="T26" i="10"/>
  <c r="S26" i="10"/>
  <c r="R26" i="10"/>
  <c r="M26" i="10"/>
  <c r="L26" i="10"/>
  <c r="K26" i="10"/>
  <c r="J26" i="10"/>
  <c r="I26" i="10"/>
  <c r="F26" i="10"/>
  <c r="D26" i="10"/>
  <c r="C26" i="10"/>
  <c r="B26" i="10"/>
  <c r="T25" i="10"/>
  <c r="S25" i="10"/>
  <c r="R25" i="10"/>
  <c r="M25" i="10"/>
  <c r="L25" i="10"/>
  <c r="K25" i="10"/>
  <c r="J25" i="10"/>
  <c r="I25" i="10"/>
  <c r="F25" i="10"/>
  <c r="D25" i="10"/>
  <c r="C25" i="10"/>
  <c r="B25" i="10"/>
  <c r="T24" i="10"/>
  <c r="S24" i="10"/>
  <c r="R24" i="10"/>
  <c r="M24" i="10"/>
  <c r="L24" i="10"/>
  <c r="K24" i="10"/>
  <c r="J24" i="10"/>
  <c r="I24" i="10"/>
  <c r="F24" i="10"/>
  <c r="D24" i="10"/>
  <c r="C24" i="10"/>
  <c r="B24" i="10"/>
  <c r="T23" i="10"/>
  <c r="S23" i="10"/>
  <c r="R23" i="10"/>
  <c r="M23" i="10"/>
  <c r="L23" i="10"/>
  <c r="K23" i="10"/>
  <c r="J23" i="10"/>
  <c r="I23" i="10"/>
  <c r="F23" i="10"/>
  <c r="D23" i="10"/>
  <c r="C23" i="10"/>
  <c r="B23" i="10"/>
  <c r="T22" i="10"/>
  <c r="S22" i="10"/>
  <c r="R22" i="10"/>
  <c r="M22" i="10"/>
  <c r="L22" i="10"/>
  <c r="K22" i="10"/>
  <c r="J22" i="10"/>
  <c r="I22" i="10"/>
  <c r="F22" i="10"/>
  <c r="D22" i="10"/>
  <c r="C22" i="10"/>
  <c r="B22" i="10"/>
  <c r="T21" i="10"/>
  <c r="S21" i="10"/>
  <c r="R21" i="10"/>
  <c r="M21" i="10"/>
  <c r="L21" i="10"/>
  <c r="K21" i="10"/>
  <c r="J21" i="10"/>
  <c r="I21" i="10"/>
  <c r="F21" i="10"/>
  <c r="D21" i="10"/>
  <c r="C21" i="10"/>
  <c r="B21" i="10"/>
  <c r="T20" i="10"/>
  <c r="S20" i="10"/>
  <c r="R20" i="10"/>
  <c r="M20" i="10"/>
  <c r="L20" i="10"/>
  <c r="K20" i="10"/>
  <c r="J20" i="10"/>
  <c r="I20" i="10"/>
  <c r="F20" i="10"/>
  <c r="D20" i="10"/>
  <c r="C20" i="10"/>
  <c r="B20" i="10"/>
  <c r="T19" i="10"/>
  <c r="S19" i="10"/>
  <c r="R19" i="10"/>
  <c r="M19" i="10"/>
  <c r="L19" i="10"/>
  <c r="K19" i="10"/>
  <c r="J19" i="10"/>
  <c r="I19" i="10"/>
  <c r="F19" i="10"/>
  <c r="D19" i="10"/>
  <c r="C19" i="10"/>
  <c r="B19" i="10"/>
  <c r="T18" i="10"/>
  <c r="S18" i="10"/>
  <c r="R18" i="10"/>
  <c r="M18" i="10"/>
  <c r="L18" i="10"/>
  <c r="K18" i="10"/>
  <c r="J18" i="10"/>
  <c r="I18" i="10"/>
  <c r="F18" i="10"/>
  <c r="D18" i="10"/>
  <c r="C18" i="10"/>
  <c r="B18" i="10"/>
  <c r="T17" i="10"/>
  <c r="S17" i="10"/>
  <c r="R17" i="10"/>
  <c r="M17" i="10"/>
  <c r="L17" i="10"/>
  <c r="K17" i="10"/>
  <c r="J17" i="10"/>
  <c r="I17" i="10"/>
  <c r="F17" i="10"/>
  <c r="D17" i="10"/>
  <c r="C17" i="10"/>
  <c r="B17" i="10"/>
  <c r="T16" i="10"/>
  <c r="S16" i="10"/>
  <c r="R16" i="10"/>
  <c r="M16" i="10"/>
  <c r="L16" i="10"/>
  <c r="K16" i="10"/>
  <c r="J16" i="10"/>
  <c r="I16" i="10"/>
  <c r="F16" i="10"/>
  <c r="D16" i="10"/>
  <c r="C16" i="10"/>
  <c r="B16" i="10"/>
  <c r="T15" i="10"/>
  <c r="S15" i="10"/>
  <c r="R15" i="10"/>
  <c r="M15" i="10"/>
  <c r="L15" i="10"/>
  <c r="K15" i="10"/>
  <c r="J15" i="10"/>
  <c r="I15" i="10"/>
  <c r="F15" i="10"/>
  <c r="D15" i="10"/>
  <c r="C15" i="10"/>
  <c r="B15" i="10"/>
  <c r="T14" i="10"/>
  <c r="S14" i="10"/>
  <c r="R14" i="10"/>
  <c r="M14" i="10"/>
  <c r="L14" i="10"/>
  <c r="K14" i="10"/>
  <c r="J14" i="10"/>
  <c r="I14" i="10"/>
  <c r="F14" i="10"/>
  <c r="D14" i="10"/>
  <c r="C14" i="10"/>
  <c r="B14" i="10"/>
  <c r="T13" i="10"/>
  <c r="S13" i="10"/>
  <c r="R13" i="10"/>
  <c r="M13" i="10"/>
  <c r="L13" i="10"/>
  <c r="K13" i="10"/>
  <c r="J13" i="10"/>
  <c r="I13" i="10"/>
  <c r="F13" i="10"/>
  <c r="D13" i="10"/>
  <c r="C13" i="10"/>
  <c r="B13" i="10"/>
  <c r="T12" i="10"/>
  <c r="S12" i="10"/>
  <c r="R12" i="10"/>
  <c r="M12" i="10"/>
  <c r="L12" i="10"/>
  <c r="K12" i="10"/>
  <c r="J12" i="10"/>
  <c r="I12" i="10"/>
  <c r="F12" i="10"/>
  <c r="D12" i="10"/>
  <c r="C12" i="10"/>
  <c r="B12" i="10"/>
  <c r="T11" i="10"/>
  <c r="S11" i="10"/>
  <c r="R11" i="10"/>
  <c r="M11" i="10"/>
  <c r="L11" i="10"/>
  <c r="K11" i="10"/>
  <c r="J11" i="10"/>
  <c r="I11" i="10"/>
  <c r="F11" i="10"/>
  <c r="D11" i="10"/>
  <c r="C11" i="10"/>
  <c r="B11" i="10"/>
  <c r="T10" i="10"/>
  <c r="S10" i="10"/>
  <c r="R10" i="10"/>
  <c r="M10" i="10"/>
  <c r="L10" i="10"/>
  <c r="K10" i="10"/>
  <c r="J10" i="10"/>
  <c r="I10" i="10"/>
  <c r="F10" i="10"/>
  <c r="D10" i="10"/>
  <c r="C10" i="10"/>
  <c r="B10" i="10"/>
  <c r="T9" i="10"/>
  <c r="S9" i="10"/>
  <c r="R9" i="10"/>
  <c r="M9" i="10"/>
  <c r="L9" i="10"/>
  <c r="K9" i="10"/>
  <c r="J9" i="10"/>
  <c r="I9" i="10"/>
  <c r="F9" i="10"/>
  <c r="D9" i="10"/>
  <c r="C9" i="10"/>
  <c r="B9" i="10"/>
  <c r="T8" i="10"/>
  <c r="S8" i="10"/>
  <c r="R8" i="10"/>
  <c r="M8" i="10"/>
  <c r="L8" i="10"/>
  <c r="K8" i="10"/>
  <c r="J8" i="10"/>
  <c r="I8" i="10"/>
  <c r="F8" i="10"/>
  <c r="D8" i="10"/>
  <c r="C8" i="10"/>
  <c r="B8" i="10"/>
  <c r="T7" i="10"/>
  <c r="S7" i="10"/>
  <c r="R7" i="10"/>
  <c r="M7" i="10"/>
  <c r="L7" i="10"/>
  <c r="K7" i="10"/>
  <c r="J7" i="10"/>
  <c r="I7" i="10"/>
  <c r="F7" i="10"/>
  <c r="D7" i="10"/>
  <c r="C7" i="10"/>
  <c r="B7" i="10"/>
  <c r="T6" i="10"/>
  <c r="S6" i="10"/>
  <c r="R6" i="10"/>
  <c r="M6" i="10"/>
  <c r="L6" i="10"/>
  <c r="K6" i="10"/>
  <c r="J6" i="10"/>
  <c r="I6" i="10"/>
  <c r="F6" i="10"/>
  <c r="D6" i="10"/>
  <c r="C6" i="10"/>
  <c r="B6" i="10"/>
  <c r="C18" i="2" a="1"/>
  <c r="C18" i="2" s="1"/>
  <c r="ET3" i="2" s="1"/>
  <c r="D18" i="2" a="1"/>
  <c r="D18" i="2" s="1"/>
  <c r="EU3" i="2" s="1"/>
  <c r="E18" i="2" a="1"/>
  <c r="E18" i="2" s="1"/>
  <c r="EV3" i="2" s="1"/>
  <c r="F18" i="2" a="1"/>
  <c r="F18" i="2" s="1"/>
  <c r="EW3" i="2" s="1"/>
  <c r="G18" i="2" a="1"/>
  <c r="G18" i="2" s="1"/>
  <c r="EX3" i="2" s="1"/>
  <c r="H18" i="2" a="1"/>
  <c r="H18" i="2" s="1"/>
  <c r="EY3" i="2" s="1"/>
  <c r="I18" i="2" a="1"/>
  <c r="I18" i="2" s="1"/>
  <c r="EZ3" i="2" s="1"/>
  <c r="J18" i="2" a="1"/>
  <c r="J18" i="2" s="1"/>
  <c r="FA3" i="2" s="1"/>
  <c r="K18" i="2" a="1"/>
  <c r="K18" i="2" s="1"/>
  <c r="FB3" i="2" s="1"/>
  <c r="L18" i="2" a="1"/>
  <c r="L18" i="2" s="1"/>
  <c r="FC3" i="2" s="1"/>
  <c r="M18" i="2" a="1"/>
  <c r="M18" i="2" s="1"/>
  <c r="FD3" i="2" s="1"/>
  <c r="N18" i="2" a="1"/>
  <c r="N18" i="2" s="1"/>
  <c r="FE3" i="2" s="1"/>
  <c r="O18" i="2" a="1"/>
  <c r="O18" i="2" s="1"/>
  <c r="FF3" i="2" s="1"/>
  <c r="P18" i="2" a="1"/>
  <c r="P18" i="2" s="1"/>
  <c r="FG3" i="2" s="1"/>
  <c r="Q18" i="2" a="1"/>
  <c r="Q18" i="2" s="1"/>
  <c r="FH3" i="2" s="1"/>
  <c r="R18" i="2" a="1"/>
  <c r="R18" i="2" s="1"/>
  <c r="FI3" i="2" s="1"/>
  <c r="S18" i="2" a="1"/>
  <c r="S18" i="2" s="1"/>
  <c r="FJ3" i="2" s="1"/>
  <c r="T18" i="2" a="1"/>
  <c r="T18" i="2" s="1"/>
  <c r="FK3" i="2" s="1"/>
  <c r="Q5" i="6"/>
  <c r="P5" i="6"/>
  <c r="O5" i="6"/>
  <c r="N5" i="6"/>
  <c r="M5" i="6"/>
  <c r="I5" i="6"/>
  <c r="H5" i="6"/>
  <c r="G5" i="6"/>
  <c r="F5" i="6"/>
  <c r="E5" i="6"/>
  <c r="D5" i="6"/>
  <c r="C5" i="6"/>
  <c r="Q4" i="6"/>
  <c r="P4" i="6"/>
  <c r="O4" i="6"/>
  <c r="N4" i="6"/>
  <c r="M4" i="6"/>
  <c r="I4" i="6"/>
  <c r="H4" i="6"/>
  <c r="G4" i="6"/>
  <c r="F4" i="6"/>
  <c r="E4" i="6"/>
  <c r="D4" i="6"/>
  <c r="C4" i="6"/>
  <c r="Q3" i="6"/>
  <c r="P3" i="6"/>
  <c r="O3" i="6"/>
  <c r="N3" i="6"/>
  <c r="M3" i="6"/>
  <c r="I3" i="6"/>
  <c r="H3" i="6"/>
  <c r="G3" i="6"/>
  <c r="F3" i="6"/>
  <c r="E3" i="6"/>
  <c r="D3" i="6"/>
  <c r="C3" i="6"/>
  <c r="Q2" i="6"/>
  <c r="P2" i="6"/>
  <c r="O2" i="6"/>
  <c r="N2" i="6"/>
  <c r="M2" i="6"/>
  <c r="I2" i="6"/>
  <c r="H2" i="6"/>
  <c r="G2" i="6"/>
  <c r="F2" i="6"/>
  <c r="E2" i="6"/>
  <c r="D2" i="6"/>
  <c r="C2" i="6"/>
  <c r="P51" i="5"/>
  <c r="O51" i="5"/>
  <c r="P50" i="5"/>
  <c r="O50" i="5"/>
  <c r="P49" i="5"/>
  <c r="O49" i="5"/>
  <c r="P48" i="5"/>
  <c r="O48" i="5"/>
  <c r="N51" i="5"/>
  <c r="M51" i="5"/>
  <c r="L51" i="5"/>
  <c r="N50" i="5"/>
  <c r="M50" i="5"/>
  <c r="L50" i="5"/>
  <c r="N49" i="5"/>
  <c r="M49" i="5"/>
  <c r="L49" i="5"/>
  <c r="N48" i="5"/>
  <c r="M48" i="5"/>
  <c r="L48" i="5"/>
  <c r="H51" i="5"/>
  <c r="G51" i="5"/>
  <c r="H50" i="5"/>
  <c r="G50" i="5"/>
  <c r="H49" i="5"/>
  <c r="G49" i="5"/>
  <c r="H48" i="5"/>
  <c r="G48" i="5"/>
  <c r="F51" i="5"/>
  <c r="F50" i="5"/>
  <c r="F49" i="5"/>
  <c r="F48" i="5"/>
  <c r="E51" i="5"/>
  <c r="E50" i="5"/>
  <c r="E49" i="5"/>
  <c r="E48" i="5"/>
  <c r="D51" i="5"/>
  <c r="D50" i="5"/>
  <c r="D49" i="5"/>
  <c r="D48" i="5"/>
  <c r="C51" i="5"/>
  <c r="C50" i="5"/>
  <c r="C49" i="5"/>
  <c r="C48" i="5"/>
  <c r="B51" i="5"/>
  <c r="B50" i="5"/>
  <c r="B49" i="5"/>
  <c r="B48" i="5"/>
  <c r="EJ11" i="2" l="1"/>
  <c r="DY5" i="2"/>
  <c r="EB10" i="2"/>
  <c r="EG12" i="2"/>
  <c r="EH6" i="2"/>
  <c r="EN13" i="2"/>
  <c r="DX10" i="2"/>
  <c r="EC10" i="2"/>
  <c r="DY13" i="2"/>
  <c r="EF9" i="2"/>
  <c r="EI10" i="2"/>
  <c r="EC9" i="2"/>
  <c r="DY12" i="2"/>
  <c r="EF8" i="2"/>
  <c r="EI9" i="2"/>
  <c r="EA8" i="2"/>
  <c r="DY4" i="2"/>
  <c r="EG11" i="2"/>
  <c r="EN12" i="2"/>
  <c r="EK5" i="2"/>
  <c r="DZ8" i="2"/>
  <c r="EG4" i="2"/>
  <c r="EN5" i="2"/>
  <c r="EA9" i="2"/>
  <c r="EK13" i="2"/>
  <c r="EK4" i="2"/>
  <c r="DZ7" i="2"/>
  <c r="EH3" i="2"/>
  <c r="EN4" i="2"/>
  <c r="EK12" i="2"/>
  <c r="EJ3" i="2"/>
  <c r="EB11" i="2"/>
  <c r="EH7" i="2"/>
  <c r="EP11" i="2"/>
  <c r="EJ12" i="2"/>
  <c r="ED11" i="2"/>
  <c r="EM7" i="2"/>
  <c r="EL6" i="2"/>
  <c r="EJ4" i="2"/>
  <c r="ED3" i="2"/>
  <c r="DX9" i="2"/>
  <c r="EE13" i="2"/>
  <c r="EO7" i="2"/>
  <c r="EP10" i="2"/>
  <c r="EJ13" i="2"/>
  <c r="ED12" i="2"/>
  <c r="EC11" i="2"/>
  <c r="EA10" i="2"/>
  <c r="EM8" i="2"/>
  <c r="EL7" i="2"/>
  <c r="EK6" i="2"/>
  <c r="EJ5" i="2"/>
  <c r="ED4" i="2"/>
  <c r="EC3" i="2"/>
  <c r="DX8" i="2"/>
  <c r="DY11" i="2"/>
  <c r="DZ3" i="2"/>
  <c r="DZ6" i="2"/>
  <c r="EB9" i="2"/>
  <c r="EE12" i="2"/>
  <c r="EE4" i="2"/>
  <c r="EF7" i="2"/>
  <c r="EG10" i="2"/>
  <c r="EH13" i="2"/>
  <c r="EH5" i="2"/>
  <c r="EI8" i="2"/>
  <c r="EN11" i="2"/>
  <c r="EO3" i="2"/>
  <c r="EO6" i="2"/>
  <c r="EP9" i="2"/>
  <c r="EL13" i="2"/>
  <c r="EE3" i="2"/>
  <c r="EE6" i="2"/>
  <c r="EE5" i="2"/>
  <c r="ED13" i="2"/>
  <c r="EC12" i="2"/>
  <c r="EA11" i="2"/>
  <c r="EM9" i="2"/>
  <c r="EL8" i="2"/>
  <c r="EK7" i="2"/>
  <c r="EJ6" i="2"/>
  <c r="ED5" i="2"/>
  <c r="EC4" i="2"/>
  <c r="EA3" i="2"/>
  <c r="DX7" i="2"/>
  <c r="DY10" i="2"/>
  <c r="DZ13" i="2"/>
  <c r="DZ5" i="2"/>
  <c r="FP5" i="2" s="1"/>
  <c r="EB8" i="2"/>
  <c r="EE11" i="2"/>
  <c r="EF3" i="2"/>
  <c r="EF6" i="2"/>
  <c r="EG9" i="2"/>
  <c r="EH12" i="2"/>
  <c r="EH4" i="2"/>
  <c r="EI7" i="2"/>
  <c r="EN10" i="2"/>
  <c r="EO13" i="2"/>
  <c r="EO5" i="2"/>
  <c r="EP8" i="2"/>
  <c r="EM6" i="2"/>
  <c r="EC13" i="2"/>
  <c r="EA12" i="2"/>
  <c r="EM10" i="2"/>
  <c r="GC10" i="2" s="1"/>
  <c r="EL9" i="2"/>
  <c r="EK8" i="2"/>
  <c r="EJ7" i="2"/>
  <c r="ED6" i="2"/>
  <c r="EC5" i="2"/>
  <c r="EA4" i="2"/>
  <c r="DX6" i="2"/>
  <c r="DY9" i="2"/>
  <c r="DZ12" i="2"/>
  <c r="DZ4" i="2"/>
  <c r="EB7" i="2"/>
  <c r="EE10" i="2"/>
  <c r="EF13" i="2"/>
  <c r="EF5" i="2"/>
  <c r="EG8" i="2"/>
  <c r="EH11" i="2"/>
  <c r="EI3" i="2"/>
  <c r="EI6" i="2"/>
  <c r="EN9" i="2"/>
  <c r="EO12" i="2"/>
  <c r="EO4" i="2"/>
  <c r="EP7" i="2"/>
  <c r="ED10" i="2"/>
  <c r="EL5" i="2"/>
  <c r="EO8" i="2"/>
  <c r="EA13" i="2"/>
  <c r="EM11" i="2"/>
  <c r="EL10" i="2"/>
  <c r="EK9" i="2"/>
  <c r="EJ8" i="2"/>
  <c r="ED7" i="2"/>
  <c r="EC6" i="2"/>
  <c r="EA5" i="2"/>
  <c r="EM3" i="2"/>
  <c r="DX13" i="2"/>
  <c r="DX5" i="2"/>
  <c r="DY8" i="2"/>
  <c r="DZ11" i="2"/>
  <c r="EB3" i="2"/>
  <c r="FR3" i="2" s="1"/>
  <c r="EB6" i="2"/>
  <c r="EE9" i="2"/>
  <c r="EF12" i="2"/>
  <c r="EF4" i="2"/>
  <c r="EG7" i="2"/>
  <c r="EH10" i="2"/>
  <c r="EI13" i="2"/>
  <c r="EI5" i="2"/>
  <c r="FY5" i="2" s="1"/>
  <c r="EN8" i="2"/>
  <c r="EO11" i="2"/>
  <c r="EP3" i="2"/>
  <c r="EP6" i="2"/>
  <c r="EM12" i="2"/>
  <c r="EL11" i="2"/>
  <c r="EK10" i="2"/>
  <c r="EJ9" i="2"/>
  <c r="FZ9" i="2" s="1"/>
  <c r="ED8" i="2"/>
  <c r="EC7" i="2"/>
  <c r="EA6" i="2"/>
  <c r="EM4" i="2"/>
  <c r="EL3" i="2"/>
  <c r="DX12" i="2"/>
  <c r="DX4" i="2"/>
  <c r="DY7" i="2"/>
  <c r="FO7" i="2" s="1"/>
  <c r="DZ10" i="2"/>
  <c r="EB13" i="2"/>
  <c r="EB5" i="2"/>
  <c r="EE8" i="2"/>
  <c r="EF11" i="2"/>
  <c r="EG3" i="2"/>
  <c r="EG6" i="2"/>
  <c r="EH9" i="2"/>
  <c r="FX9" i="2" s="1"/>
  <c r="EI12" i="2"/>
  <c r="EI4" i="2"/>
  <c r="EN7" i="2"/>
  <c r="EO10" i="2"/>
  <c r="EP13" i="2"/>
  <c r="EP5" i="2"/>
  <c r="EM13" i="2"/>
  <c r="EL12" i="2"/>
  <c r="GB12" i="2" s="1"/>
  <c r="EK11" i="2"/>
  <c r="EJ10" i="2"/>
  <c r="ED9" i="2"/>
  <c r="EC8" i="2"/>
  <c r="EA7" i="2"/>
  <c r="EM5" i="2"/>
  <c r="EL4" i="2"/>
  <c r="EK3" i="2"/>
  <c r="GA3" i="2" s="1"/>
  <c r="DX11" i="2"/>
  <c r="DY3" i="2"/>
  <c r="DY6" i="2"/>
  <c r="DZ9" i="2"/>
  <c r="EB12" i="2"/>
  <c r="EB4" i="2"/>
  <c r="EE7" i="2"/>
  <c r="EF10" i="2"/>
  <c r="FV10" i="2" s="1"/>
  <c r="EG13" i="2"/>
  <c r="EG5" i="2"/>
  <c r="EH8" i="2"/>
  <c r="EI11" i="2"/>
  <c r="EN3" i="2"/>
  <c r="EN6" i="2"/>
  <c r="EO9" i="2"/>
  <c r="EP12" i="2"/>
  <c r="GF12" i="2" s="1"/>
  <c r="EP4" i="2"/>
  <c r="IO3" i="2"/>
  <c r="IG3" i="2"/>
  <c r="IF3" i="2"/>
  <c r="IB3" i="2"/>
  <c r="IN3" i="2"/>
  <c r="IM3" i="2"/>
  <c r="IE3" i="2"/>
  <c r="IJ3" i="2"/>
  <c r="IL3" i="2"/>
  <c r="ID3" i="2"/>
  <c r="HY3" i="2"/>
  <c r="IK3" i="2"/>
  <c r="IC3" i="2"/>
  <c r="IQ3" i="2"/>
  <c r="II3" i="2"/>
  <c r="IA3" i="2"/>
  <c r="IP3" i="2"/>
  <c r="IH3" i="2"/>
  <c r="HZ3" i="2"/>
  <c r="EV14" i="2"/>
  <c r="FH12" i="2"/>
  <c r="FG11" i="2"/>
  <c r="FF10" i="2"/>
  <c r="FE9" i="2"/>
  <c r="EY8" i="2"/>
  <c r="EX7" i="2"/>
  <c r="EV6" i="2"/>
  <c r="FH4" i="2"/>
  <c r="ES13" i="2"/>
  <c r="ES5" i="2"/>
  <c r="ET9" i="2"/>
  <c r="EU13" i="2"/>
  <c r="EU5" i="2"/>
  <c r="EW9" i="2"/>
  <c r="EZ13" i="2"/>
  <c r="EZ5" i="2"/>
  <c r="FA9" i="2"/>
  <c r="FB13" i="2"/>
  <c r="FB5" i="2"/>
  <c r="FC9" i="2"/>
  <c r="FD13" i="2"/>
  <c r="FD5" i="2"/>
  <c r="FI9" i="2"/>
  <c r="FJ13" i="2"/>
  <c r="FJ5" i="2"/>
  <c r="FK9" i="2"/>
  <c r="FH13" i="2"/>
  <c r="FG12" i="2"/>
  <c r="FF11" i="2"/>
  <c r="FE10" i="2"/>
  <c r="EY9" i="2"/>
  <c r="EX8" i="2"/>
  <c r="EV7" i="2"/>
  <c r="FH5" i="2"/>
  <c r="FG4" i="2"/>
  <c r="ES12" i="2"/>
  <c r="ES4" i="2"/>
  <c r="ET8" i="2"/>
  <c r="EU12" i="2"/>
  <c r="EU4" i="2"/>
  <c r="EW8" i="2"/>
  <c r="EZ12" i="2"/>
  <c r="EZ4" i="2"/>
  <c r="FA8" i="2"/>
  <c r="FB12" i="2"/>
  <c r="FB4" i="2"/>
  <c r="FC8" i="2"/>
  <c r="FD12" i="2"/>
  <c r="FD4" i="2"/>
  <c r="FI8" i="2"/>
  <c r="FJ12" i="2"/>
  <c r="FJ4" i="2"/>
  <c r="FK8" i="2"/>
  <c r="FH14" i="2"/>
  <c r="FG13" i="2"/>
  <c r="FF12" i="2"/>
  <c r="FE11" i="2"/>
  <c r="EY10" i="2"/>
  <c r="EX9" i="2"/>
  <c r="EV8" i="2"/>
  <c r="FH6" i="2"/>
  <c r="FG5" i="2"/>
  <c r="FF4" i="2"/>
  <c r="ES11" i="2"/>
  <c r="ET7" i="2"/>
  <c r="EU11" i="2"/>
  <c r="EW7" i="2"/>
  <c r="EZ11" i="2"/>
  <c r="FA7" i="2"/>
  <c r="FB11" i="2"/>
  <c r="FC7" i="2"/>
  <c r="FD11" i="2"/>
  <c r="FI7" i="2"/>
  <c r="FJ11" i="2"/>
  <c r="FK7" i="2"/>
  <c r="FG14" i="2"/>
  <c r="FF13" i="2"/>
  <c r="FE12" i="2"/>
  <c r="EY11" i="2"/>
  <c r="EX10" i="2"/>
  <c r="EV9" i="2"/>
  <c r="FH7" i="2"/>
  <c r="FG6" i="2"/>
  <c r="FF5" i="2"/>
  <c r="FE4" i="2"/>
  <c r="ES10" i="2"/>
  <c r="ET14" i="2"/>
  <c r="ET6" i="2"/>
  <c r="EU10" i="2"/>
  <c r="EW14" i="2"/>
  <c r="EW6" i="2"/>
  <c r="EZ10" i="2"/>
  <c r="FA14" i="2"/>
  <c r="FA6" i="2"/>
  <c r="FB10" i="2"/>
  <c r="FC14" i="2"/>
  <c r="FC6" i="2"/>
  <c r="FD10" i="2"/>
  <c r="FI14" i="2"/>
  <c r="FI6" i="2"/>
  <c r="FJ10" i="2"/>
  <c r="FK14" i="2"/>
  <c r="FK6" i="2"/>
  <c r="FF14" i="2"/>
  <c r="FE13" i="2"/>
  <c r="EY12" i="2"/>
  <c r="EX11" i="2"/>
  <c r="EV10" i="2"/>
  <c r="FH8" i="2"/>
  <c r="FG7" i="2"/>
  <c r="FF6" i="2"/>
  <c r="FE5" i="2"/>
  <c r="EY4" i="2"/>
  <c r="ES9" i="2"/>
  <c r="ET13" i="2"/>
  <c r="ET5" i="2"/>
  <c r="EU9" i="2"/>
  <c r="EW13" i="2"/>
  <c r="EW5" i="2"/>
  <c r="EZ9" i="2"/>
  <c r="FA13" i="2"/>
  <c r="FA5" i="2"/>
  <c r="FB9" i="2"/>
  <c r="FC13" i="2"/>
  <c r="FC5" i="2"/>
  <c r="FD9" i="2"/>
  <c r="FI13" i="2"/>
  <c r="FI5" i="2"/>
  <c r="FJ9" i="2"/>
  <c r="FK13" i="2"/>
  <c r="FK5" i="2"/>
  <c r="FE14" i="2"/>
  <c r="EY13" i="2"/>
  <c r="EX12" i="2"/>
  <c r="EV11" i="2"/>
  <c r="FH9" i="2"/>
  <c r="FG8" i="2"/>
  <c r="FF7" i="2"/>
  <c r="FE6" i="2"/>
  <c r="EY5" i="2"/>
  <c r="EX4" i="2"/>
  <c r="ES8" i="2"/>
  <c r="ET12" i="2"/>
  <c r="ET4" i="2"/>
  <c r="EU8" i="2"/>
  <c r="EW12" i="2"/>
  <c r="EW4" i="2"/>
  <c r="EZ8" i="2"/>
  <c r="FA12" i="2"/>
  <c r="FA4" i="2"/>
  <c r="FB8" i="2"/>
  <c r="FC12" i="2"/>
  <c r="FC4" i="2"/>
  <c r="FD8" i="2"/>
  <c r="FI12" i="2"/>
  <c r="FI4" i="2"/>
  <c r="FJ8" i="2"/>
  <c r="FK12" i="2"/>
  <c r="FK4" i="2"/>
  <c r="EY14" i="2"/>
  <c r="EX13" i="2"/>
  <c r="EV12" i="2"/>
  <c r="FH10" i="2"/>
  <c r="FG9" i="2"/>
  <c r="FF8" i="2"/>
  <c r="FE7" i="2"/>
  <c r="EY6" i="2"/>
  <c r="EX5" i="2"/>
  <c r="EV4" i="2"/>
  <c r="ES7" i="2"/>
  <c r="ET11" i="2"/>
  <c r="EU7" i="2"/>
  <c r="EW11" i="2"/>
  <c r="EZ7" i="2"/>
  <c r="FA11" i="2"/>
  <c r="FB7" i="2"/>
  <c r="FC11" i="2"/>
  <c r="FD7" i="2"/>
  <c r="FI11" i="2"/>
  <c r="FJ7" i="2"/>
  <c r="FK11" i="2"/>
  <c r="EX14" i="2"/>
  <c r="EV13" i="2"/>
  <c r="FH11" i="2"/>
  <c r="FG10" i="2"/>
  <c r="FF9" i="2"/>
  <c r="FE8" i="2"/>
  <c r="EY7" i="2"/>
  <c r="EX6" i="2"/>
  <c r="EV5" i="2"/>
  <c r="ES14" i="2"/>
  <c r="ES6" i="2"/>
  <c r="ET10" i="2"/>
  <c r="EU14" i="2"/>
  <c r="EU6" i="2"/>
  <c r="EW10" i="2"/>
  <c r="EZ14" i="2"/>
  <c r="EZ6" i="2"/>
  <c r="FA10" i="2"/>
  <c r="FB14" i="2"/>
  <c r="FB6" i="2"/>
  <c r="FC10" i="2"/>
  <c r="FD14" i="2"/>
  <c r="FD6" i="2"/>
  <c r="FI10" i="2"/>
  <c r="FJ14" i="2"/>
  <c r="FJ6" i="2"/>
  <c r="FK10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B7" i="2"/>
  <c r="N48" i="8"/>
  <c r="O48" i="8"/>
  <c r="P48" i="8"/>
  <c r="Q48" i="8"/>
  <c r="N49" i="8"/>
  <c r="O49" i="8"/>
  <c r="P49" i="8"/>
  <c r="Q49" i="8"/>
  <c r="N50" i="8"/>
  <c r="O50" i="8"/>
  <c r="P50" i="8"/>
  <c r="Q50" i="8"/>
  <c r="N51" i="8"/>
  <c r="O51" i="8"/>
  <c r="P51" i="8"/>
  <c r="Q51" i="8"/>
  <c r="N52" i="8"/>
  <c r="O52" i="8"/>
  <c r="P52" i="8"/>
  <c r="Q52" i="8"/>
  <c r="N53" i="8"/>
  <c r="O53" i="8"/>
  <c r="P53" i="8"/>
  <c r="Q53" i="8"/>
  <c r="N54" i="8"/>
  <c r="O54" i="8"/>
  <c r="P54" i="8"/>
  <c r="Q54" i="8"/>
  <c r="N55" i="8"/>
  <c r="O55" i="8"/>
  <c r="P55" i="8"/>
  <c r="Q55" i="8"/>
  <c r="N56" i="8"/>
  <c r="O56" i="8"/>
  <c r="P56" i="8"/>
  <c r="Q56" i="8"/>
  <c r="N57" i="8"/>
  <c r="O57" i="8"/>
  <c r="P57" i="8"/>
  <c r="Q57" i="8"/>
  <c r="N58" i="8"/>
  <c r="O58" i="8"/>
  <c r="P58" i="8"/>
  <c r="Q58" i="8"/>
  <c r="N59" i="8"/>
  <c r="O59" i="8"/>
  <c r="P59" i="8"/>
  <c r="Q59" i="8"/>
  <c r="N60" i="8"/>
  <c r="O60" i="8"/>
  <c r="P60" i="8"/>
  <c r="Q60" i="8"/>
  <c r="N61" i="8"/>
  <c r="O61" i="8"/>
  <c r="P61" i="8"/>
  <c r="Q61" i="8"/>
  <c r="N62" i="8"/>
  <c r="O62" i="8"/>
  <c r="P62" i="8"/>
  <c r="Q62" i="8"/>
  <c r="S62" i="8"/>
  <c r="N63" i="8"/>
  <c r="O63" i="8"/>
  <c r="P63" i="8"/>
  <c r="Q63" i="8"/>
  <c r="N64" i="8"/>
  <c r="O64" i="8"/>
  <c r="P64" i="8"/>
  <c r="Q64" i="8"/>
  <c r="N65" i="8"/>
  <c r="O65" i="8"/>
  <c r="P65" i="8"/>
  <c r="Q65" i="8"/>
  <c r="N66" i="8"/>
  <c r="O66" i="8"/>
  <c r="P66" i="8"/>
  <c r="Q66" i="8"/>
  <c r="N67" i="8"/>
  <c r="O67" i="8"/>
  <c r="P67" i="8"/>
  <c r="Q67" i="8"/>
  <c r="S67" i="8"/>
  <c r="N68" i="8"/>
  <c r="O68" i="8"/>
  <c r="P68" i="8"/>
  <c r="Q68" i="8"/>
  <c r="N69" i="8"/>
  <c r="O69" i="8"/>
  <c r="P69" i="8"/>
  <c r="Q69" i="8"/>
  <c r="N70" i="8"/>
  <c r="O70" i="8"/>
  <c r="P70" i="8"/>
  <c r="Q70" i="8"/>
  <c r="N71" i="8"/>
  <c r="O71" i="8"/>
  <c r="P71" i="8"/>
  <c r="Q71" i="8"/>
  <c r="N72" i="8"/>
  <c r="O72" i="8"/>
  <c r="P72" i="8"/>
  <c r="Q72" i="8"/>
  <c r="N73" i="8"/>
  <c r="O73" i="8"/>
  <c r="P73" i="8"/>
  <c r="Q73" i="8"/>
  <c r="N74" i="8"/>
  <c r="O74" i="8"/>
  <c r="P74" i="8"/>
  <c r="Q74" i="8"/>
  <c r="T74" i="8"/>
  <c r="N75" i="8"/>
  <c r="O75" i="8"/>
  <c r="P75" i="8"/>
  <c r="Q75" i="8"/>
  <c r="N76" i="8"/>
  <c r="O76" i="8"/>
  <c r="P76" i="8"/>
  <c r="Q76" i="8"/>
  <c r="N77" i="8"/>
  <c r="O77" i="8"/>
  <c r="P77" i="8"/>
  <c r="Q77" i="8"/>
  <c r="N78" i="8"/>
  <c r="O78" i="8"/>
  <c r="P78" i="8"/>
  <c r="Q78" i="8"/>
  <c r="N79" i="8"/>
  <c r="O79" i="8"/>
  <c r="P79" i="8"/>
  <c r="Q79" i="8"/>
  <c r="N80" i="8"/>
  <c r="O80" i="8"/>
  <c r="P80" i="8"/>
  <c r="Q80" i="8"/>
  <c r="R80" i="8"/>
  <c r="N81" i="8"/>
  <c r="O81" i="8"/>
  <c r="P81" i="8"/>
  <c r="Q81" i="8"/>
  <c r="N82" i="8"/>
  <c r="O82" i="8"/>
  <c r="P82" i="8"/>
  <c r="Q82" i="8"/>
  <c r="N83" i="8"/>
  <c r="O83" i="8"/>
  <c r="P83" i="8"/>
  <c r="Q83" i="8"/>
  <c r="N84" i="8"/>
  <c r="O84" i="8"/>
  <c r="P84" i="8"/>
  <c r="Q84" i="8"/>
  <c r="N85" i="8"/>
  <c r="O85" i="8"/>
  <c r="P85" i="8"/>
  <c r="Q85" i="8"/>
  <c r="N86" i="8"/>
  <c r="O86" i="8"/>
  <c r="P86" i="8"/>
  <c r="Q86" i="8"/>
  <c r="N87" i="8"/>
  <c r="O87" i="8"/>
  <c r="P87" i="8"/>
  <c r="Q87" i="8"/>
  <c r="T87" i="8"/>
  <c r="H88" i="8"/>
  <c r="N88" i="8"/>
  <c r="O88" i="8"/>
  <c r="P88" i="8"/>
  <c r="Q88" i="8"/>
  <c r="N89" i="8"/>
  <c r="O89" i="8"/>
  <c r="P89" i="8"/>
  <c r="Q89" i="8"/>
  <c r="N90" i="8"/>
  <c r="O90" i="8"/>
  <c r="P90" i="8"/>
  <c r="Q90" i="8"/>
  <c r="G91" i="8"/>
  <c r="N91" i="8"/>
  <c r="O91" i="8"/>
  <c r="P91" i="8"/>
  <c r="Q91" i="8"/>
  <c r="T3" i="8"/>
  <c r="T49" i="8" s="1"/>
  <c r="T4" i="8"/>
  <c r="T50" i="8" s="1"/>
  <c r="T5" i="8"/>
  <c r="T51" i="8" s="1"/>
  <c r="T6" i="8"/>
  <c r="T52" i="8" s="1"/>
  <c r="T7" i="8"/>
  <c r="T53" i="8" s="1"/>
  <c r="T8" i="8"/>
  <c r="T54" i="8" s="1"/>
  <c r="T9" i="8"/>
  <c r="T55" i="8" s="1"/>
  <c r="T10" i="8"/>
  <c r="T56" i="8" s="1"/>
  <c r="T11" i="8"/>
  <c r="T57" i="8" s="1"/>
  <c r="T12" i="8"/>
  <c r="T58" i="8" s="1"/>
  <c r="T13" i="8"/>
  <c r="T59" i="8" s="1"/>
  <c r="T14" i="8"/>
  <c r="T60" i="8" s="1"/>
  <c r="T15" i="8"/>
  <c r="T61" i="8" s="1"/>
  <c r="T16" i="8"/>
  <c r="T62" i="8" s="1"/>
  <c r="T17" i="8"/>
  <c r="T63" i="8" s="1"/>
  <c r="T18" i="8"/>
  <c r="T64" i="8" s="1"/>
  <c r="T19" i="8"/>
  <c r="T65" i="8" s="1"/>
  <c r="T20" i="8"/>
  <c r="T66" i="8" s="1"/>
  <c r="T21" i="8"/>
  <c r="T67" i="8" s="1"/>
  <c r="T22" i="8"/>
  <c r="T68" i="8" s="1"/>
  <c r="T23" i="8"/>
  <c r="T69" i="8" s="1"/>
  <c r="T24" i="8"/>
  <c r="T70" i="8" s="1"/>
  <c r="T25" i="8"/>
  <c r="T71" i="8" s="1"/>
  <c r="T26" i="8"/>
  <c r="T72" i="8" s="1"/>
  <c r="T27" i="8"/>
  <c r="T73" i="8" s="1"/>
  <c r="T28" i="8"/>
  <c r="T29" i="8"/>
  <c r="T75" i="8" s="1"/>
  <c r="T30" i="8"/>
  <c r="T76" i="8" s="1"/>
  <c r="T31" i="8"/>
  <c r="T77" i="8" s="1"/>
  <c r="T32" i="8"/>
  <c r="T78" i="8" s="1"/>
  <c r="T33" i="8"/>
  <c r="T79" i="8" s="1"/>
  <c r="T34" i="8"/>
  <c r="T80" i="8" s="1"/>
  <c r="T35" i="8"/>
  <c r="T81" i="8" s="1"/>
  <c r="T36" i="8"/>
  <c r="T82" i="8" s="1"/>
  <c r="T37" i="8"/>
  <c r="T83" i="8" s="1"/>
  <c r="T38" i="8"/>
  <c r="T84" i="8" s="1"/>
  <c r="T39" i="8"/>
  <c r="T85" i="8" s="1"/>
  <c r="T40" i="8"/>
  <c r="T86" i="8" s="1"/>
  <c r="T41" i="8"/>
  <c r="T42" i="8"/>
  <c r="T88" i="8" s="1"/>
  <c r="T43" i="8"/>
  <c r="T89" i="8" s="1"/>
  <c r="T44" i="8"/>
  <c r="T90" i="8" s="1"/>
  <c r="T45" i="8"/>
  <c r="T91" i="8" s="1"/>
  <c r="T2" i="8"/>
  <c r="T48" i="8" s="1"/>
  <c r="S3" i="8"/>
  <c r="S49" i="8" s="1"/>
  <c r="S4" i="8"/>
  <c r="S50" i="8" s="1"/>
  <c r="S5" i="8"/>
  <c r="S51" i="8" s="1"/>
  <c r="S6" i="8"/>
  <c r="S52" i="8" s="1"/>
  <c r="S7" i="8"/>
  <c r="S53" i="8" s="1"/>
  <c r="S8" i="8"/>
  <c r="S54" i="8" s="1"/>
  <c r="S9" i="8"/>
  <c r="S55" i="8" s="1"/>
  <c r="S10" i="8"/>
  <c r="S56" i="8" s="1"/>
  <c r="S11" i="8"/>
  <c r="S57" i="8" s="1"/>
  <c r="S12" i="8"/>
  <c r="S58" i="8" s="1"/>
  <c r="S13" i="8"/>
  <c r="S59" i="8" s="1"/>
  <c r="S14" i="8"/>
  <c r="S60" i="8" s="1"/>
  <c r="S15" i="8"/>
  <c r="S61" i="8" s="1"/>
  <c r="S16" i="8"/>
  <c r="S17" i="8"/>
  <c r="S63" i="8" s="1"/>
  <c r="S18" i="8"/>
  <c r="S64" i="8" s="1"/>
  <c r="S19" i="8"/>
  <c r="S65" i="8" s="1"/>
  <c r="S20" i="8"/>
  <c r="S66" i="8" s="1"/>
  <c r="S21" i="8"/>
  <c r="S22" i="8"/>
  <c r="S68" i="8" s="1"/>
  <c r="S23" i="8"/>
  <c r="S69" i="8" s="1"/>
  <c r="S24" i="8"/>
  <c r="S70" i="8" s="1"/>
  <c r="S25" i="8"/>
  <c r="S71" i="8" s="1"/>
  <c r="S26" i="8"/>
  <c r="S72" i="8" s="1"/>
  <c r="S27" i="8"/>
  <c r="S73" i="8" s="1"/>
  <c r="S28" i="8"/>
  <c r="S74" i="8" s="1"/>
  <c r="S29" i="8"/>
  <c r="S75" i="8" s="1"/>
  <c r="S30" i="8"/>
  <c r="S76" i="8" s="1"/>
  <c r="S31" i="8"/>
  <c r="S77" i="8" s="1"/>
  <c r="S32" i="8"/>
  <c r="S78" i="8" s="1"/>
  <c r="S33" i="8"/>
  <c r="S79" i="8" s="1"/>
  <c r="S34" i="8"/>
  <c r="S80" i="8" s="1"/>
  <c r="S35" i="8"/>
  <c r="S81" i="8" s="1"/>
  <c r="S36" i="8"/>
  <c r="S82" i="8" s="1"/>
  <c r="S37" i="8"/>
  <c r="S83" i="8" s="1"/>
  <c r="S38" i="8"/>
  <c r="S84" i="8" s="1"/>
  <c r="S39" i="8"/>
  <c r="S85" i="8" s="1"/>
  <c r="S40" i="8"/>
  <c r="S86" i="8" s="1"/>
  <c r="S41" i="8"/>
  <c r="S87" i="8" s="1"/>
  <c r="S42" i="8"/>
  <c r="S88" i="8" s="1"/>
  <c r="S43" i="8"/>
  <c r="S89" i="8" s="1"/>
  <c r="S44" i="8"/>
  <c r="S90" i="8" s="1"/>
  <c r="S45" i="8"/>
  <c r="S91" i="8" s="1"/>
  <c r="S2" i="8"/>
  <c r="S48" i="8" s="1"/>
  <c r="R3" i="8"/>
  <c r="R49" i="8" s="1"/>
  <c r="R4" i="8"/>
  <c r="R50" i="8" s="1"/>
  <c r="R5" i="8"/>
  <c r="R51" i="8" s="1"/>
  <c r="R6" i="8"/>
  <c r="R52" i="8" s="1"/>
  <c r="R7" i="8"/>
  <c r="R53" i="8" s="1"/>
  <c r="R8" i="8"/>
  <c r="R54" i="8" s="1"/>
  <c r="R9" i="8"/>
  <c r="R55" i="8" s="1"/>
  <c r="R10" i="8"/>
  <c r="R56" i="8" s="1"/>
  <c r="R11" i="8"/>
  <c r="R57" i="8" s="1"/>
  <c r="R12" i="8"/>
  <c r="R58" i="8" s="1"/>
  <c r="R13" i="8"/>
  <c r="R59" i="8" s="1"/>
  <c r="R14" i="8"/>
  <c r="R60" i="8" s="1"/>
  <c r="R15" i="8"/>
  <c r="R61" i="8" s="1"/>
  <c r="R16" i="8"/>
  <c r="R62" i="8" s="1"/>
  <c r="R17" i="8"/>
  <c r="R63" i="8" s="1"/>
  <c r="R18" i="8"/>
  <c r="R64" i="8" s="1"/>
  <c r="R19" i="8"/>
  <c r="R65" i="8" s="1"/>
  <c r="R20" i="8"/>
  <c r="R66" i="8" s="1"/>
  <c r="R21" i="8"/>
  <c r="R67" i="8" s="1"/>
  <c r="R22" i="8"/>
  <c r="R68" i="8" s="1"/>
  <c r="R23" i="8"/>
  <c r="R69" i="8" s="1"/>
  <c r="R24" i="8"/>
  <c r="R70" i="8" s="1"/>
  <c r="R25" i="8"/>
  <c r="R71" i="8" s="1"/>
  <c r="R26" i="8"/>
  <c r="R72" i="8" s="1"/>
  <c r="R27" i="8"/>
  <c r="R73" i="8" s="1"/>
  <c r="R28" i="8"/>
  <c r="R74" i="8" s="1"/>
  <c r="R29" i="8"/>
  <c r="R75" i="8" s="1"/>
  <c r="R30" i="8"/>
  <c r="R76" i="8" s="1"/>
  <c r="R31" i="8"/>
  <c r="R77" i="8" s="1"/>
  <c r="R32" i="8"/>
  <c r="R78" i="8" s="1"/>
  <c r="R33" i="8"/>
  <c r="R79" i="8" s="1"/>
  <c r="R34" i="8"/>
  <c r="R35" i="8"/>
  <c r="R81" i="8" s="1"/>
  <c r="R36" i="8"/>
  <c r="R82" i="8" s="1"/>
  <c r="R37" i="8"/>
  <c r="R83" i="8" s="1"/>
  <c r="R38" i="8"/>
  <c r="R84" i="8" s="1"/>
  <c r="R39" i="8"/>
  <c r="R85" i="8" s="1"/>
  <c r="R40" i="8"/>
  <c r="R86" i="8" s="1"/>
  <c r="R41" i="8"/>
  <c r="R87" i="8" s="1"/>
  <c r="R42" i="8"/>
  <c r="R88" i="8" s="1"/>
  <c r="R43" i="8"/>
  <c r="R89" i="8" s="1"/>
  <c r="R44" i="8"/>
  <c r="R90" i="8" s="1"/>
  <c r="R45" i="8"/>
  <c r="R91" i="8" s="1"/>
  <c r="R2" i="8"/>
  <c r="R48" i="8" s="1"/>
  <c r="P45" i="8"/>
  <c r="O45" i="8"/>
  <c r="N45" i="8"/>
  <c r="H45" i="8"/>
  <c r="H91" i="8" s="1"/>
  <c r="G45" i="8"/>
  <c r="E45" i="8"/>
  <c r="E91" i="8" s="1"/>
  <c r="P44" i="8"/>
  <c r="O44" i="8"/>
  <c r="N44" i="8"/>
  <c r="H44" i="8"/>
  <c r="H90" i="8" s="1"/>
  <c r="G44" i="8"/>
  <c r="G90" i="8" s="1"/>
  <c r="E44" i="8"/>
  <c r="E90" i="8" s="1"/>
  <c r="P43" i="8"/>
  <c r="O43" i="8"/>
  <c r="N43" i="8"/>
  <c r="H43" i="8"/>
  <c r="H89" i="8" s="1"/>
  <c r="G43" i="8"/>
  <c r="G89" i="8" s="1"/>
  <c r="E43" i="8"/>
  <c r="E89" i="8" s="1"/>
  <c r="P42" i="8"/>
  <c r="O42" i="8"/>
  <c r="N42" i="8"/>
  <c r="H42" i="8"/>
  <c r="G42" i="8"/>
  <c r="G88" i="8" s="1"/>
  <c r="E42" i="8"/>
  <c r="E88" i="8" s="1"/>
  <c r="P41" i="8"/>
  <c r="O41" i="8"/>
  <c r="N41" i="8"/>
  <c r="H41" i="8"/>
  <c r="H87" i="8" s="1"/>
  <c r="G41" i="8"/>
  <c r="G87" i="8" s="1"/>
  <c r="E41" i="8"/>
  <c r="E87" i="8" s="1"/>
  <c r="P40" i="8"/>
  <c r="O40" i="8"/>
  <c r="N40" i="8"/>
  <c r="H40" i="8"/>
  <c r="H86" i="8" s="1"/>
  <c r="G40" i="8"/>
  <c r="G86" i="8" s="1"/>
  <c r="E40" i="8"/>
  <c r="E86" i="8" s="1"/>
  <c r="P39" i="8"/>
  <c r="O39" i="8"/>
  <c r="N39" i="8"/>
  <c r="H39" i="8"/>
  <c r="H85" i="8" s="1"/>
  <c r="G39" i="8"/>
  <c r="G85" i="8" s="1"/>
  <c r="E39" i="8"/>
  <c r="E85" i="8" s="1"/>
  <c r="P38" i="8"/>
  <c r="O38" i="8"/>
  <c r="N38" i="8"/>
  <c r="H38" i="8"/>
  <c r="H84" i="8" s="1"/>
  <c r="G38" i="8"/>
  <c r="G84" i="8" s="1"/>
  <c r="E38" i="8"/>
  <c r="E84" i="8" s="1"/>
  <c r="P37" i="8"/>
  <c r="O37" i="8"/>
  <c r="N37" i="8"/>
  <c r="H37" i="8"/>
  <c r="H83" i="8" s="1"/>
  <c r="G37" i="8"/>
  <c r="G83" i="8" s="1"/>
  <c r="E37" i="8"/>
  <c r="E83" i="8" s="1"/>
  <c r="P36" i="8"/>
  <c r="O36" i="8"/>
  <c r="N36" i="8"/>
  <c r="H36" i="8"/>
  <c r="H82" i="8" s="1"/>
  <c r="G36" i="8"/>
  <c r="G82" i="8" s="1"/>
  <c r="E36" i="8"/>
  <c r="E82" i="8" s="1"/>
  <c r="P35" i="8"/>
  <c r="O35" i="8"/>
  <c r="N35" i="8"/>
  <c r="H35" i="8"/>
  <c r="H81" i="8" s="1"/>
  <c r="G35" i="8"/>
  <c r="G81" i="8" s="1"/>
  <c r="E35" i="8"/>
  <c r="E81" i="8" s="1"/>
  <c r="P34" i="8"/>
  <c r="O34" i="8"/>
  <c r="N34" i="8"/>
  <c r="H34" i="8"/>
  <c r="H80" i="8" s="1"/>
  <c r="G34" i="8"/>
  <c r="G80" i="8" s="1"/>
  <c r="E34" i="8"/>
  <c r="E80" i="8" s="1"/>
  <c r="P33" i="8"/>
  <c r="O33" i="8"/>
  <c r="N33" i="8"/>
  <c r="H33" i="8"/>
  <c r="H79" i="8" s="1"/>
  <c r="G33" i="8"/>
  <c r="G79" i="8" s="1"/>
  <c r="E33" i="8"/>
  <c r="E79" i="8" s="1"/>
  <c r="P32" i="8"/>
  <c r="O32" i="8"/>
  <c r="N32" i="8"/>
  <c r="H32" i="8"/>
  <c r="H78" i="8" s="1"/>
  <c r="G32" i="8"/>
  <c r="G78" i="8" s="1"/>
  <c r="E32" i="8"/>
  <c r="E78" i="8" s="1"/>
  <c r="P31" i="8"/>
  <c r="O31" i="8"/>
  <c r="N31" i="8"/>
  <c r="H31" i="8"/>
  <c r="H77" i="8" s="1"/>
  <c r="G31" i="8"/>
  <c r="G77" i="8" s="1"/>
  <c r="E31" i="8"/>
  <c r="E77" i="8" s="1"/>
  <c r="P30" i="8"/>
  <c r="O30" i="8"/>
  <c r="N30" i="8"/>
  <c r="H30" i="8"/>
  <c r="H76" i="8" s="1"/>
  <c r="G30" i="8"/>
  <c r="G76" i="8" s="1"/>
  <c r="E30" i="8"/>
  <c r="E76" i="8" s="1"/>
  <c r="P29" i="8"/>
  <c r="O29" i="8"/>
  <c r="N29" i="8"/>
  <c r="H29" i="8"/>
  <c r="H75" i="8" s="1"/>
  <c r="G29" i="8"/>
  <c r="G75" i="8" s="1"/>
  <c r="E29" i="8"/>
  <c r="E75" i="8" s="1"/>
  <c r="P28" i="8"/>
  <c r="O28" i="8"/>
  <c r="N28" i="8"/>
  <c r="H28" i="8"/>
  <c r="H74" i="8" s="1"/>
  <c r="G28" i="8"/>
  <c r="G74" i="8" s="1"/>
  <c r="E28" i="8"/>
  <c r="E74" i="8" s="1"/>
  <c r="P27" i="8"/>
  <c r="O27" i="8"/>
  <c r="N27" i="8"/>
  <c r="H27" i="8"/>
  <c r="H73" i="8" s="1"/>
  <c r="G27" i="8"/>
  <c r="G73" i="8" s="1"/>
  <c r="E27" i="8"/>
  <c r="E73" i="8" s="1"/>
  <c r="P26" i="8"/>
  <c r="O26" i="8"/>
  <c r="N26" i="8"/>
  <c r="H26" i="8"/>
  <c r="H72" i="8" s="1"/>
  <c r="G26" i="8"/>
  <c r="G72" i="8" s="1"/>
  <c r="E26" i="8"/>
  <c r="E72" i="8" s="1"/>
  <c r="P25" i="8"/>
  <c r="O25" i="8"/>
  <c r="N25" i="8"/>
  <c r="H25" i="8"/>
  <c r="H71" i="8" s="1"/>
  <c r="G25" i="8"/>
  <c r="G71" i="8" s="1"/>
  <c r="E25" i="8"/>
  <c r="E71" i="8" s="1"/>
  <c r="P24" i="8"/>
  <c r="O24" i="8"/>
  <c r="N24" i="8"/>
  <c r="H24" i="8"/>
  <c r="H70" i="8" s="1"/>
  <c r="G24" i="8"/>
  <c r="G70" i="8" s="1"/>
  <c r="E24" i="8"/>
  <c r="E70" i="8" s="1"/>
  <c r="P23" i="8"/>
  <c r="O23" i="8"/>
  <c r="N23" i="8"/>
  <c r="H23" i="8"/>
  <c r="H69" i="8" s="1"/>
  <c r="G23" i="8"/>
  <c r="G69" i="8" s="1"/>
  <c r="E23" i="8"/>
  <c r="E69" i="8" s="1"/>
  <c r="P22" i="8"/>
  <c r="O22" i="8"/>
  <c r="N22" i="8"/>
  <c r="H22" i="8"/>
  <c r="H68" i="8" s="1"/>
  <c r="G22" i="8"/>
  <c r="G68" i="8" s="1"/>
  <c r="E22" i="8"/>
  <c r="E68" i="8" s="1"/>
  <c r="P21" i="8"/>
  <c r="O21" i="8"/>
  <c r="N21" i="8"/>
  <c r="H21" i="8"/>
  <c r="H67" i="8" s="1"/>
  <c r="G21" i="8"/>
  <c r="G67" i="8" s="1"/>
  <c r="E21" i="8"/>
  <c r="E67" i="8" s="1"/>
  <c r="P20" i="8"/>
  <c r="O20" i="8"/>
  <c r="N20" i="8"/>
  <c r="H20" i="8"/>
  <c r="H66" i="8" s="1"/>
  <c r="G20" i="8"/>
  <c r="G66" i="8" s="1"/>
  <c r="E20" i="8"/>
  <c r="E66" i="8" s="1"/>
  <c r="P19" i="8"/>
  <c r="O19" i="8"/>
  <c r="N19" i="8"/>
  <c r="H19" i="8"/>
  <c r="H65" i="8" s="1"/>
  <c r="G19" i="8"/>
  <c r="G65" i="8" s="1"/>
  <c r="E19" i="8"/>
  <c r="E65" i="8" s="1"/>
  <c r="P18" i="8"/>
  <c r="O18" i="8"/>
  <c r="N18" i="8"/>
  <c r="H18" i="8"/>
  <c r="H64" i="8" s="1"/>
  <c r="G18" i="8"/>
  <c r="G64" i="8" s="1"/>
  <c r="E18" i="8"/>
  <c r="E64" i="8" s="1"/>
  <c r="P17" i="8"/>
  <c r="O17" i="8"/>
  <c r="N17" i="8"/>
  <c r="H17" i="8"/>
  <c r="H63" i="8" s="1"/>
  <c r="G17" i="8"/>
  <c r="G63" i="8" s="1"/>
  <c r="E17" i="8"/>
  <c r="E63" i="8" s="1"/>
  <c r="P16" i="8"/>
  <c r="O16" i="8"/>
  <c r="N16" i="8"/>
  <c r="H16" i="8"/>
  <c r="H62" i="8" s="1"/>
  <c r="G16" i="8"/>
  <c r="G62" i="8" s="1"/>
  <c r="E16" i="8"/>
  <c r="E62" i="8" s="1"/>
  <c r="P15" i="8"/>
  <c r="O15" i="8"/>
  <c r="N15" i="8"/>
  <c r="H15" i="8"/>
  <c r="H61" i="8" s="1"/>
  <c r="G15" i="8"/>
  <c r="G61" i="8" s="1"/>
  <c r="E15" i="8"/>
  <c r="E61" i="8" s="1"/>
  <c r="P14" i="8"/>
  <c r="O14" i="8"/>
  <c r="N14" i="8"/>
  <c r="H14" i="8"/>
  <c r="H60" i="8" s="1"/>
  <c r="G14" i="8"/>
  <c r="G60" i="8" s="1"/>
  <c r="E14" i="8"/>
  <c r="E60" i="8" s="1"/>
  <c r="P13" i="8"/>
  <c r="O13" i="8"/>
  <c r="N13" i="8"/>
  <c r="H13" i="8"/>
  <c r="H59" i="8" s="1"/>
  <c r="G13" i="8"/>
  <c r="G59" i="8" s="1"/>
  <c r="E13" i="8"/>
  <c r="E59" i="8" s="1"/>
  <c r="P12" i="8"/>
  <c r="O12" i="8"/>
  <c r="N12" i="8"/>
  <c r="H12" i="8"/>
  <c r="H58" i="8" s="1"/>
  <c r="G12" i="8"/>
  <c r="G58" i="8" s="1"/>
  <c r="E12" i="8"/>
  <c r="E58" i="8" s="1"/>
  <c r="P11" i="8"/>
  <c r="O11" i="8"/>
  <c r="N11" i="8"/>
  <c r="H11" i="8"/>
  <c r="H57" i="8" s="1"/>
  <c r="G11" i="8"/>
  <c r="G57" i="8" s="1"/>
  <c r="E11" i="8"/>
  <c r="E57" i="8" s="1"/>
  <c r="P10" i="8"/>
  <c r="O10" i="8"/>
  <c r="N10" i="8"/>
  <c r="H10" i="8"/>
  <c r="H56" i="8" s="1"/>
  <c r="G10" i="8"/>
  <c r="G56" i="8" s="1"/>
  <c r="E10" i="8"/>
  <c r="E56" i="8" s="1"/>
  <c r="P9" i="8"/>
  <c r="O9" i="8"/>
  <c r="N9" i="8"/>
  <c r="H9" i="8"/>
  <c r="H55" i="8" s="1"/>
  <c r="G9" i="8"/>
  <c r="G55" i="8" s="1"/>
  <c r="E9" i="8"/>
  <c r="E55" i="8" s="1"/>
  <c r="P8" i="8"/>
  <c r="O8" i="8"/>
  <c r="N8" i="8"/>
  <c r="H8" i="8"/>
  <c r="H54" i="8" s="1"/>
  <c r="G8" i="8"/>
  <c r="G54" i="8" s="1"/>
  <c r="E8" i="8"/>
  <c r="E54" i="8" s="1"/>
  <c r="P7" i="8"/>
  <c r="O7" i="8"/>
  <c r="N7" i="8"/>
  <c r="H7" i="8"/>
  <c r="H53" i="8" s="1"/>
  <c r="G7" i="8"/>
  <c r="G53" i="8" s="1"/>
  <c r="E7" i="8"/>
  <c r="E53" i="8" s="1"/>
  <c r="P6" i="8"/>
  <c r="O6" i="8"/>
  <c r="N6" i="8"/>
  <c r="H6" i="8"/>
  <c r="H52" i="8" s="1"/>
  <c r="G6" i="8"/>
  <c r="G52" i="8" s="1"/>
  <c r="E6" i="8"/>
  <c r="E52" i="8" s="1"/>
  <c r="P5" i="8"/>
  <c r="O5" i="8"/>
  <c r="N5" i="8"/>
  <c r="H5" i="8"/>
  <c r="H51" i="8" s="1"/>
  <c r="G5" i="8"/>
  <c r="G51" i="8" s="1"/>
  <c r="E5" i="8"/>
  <c r="E51" i="8" s="1"/>
  <c r="P4" i="8"/>
  <c r="O4" i="8"/>
  <c r="N4" i="8"/>
  <c r="H4" i="8"/>
  <c r="H50" i="8" s="1"/>
  <c r="G4" i="8"/>
  <c r="G50" i="8" s="1"/>
  <c r="E4" i="8"/>
  <c r="E50" i="8" s="1"/>
  <c r="P3" i="8"/>
  <c r="O3" i="8"/>
  <c r="N3" i="8"/>
  <c r="H3" i="8"/>
  <c r="H49" i="8" s="1"/>
  <c r="G3" i="8"/>
  <c r="G49" i="8" s="1"/>
  <c r="E3" i="8"/>
  <c r="E49" i="8" s="1"/>
  <c r="P2" i="8"/>
  <c r="O2" i="8"/>
  <c r="N2" i="8"/>
  <c r="H2" i="8"/>
  <c r="H48" i="8" s="1"/>
  <c r="G2" i="8"/>
  <c r="G48" i="8" s="1"/>
  <c r="E2" i="8"/>
  <c r="E48" i="8" s="1"/>
  <c r="GI4" i="2" l="1"/>
  <c r="HD4" i="2" s="1"/>
  <c r="GI12" i="2"/>
  <c r="HD12" i="2" s="1"/>
  <c r="FN6" i="2"/>
  <c r="GI7" i="2"/>
  <c r="HD7" i="2" s="1"/>
  <c r="GI9" i="2"/>
  <c r="HD9" i="2" s="1"/>
  <c r="GI5" i="2"/>
  <c r="HD5" i="2" s="1"/>
  <c r="GI13" i="2"/>
  <c r="HD13" i="2" s="1"/>
  <c r="GI6" i="2"/>
  <c r="HD6" i="2" s="1"/>
  <c r="GI11" i="2"/>
  <c r="HD11" i="2" s="1"/>
  <c r="GI14" i="2"/>
  <c r="GI8" i="2"/>
  <c r="HD8" i="2" s="1"/>
  <c r="GI10" i="2"/>
  <c r="HD10" i="2" s="1"/>
  <c r="GI3" i="2"/>
  <c r="HD3" i="2" s="1"/>
  <c r="FT10" i="2"/>
  <c r="GD6" i="2"/>
  <c r="FU3" i="2"/>
  <c r="GE4" i="2"/>
  <c r="FS13" i="2"/>
  <c r="FW8" i="2"/>
  <c r="FQ10" i="2"/>
  <c r="FT7" i="2"/>
  <c r="FX6" i="2"/>
  <c r="FY7" i="2"/>
  <c r="GA7" i="2"/>
  <c r="FX13" i="2"/>
  <c r="FO11" i="2"/>
  <c r="FT3" i="2"/>
  <c r="FR11" i="2"/>
  <c r="FQ9" i="2"/>
  <c r="FQ8" i="2"/>
  <c r="FS10" i="2"/>
  <c r="GE9" i="2"/>
  <c r="FU7" i="2"/>
  <c r="GB4" i="2"/>
  <c r="GC13" i="2"/>
  <c r="FW6" i="2"/>
  <c r="FN4" i="2"/>
  <c r="GA10" i="2"/>
  <c r="FY13" i="2"/>
  <c r="FP11" i="2"/>
  <c r="FZ8" i="2"/>
  <c r="GF7" i="2"/>
  <c r="FV5" i="2"/>
  <c r="FN3" i="2"/>
  <c r="FQ12" i="2"/>
  <c r="FX4" i="2"/>
  <c r="FP13" i="2"/>
  <c r="GB8" i="2"/>
  <c r="GB13" i="2"/>
  <c r="FW10" i="2"/>
  <c r="FN8" i="2"/>
  <c r="FS11" i="2"/>
  <c r="FZ4" i="2"/>
  <c r="FZ3" i="2"/>
  <c r="GD5" i="2"/>
  <c r="FY9" i="2"/>
  <c r="FN10" i="2"/>
  <c r="FR4" i="2"/>
  <c r="FW3" i="2"/>
  <c r="FX10" i="2"/>
  <c r="FQ4" i="2"/>
  <c r="GD13" i="2"/>
  <c r="GD3" i="2"/>
  <c r="FR12" i="2"/>
  <c r="FQ7" i="2"/>
  <c r="GF13" i="2"/>
  <c r="FV11" i="2"/>
  <c r="GB3" i="2"/>
  <c r="GC12" i="2"/>
  <c r="FW7" i="2"/>
  <c r="FN5" i="2"/>
  <c r="GB10" i="2"/>
  <c r="GE12" i="2"/>
  <c r="FU10" i="2"/>
  <c r="FS5" i="2"/>
  <c r="GC6" i="2"/>
  <c r="FW9" i="2"/>
  <c r="FN7" i="2"/>
  <c r="FQ11" i="2"/>
  <c r="GE6" i="2"/>
  <c r="FU4" i="2"/>
  <c r="FT4" i="2"/>
  <c r="FZ13" i="2"/>
  <c r="GC7" i="2"/>
  <c r="GD4" i="2"/>
  <c r="FP8" i="2"/>
  <c r="FO12" i="2"/>
  <c r="GC5" i="2"/>
  <c r="FN12" i="2"/>
  <c r="FO8" i="2"/>
  <c r="FV13" i="2"/>
  <c r="FO10" i="2"/>
  <c r="GF9" i="2"/>
  <c r="FS3" i="2"/>
  <c r="FV8" i="2"/>
  <c r="FY11" i="2"/>
  <c r="FP9" i="2"/>
  <c r="FS8" i="2"/>
  <c r="GE10" i="2"/>
  <c r="FU8" i="2"/>
  <c r="GC4" i="2"/>
  <c r="GF6" i="2"/>
  <c r="FV4" i="2"/>
  <c r="FN13" i="2"/>
  <c r="GC11" i="2"/>
  <c r="GD9" i="2"/>
  <c r="FR7" i="2"/>
  <c r="FT6" i="2"/>
  <c r="GF8" i="2"/>
  <c r="FV6" i="2"/>
  <c r="FQ3" i="2"/>
  <c r="FS12" i="2"/>
  <c r="GE3" i="2"/>
  <c r="FU12" i="2"/>
  <c r="FZ5" i="2"/>
  <c r="GF10" i="2"/>
  <c r="FT11" i="2"/>
  <c r="FX3" i="2"/>
  <c r="GA5" i="2"/>
  <c r="FS9" i="2"/>
  <c r="FW12" i="2"/>
  <c r="GF5" i="2"/>
  <c r="GB11" i="2"/>
  <c r="GA9" i="2"/>
  <c r="FX12" i="2"/>
  <c r="FW4" i="2"/>
  <c r="FX8" i="2"/>
  <c r="FO6" i="2"/>
  <c r="FT9" i="2"/>
  <c r="GD7" i="2"/>
  <c r="FR5" i="2"/>
  <c r="FQ6" i="2"/>
  <c r="GF3" i="2"/>
  <c r="FV12" i="2"/>
  <c r="GC3" i="2"/>
  <c r="FQ13" i="2"/>
  <c r="FY6" i="2"/>
  <c r="FP4" i="2"/>
  <c r="FZ7" i="2"/>
  <c r="GE5" i="2"/>
  <c r="FV3" i="2"/>
  <c r="FS4" i="2"/>
  <c r="FT13" i="2"/>
  <c r="GD11" i="2"/>
  <c r="FR9" i="2"/>
  <c r="GA6" i="2"/>
  <c r="GE7" i="2"/>
  <c r="FZ12" i="2"/>
  <c r="FP7" i="2"/>
  <c r="GD12" i="2"/>
  <c r="FY10" i="2"/>
  <c r="FR10" i="2"/>
  <c r="GB6" i="2"/>
  <c r="FW5" i="2"/>
  <c r="FO3" i="2"/>
  <c r="FZ10" i="2"/>
  <c r="FY4" i="2"/>
  <c r="FR13" i="2"/>
  <c r="FS7" i="2"/>
  <c r="GE11" i="2"/>
  <c r="FU9" i="2"/>
  <c r="FQ5" i="2"/>
  <c r="GE8" i="2"/>
  <c r="FY3" i="2"/>
  <c r="FP12" i="2"/>
  <c r="GA8" i="2"/>
  <c r="GE13" i="2"/>
  <c r="FU11" i="2"/>
  <c r="FT5" i="2"/>
  <c r="FU5" i="2"/>
  <c r="FY8" i="2"/>
  <c r="FP6" i="2"/>
  <c r="GB7" i="2"/>
  <c r="FU13" i="2"/>
  <c r="GF11" i="2"/>
  <c r="GA4" i="2"/>
  <c r="FW11" i="2"/>
  <c r="FV9" i="2"/>
  <c r="FZ11" i="2"/>
  <c r="GC9" i="2"/>
  <c r="FV7" i="2"/>
  <c r="FT12" i="2"/>
  <c r="GA12" i="2"/>
  <c r="GF4" i="2"/>
  <c r="FW13" i="2"/>
  <c r="FN11" i="2"/>
  <c r="GA11" i="2"/>
  <c r="FY12" i="2"/>
  <c r="FP10" i="2"/>
  <c r="FT8" i="2"/>
  <c r="GD8" i="2"/>
  <c r="FR6" i="2"/>
  <c r="FS6" i="2"/>
  <c r="GB5" i="2"/>
  <c r="FX11" i="2"/>
  <c r="FO9" i="2"/>
  <c r="GB9" i="2"/>
  <c r="GD10" i="2"/>
  <c r="FR8" i="2"/>
  <c r="FZ6" i="2"/>
  <c r="FU6" i="2"/>
  <c r="FX5" i="2"/>
  <c r="FP3" i="2"/>
  <c r="GC8" i="2"/>
  <c r="FN9" i="2"/>
  <c r="FX7" i="2"/>
  <c r="GA13" i="2"/>
  <c r="FO4" i="2"/>
  <c r="FO13" i="2"/>
  <c r="FO5" i="2"/>
  <c r="IC10" i="2"/>
  <c r="HZ5" i="2"/>
  <c r="IH6" i="2"/>
  <c r="HZ10" i="2"/>
  <c r="IM10" i="2"/>
  <c r="II11" i="2"/>
  <c r="IB4" i="2"/>
  <c r="ID13" i="2"/>
  <c r="II4" i="2"/>
  <c r="IA8" i="2"/>
  <c r="IM8" i="2"/>
  <c r="IP9" i="2"/>
  <c r="IG13" i="2"/>
  <c r="IE4" i="2"/>
  <c r="IK13" i="2"/>
  <c r="II6" i="2"/>
  <c r="IA10" i="2"/>
  <c r="IB9" i="2"/>
  <c r="IO7" i="2"/>
  <c r="HZ7" i="2"/>
  <c r="IK11" i="2"/>
  <c r="IJ4" i="2"/>
  <c r="IC8" i="2"/>
  <c r="IB7" i="2"/>
  <c r="IP5" i="2"/>
  <c r="IG9" i="2"/>
  <c r="HY13" i="2"/>
  <c r="IN12" i="2"/>
  <c r="IH7" i="2"/>
  <c r="ID5" i="2"/>
  <c r="II12" i="2"/>
  <c r="HZ4" i="2"/>
  <c r="IN9" i="2"/>
  <c r="IO5" i="2"/>
  <c r="HZ6" i="2"/>
  <c r="ID10" i="2"/>
  <c r="IJ11" i="2"/>
  <c r="HY11" i="2"/>
  <c r="IL12" i="2"/>
  <c r="IJ12" i="2"/>
  <c r="IA4" i="2"/>
  <c r="ID8" i="2"/>
  <c r="IP13" i="2"/>
  <c r="IF5" i="2"/>
  <c r="IN4" i="2"/>
  <c r="IP6" i="2"/>
  <c r="IG10" i="2"/>
  <c r="IB13" i="2"/>
  <c r="IG11" i="2"/>
  <c r="IE6" i="2"/>
  <c r="IQ4" i="2"/>
  <c r="IH8" i="2"/>
  <c r="HZ12" i="2"/>
  <c r="IB11" i="2"/>
  <c r="IO13" i="2"/>
  <c r="IC5" i="2"/>
  <c r="IL6" i="2"/>
  <c r="IQ6" i="2"/>
  <c r="IH10" i="2"/>
  <c r="IE11" i="2"/>
  <c r="II7" i="2"/>
  <c r="IL4" i="2"/>
  <c r="IM13" i="2"/>
  <c r="II8" i="2"/>
  <c r="IA12" i="2"/>
  <c r="IE9" i="2"/>
  <c r="IO9" i="2"/>
  <c r="IF13" i="2"/>
  <c r="IB6" i="2"/>
  <c r="HY6" i="2"/>
  <c r="IF9" i="2"/>
  <c r="IF6" i="2"/>
  <c r="IB5" i="2"/>
  <c r="IF7" i="2"/>
  <c r="IK7" i="2"/>
  <c r="IQ12" i="2"/>
  <c r="IG4" i="2"/>
  <c r="HY8" i="2"/>
  <c r="ID12" i="2"/>
  <c r="IJ9" i="2"/>
  <c r="IC13" i="2"/>
  <c r="IM7" i="2"/>
  <c r="IG6" i="2"/>
  <c r="HY10" i="2"/>
  <c r="IK12" i="2"/>
  <c r="IH11" i="2"/>
  <c r="IM5" i="2"/>
  <c r="IH4" i="2"/>
  <c r="HZ8" i="2"/>
  <c r="IK10" i="2"/>
  <c r="IJ5" i="2"/>
  <c r="IC9" i="2"/>
  <c r="ID7" i="2"/>
  <c r="IQ10" i="2"/>
  <c r="IN11" i="2"/>
  <c r="IK5" i="2"/>
  <c r="IO10" i="2"/>
  <c r="ID6" i="2"/>
  <c r="IQ11" i="2"/>
  <c r="IC11" i="2"/>
  <c r="IL8" i="2"/>
  <c r="IP8" i="2"/>
  <c r="IG12" i="2"/>
  <c r="ID4" i="2"/>
  <c r="IE13" i="2"/>
  <c r="II5" i="2"/>
  <c r="IA9" i="2"/>
  <c r="IN8" i="2"/>
  <c r="IP10" i="2"/>
  <c r="IK4" i="2"/>
  <c r="IL13" i="2"/>
  <c r="IG7" i="2"/>
  <c r="IN6" i="2"/>
  <c r="IQ8" i="2"/>
  <c r="IH12" i="2"/>
  <c r="HY4" i="2"/>
  <c r="IL11" i="2"/>
  <c r="IJ13" i="2"/>
  <c r="IA5" i="2"/>
  <c r="IE8" i="2"/>
  <c r="IE7" i="2"/>
  <c r="IP7" i="2"/>
  <c r="IA7" i="2"/>
  <c r="IM9" i="2"/>
  <c r="IO4" i="2"/>
  <c r="IF8" i="2"/>
  <c r="IE5" i="2"/>
  <c r="II13" i="2"/>
  <c r="IF10" i="2"/>
  <c r="IL5" i="2"/>
  <c r="IF11" i="2"/>
  <c r="IB8" i="2"/>
  <c r="IP4" i="2"/>
  <c r="IG8" i="2"/>
  <c r="HY12" i="2"/>
  <c r="IM12" i="2"/>
  <c r="II9" i="2"/>
  <c r="IA13" i="2"/>
  <c r="IK9" i="2"/>
  <c r="IO6" i="2"/>
  <c r="IA6" i="2"/>
  <c r="IK8" i="2"/>
  <c r="IO11" i="2"/>
  <c r="HZ11" i="2"/>
  <c r="IN10" i="2"/>
  <c r="IO12" i="2"/>
  <c r="IC4" i="2"/>
  <c r="IK6" i="2"/>
  <c r="IQ5" i="2"/>
  <c r="IH9" i="2"/>
  <c r="HZ13" i="2"/>
  <c r="ID11" i="2"/>
  <c r="IC6" i="2"/>
  <c r="IM6" i="2"/>
  <c r="IQ7" i="2"/>
  <c r="IC7" i="2"/>
  <c r="ID9" i="2"/>
  <c r="IP12" i="2"/>
  <c r="IF4" i="2"/>
  <c r="IM4" i="2"/>
  <c r="IN13" i="2"/>
  <c r="IH5" i="2"/>
  <c r="HZ9" i="2"/>
  <c r="IL10" i="2"/>
  <c r="IJ6" i="2"/>
  <c r="IB10" i="2"/>
  <c r="II10" i="2"/>
  <c r="IL9" i="2"/>
  <c r="IJ7" i="2"/>
  <c r="HY7" i="2"/>
  <c r="IB12" i="2"/>
  <c r="IJ8" i="2"/>
  <c r="IC12" i="2"/>
  <c r="IL7" i="2"/>
  <c r="IQ13" i="2"/>
  <c r="IG5" i="2"/>
  <c r="HY9" i="2"/>
  <c r="IE12" i="2"/>
  <c r="IJ10" i="2"/>
  <c r="IN7" i="2"/>
  <c r="IP11" i="2"/>
  <c r="IA11" i="2"/>
  <c r="IE10" i="2"/>
  <c r="IO8" i="2"/>
  <c r="IF12" i="2"/>
  <c r="IN5" i="2"/>
  <c r="IQ9" i="2"/>
  <c r="IH13" i="2"/>
  <c r="HY5" i="2"/>
  <c r="IM11" i="2"/>
  <c r="AM3" i="2"/>
  <c r="AE3" i="2"/>
  <c r="AL3" i="2"/>
  <c r="AD3" i="2"/>
  <c r="W7" i="2"/>
  <c r="AK3" i="2"/>
  <c r="AC3" i="2"/>
  <c r="AJ3" i="2"/>
  <c r="AB3" i="2"/>
  <c r="AI3" i="2"/>
  <c r="AA3" i="2"/>
  <c r="AH3" i="2"/>
  <c r="Z3" i="2"/>
  <c r="AO3" i="2"/>
  <c r="AG3" i="2"/>
  <c r="Y3" i="2"/>
  <c r="AN3" i="2"/>
  <c r="AF3" i="2"/>
  <c r="X3" i="2"/>
  <c r="JO2" i="2"/>
  <c r="KB2" i="2" s="1"/>
  <c r="JP2" i="2"/>
  <c r="KC2" i="2" s="1"/>
  <c r="JQ2" i="2"/>
  <c r="KD2" i="2" s="1"/>
  <c r="JR2" i="2"/>
  <c r="KE2" i="2" s="1"/>
  <c r="JS2" i="2"/>
  <c r="KF2" i="2" s="1"/>
  <c r="JT2" i="2"/>
  <c r="KG2" i="2" s="1"/>
  <c r="JU2" i="2"/>
  <c r="KH2" i="2" s="1"/>
  <c r="JV2" i="2"/>
  <c r="KI2" i="2" s="1"/>
  <c r="JW2" i="2"/>
  <c r="KJ2" i="2" s="1"/>
  <c r="JX2" i="2"/>
  <c r="KK2" i="2" s="1"/>
  <c r="JY2" i="2"/>
  <c r="KL2" i="2" s="1"/>
  <c r="T5" i="2"/>
  <c r="T6" i="2"/>
  <c r="T7" i="2"/>
  <c r="T8" i="2"/>
  <c r="T9" i="2"/>
  <c r="T10" i="2"/>
  <c r="T11" i="2"/>
  <c r="T12" i="2"/>
  <c r="T13" i="2"/>
  <c r="T14" i="2"/>
  <c r="T4" i="2"/>
  <c r="S5" i="2"/>
  <c r="S6" i="2"/>
  <c r="S7" i="2"/>
  <c r="S8" i="2"/>
  <c r="S9" i="2"/>
  <c r="S10" i="2"/>
  <c r="S11" i="2"/>
  <c r="S12" i="2"/>
  <c r="S13" i="2"/>
  <c r="S14" i="2"/>
  <c r="S4" i="2"/>
  <c r="R5" i="2"/>
  <c r="R6" i="2"/>
  <c r="R7" i="2"/>
  <c r="R8" i="2"/>
  <c r="R9" i="2"/>
  <c r="R10" i="2"/>
  <c r="R11" i="2"/>
  <c r="R12" i="2"/>
  <c r="R13" i="2"/>
  <c r="R14" i="2"/>
  <c r="R4" i="2"/>
  <c r="CC2" i="2"/>
  <c r="DS2" i="2" s="1"/>
  <c r="CD2" i="2"/>
  <c r="DT2" i="2" s="1"/>
  <c r="CE2" i="2"/>
  <c r="DU2" i="2" s="1"/>
  <c r="BN2" i="2"/>
  <c r="DD2" i="2" s="1"/>
  <c r="BO2" i="2"/>
  <c r="DE2" i="2" s="1"/>
  <c r="BP2" i="2"/>
  <c r="DF2" i="2" s="1"/>
  <c r="BQ2" i="2"/>
  <c r="DG2" i="2" s="1"/>
  <c r="BR2" i="2"/>
  <c r="DH2" i="2" s="1"/>
  <c r="BS2" i="2"/>
  <c r="DI2" i="2" s="1"/>
  <c r="BT2" i="2"/>
  <c r="DJ2" i="2" s="1"/>
  <c r="BU2" i="2"/>
  <c r="DK2" i="2" s="1"/>
  <c r="BV2" i="2"/>
  <c r="DL2" i="2" s="1"/>
  <c r="BW2" i="2"/>
  <c r="DM2" i="2" s="1"/>
  <c r="BX2" i="2"/>
  <c r="DN2" i="2" s="1"/>
  <c r="BY2" i="2"/>
  <c r="DO2" i="2" s="1"/>
  <c r="BZ2" i="2"/>
  <c r="DP2" i="2" s="1"/>
  <c r="CA2" i="2"/>
  <c r="DQ2" i="2" s="1"/>
  <c r="CB2" i="2"/>
  <c r="DR2" i="2" s="1"/>
  <c r="BM2" i="2"/>
  <c r="DC2" i="2" s="1"/>
  <c r="X2" i="2"/>
  <c r="CI2" i="2" s="1"/>
  <c r="Y2" i="2"/>
  <c r="CJ2" i="2" s="1"/>
  <c r="Z2" i="2"/>
  <c r="CK2" i="2" s="1"/>
  <c r="AA2" i="2"/>
  <c r="CL2" i="2" s="1"/>
  <c r="AB2" i="2"/>
  <c r="CM2" i="2" s="1"/>
  <c r="AC2" i="2"/>
  <c r="CN2" i="2" s="1"/>
  <c r="AD2" i="2"/>
  <c r="CO2" i="2" s="1"/>
  <c r="AE2" i="2"/>
  <c r="CP2" i="2" s="1"/>
  <c r="AF2" i="2"/>
  <c r="CQ2" i="2" s="1"/>
  <c r="AG2" i="2"/>
  <c r="CR2" i="2" s="1"/>
  <c r="AH2" i="2"/>
  <c r="CS2" i="2" s="1"/>
  <c r="AI2" i="2"/>
  <c r="CT2" i="2" s="1"/>
  <c r="AJ2" i="2"/>
  <c r="CU2" i="2" s="1"/>
  <c r="AK2" i="2"/>
  <c r="CV2" i="2" s="1"/>
  <c r="AL2" i="2"/>
  <c r="CW2" i="2" s="1"/>
  <c r="AM2" i="2"/>
  <c r="CX2" i="2" s="1"/>
  <c r="AN2" i="2"/>
  <c r="CY2" i="2" s="1"/>
  <c r="AO2" i="2"/>
  <c r="CZ2" i="2" s="1"/>
  <c r="W2" i="2"/>
  <c r="CH2" i="2" s="1"/>
  <c r="C17" i="2"/>
  <c r="ET2" i="2" s="1"/>
  <c r="D17" i="2"/>
  <c r="EU2" i="2" s="1"/>
  <c r="E17" i="2"/>
  <c r="EV2" i="2" s="1"/>
  <c r="F17" i="2"/>
  <c r="EW2" i="2" s="1"/>
  <c r="G17" i="2"/>
  <c r="EX2" i="2" s="1"/>
  <c r="H17" i="2"/>
  <c r="EY2" i="2" s="1"/>
  <c r="IE2" i="2" s="1"/>
  <c r="IZ2" i="2" s="1"/>
  <c r="I17" i="2"/>
  <c r="EZ2" i="2" s="1"/>
  <c r="J17" i="2"/>
  <c r="FA2" i="2" s="1"/>
  <c r="K17" i="2"/>
  <c r="FB2" i="2" s="1"/>
  <c r="L17" i="2"/>
  <c r="FC2" i="2" s="1"/>
  <c r="M17" i="2"/>
  <c r="FD2" i="2" s="1"/>
  <c r="N17" i="2"/>
  <c r="FE2" i="2" s="1"/>
  <c r="O17" i="2"/>
  <c r="FF2" i="2" s="1"/>
  <c r="P17" i="2"/>
  <c r="FG2" i="2" s="1"/>
  <c r="Q17" i="2"/>
  <c r="FH2" i="2" s="1"/>
  <c r="R17" i="2"/>
  <c r="FI2" i="2" s="1"/>
  <c r="S17" i="2"/>
  <c r="FJ2" i="2" s="1"/>
  <c r="T17" i="2"/>
  <c r="FK2" i="2" s="1"/>
  <c r="B17" i="2"/>
  <c r="ES2" i="2" s="1"/>
  <c r="BH11" i="2" l="1"/>
  <c r="BI3" i="2"/>
  <c r="BJ9" i="2"/>
  <c r="BH10" i="2"/>
  <c r="BH9" i="2"/>
  <c r="BJ7" i="2"/>
  <c r="BJ6" i="2"/>
  <c r="BI6" i="2"/>
  <c r="BJ8" i="2"/>
  <c r="BI12" i="2"/>
  <c r="BH7" i="2"/>
  <c r="BI10" i="2"/>
  <c r="BJ13" i="2"/>
  <c r="BJ5" i="2"/>
  <c r="BI5" i="2"/>
  <c r="BI4" i="2"/>
  <c r="BH8" i="2"/>
  <c r="BI11" i="2"/>
  <c r="BJ3" i="2"/>
  <c r="BH3" i="2"/>
  <c r="BH6" i="2"/>
  <c r="BI9" i="2"/>
  <c r="BJ12" i="2"/>
  <c r="BJ4" i="2"/>
  <c r="BI13" i="2"/>
  <c r="BH13" i="2"/>
  <c r="BH5" i="2"/>
  <c r="BI8" i="2"/>
  <c r="BJ11" i="2"/>
  <c r="BH12" i="2"/>
  <c r="BH4" i="2"/>
  <c r="BI7" i="2"/>
  <c r="BJ10" i="2"/>
  <c r="JB5" i="2"/>
  <c r="JJ8" i="2"/>
  <c r="JH4" i="2"/>
  <c r="JE10" i="2"/>
  <c r="JI3" i="2"/>
  <c r="JF8" i="2"/>
  <c r="JK12" i="2"/>
  <c r="JD3" i="2"/>
  <c r="IY9" i="2"/>
  <c r="JL6" i="2"/>
  <c r="IW11" i="2"/>
  <c r="IZ12" i="2"/>
  <c r="JG7" i="2"/>
  <c r="JC11" i="2"/>
  <c r="IT8" i="2"/>
  <c r="CE3" i="2"/>
  <c r="DU3" i="2" s="1"/>
  <c r="JI7" i="2"/>
  <c r="IX12" i="2"/>
  <c r="IU9" i="2"/>
  <c r="JA3" i="2"/>
  <c r="JA11" i="2"/>
  <c r="JD13" i="2"/>
  <c r="IV9" i="2"/>
  <c r="JK3" i="2"/>
  <c r="JL9" i="2"/>
  <c r="IZ10" i="2"/>
  <c r="IU13" i="2"/>
  <c r="IX4" i="2"/>
  <c r="JB3" i="2"/>
  <c r="IV13" i="2"/>
  <c r="JB8" i="2"/>
  <c r="IZ5" i="2"/>
  <c r="IV7" i="2"/>
  <c r="JG11" i="2"/>
  <c r="JI6" i="2"/>
  <c r="JG8" i="2"/>
  <c r="JL10" i="2"/>
  <c r="JC4" i="2"/>
  <c r="IX13" i="2"/>
  <c r="IT6" i="2"/>
  <c r="JA13" i="2"/>
  <c r="IZ11" i="2"/>
  <c r="IY8" i="2"/>
  <c r="IT11" i="2"/>
  <c r="IW7" i="2"/>
  <c r="JD6" i="2"/>
  <c r="JL13" i="2"/>
  <c r="IW12" i="2"/>
  <c r="JD10" i="2"/>
  <c r="JC5" i="2"/>
  <c r="JH6" i="2"/>
  <c r="JH3" i="2"/>
  <c r="JK4" i="2"/>
  <c r="JG5" i="2"/>
  <c r="JB7" i="2"/>
  <c r="JK10" i="2"/>
  <c r="IZ13" i="2"/>
  <c r="IZ3" i="2"/>
  <c r="IT10" i="2"/>
  <c r="JE9" i="2"/>
  <c r="IW5" i="2"/>
  <c r="IX5" i="2"/>
  <c r="JC8" i="2"/>
  <c r="IW13" i="2"/>
  <c r="JJ5" i="2"/>
  <c r="JI12" i="2"/>
  <c r="IU7" i="2"/>
  <c r="JK9" i="2"/>
  <c r="IY13" i="2"/>
  <c r="IU10" i="2"/>
  <c r="IX7" i="2"/>
  <c r="JH11" i="2"/>
  <c r="JI5" i="2"/>
  <c r="IV11" i="2"/>
  <c r="JI13" i="2"/>
  <c r="IX6" i="2"/>
  <c r="JC9" i="2"/>
  <c r="JJ12" i="2"/>
  <c r="IY3" i="2"/>
  <c r="JD9" i="2"/>
  <c r="JA8" i="2"/>
  <c r="JK7" i="2"/>
  <c r="IZ8" i="2"/>
  <c r="IT4" i="2"/>
  <c r="JJ10" i="2"/>
  <c r="IT3" i="2"/>
  <c r="JE5" i="2"/>
  <c r="JH5" i="2"/>
  <c r="JL12" i="2"/>
  <c r="JJ9" i="2"/>
  <c r="JH13" i="2"/>
  <c r="JL4" i="2"/>
  <c r="JI4" i="2"/>
  <c r="IV4" i="2"/>
  <c r="JE11" i="2"/>
  <c r="IY5" i="2"/>
  <c r="JJ7" i="2"/>
  <c r="JC6" i="2"/>
  <c r="IT7" i="2"/>
  <c r="JL3" i="2"/>
  <c r="JA10" i="2"/>
  <c r="JI8" i="2"/>
  <c r="IY4" i="2"/>
  <c r="IX11" i="2"/>
  <c r="JF10" i="2"/>
  <c r="JB6" i="2"/>
  <c r="JA6" i="2"/>
  <c r="IZ9" i="2"/>
  <c r="JC10" i="2"/>
  <c r="JJ13" i="2"/>
  <c r="IY10" i="2"/>
  <c r="JI9" i="2"/>
  <c r="IT13" i="2"/>
  <c r="IX8" i="2"/>
  <c r="JF13" i="2"/>
  <c r="JH8" i="2"/>
  <c r="IW4" i="2"/>
  <c r="IT5" i="2"/>
  <c r="JA12" i="2"/>
  <c r="JK11" i="2"/>
  <c r="IT9" i="2"/>
  <c r="JE7" i="2"/>
  <c r="IW10" i="2"/>
  <c r="JG10" i="2"/>
  <c r="JL5" i="2"/>
  <c r="JI10" i="2"/>
  <c r="IV6" i="2"/>
  <c r="JC3" i="2"/>
  <c r="JH12" i="2"/>
  <c r="IW8" i="2"/>
  <c r="JJ4" i="2"/>
  <c r="IZ7" i="2"/>
  <c r="IV5" i="2"/>
  <c r="JC12" i="2"/>
  <c r="JG13" i="2"/>
  <c r="JB12" i="2"/>
  <c r="JL11" i="2"/>
  <c r="JF5" i="2"/>
  <c r="IU3" i="2"/>
  <c r="IY12" i="2"/>
  <c r="JF7" i="2"/>
  <c r="JG4" i="2"/>
  <c r="IZ6" i="2"/>
  <c r="JB10" i="2"/>
  <c r="JA5" i="2"/>
  <c r="JE12" i="2"/>
  <c r="JC7" i="2"/>
  <c r="IW9" i="2"/>
  <c r="IZ4" i="2"/>
  <c r="IV8" i="2"/>
  <c r="JD11" i="2"/>
  <c r="IU6" i="2"/>
  <c r="IU4" i="2"/>
  <c r="IW3" i="2"/>
  <c r="JB9" i="2"/>
  <c r="JE4" i="2"/>
  <c r="IU5" i="2"/>
  <c r="IV12" i="2"/>
  <c r="JG3" i="2"/>
  <c r="JC13" i="2"/>
  <c r="JE6" i="2"/>
  <c r="JL7" i="2"/>
  <c r="IY11" i="2"/>
  <c r="JF6" i="2"/>
  <c r="IU11" i="2"/>
  <c r="JF9" i="2"/>
  <c r="IT12" i="2"/>
  <c r="JH9" i="2"/>
  <c r="JE13" i="2"/>
  <c r="JL8" i="2"/>
  <c r="JF4" i="2"/>
  <c r="JI11" i="2"/>
  <c r="IY7" i="2"/>
  <c r="IU8" i="2"/>
  <c r="JH7" i="2"/>
  <c r="JA7" i="2"/>
  <c r="JA9" i="2"/>
  <c r="IW6" i="2"/>
  <c r="JD7" i="2"/>
  <c r="JG6" i="2"/>
  <c r="JB11" i="2"/>
  <c r="JK6" i="2"/>
  <c r="JK13" i="2"/>
  <c r="JG12" i="2"/>
  <c r="JE3" i="2"/>
  <c r="JF11" i="2"/>
  <c r="IV10" i="2"/>
  <c r="JD4" i="2"/>
  <c r="JH10" i="2"/>
  <c r="IX3" i="2"/>
  <c r="JE8" i="2"/>
  <c r="JG9" i="2"/>
  <c r="JJ3" i="2"/>
  <c r="JA4" i="2"/>
  <c r="JJ11" i="2"/>
  <c r="JJ6" i="2"/>
  <c r="JD5" i="2"/>
  <c r="JK8" i="2"/>
  <c r="IY6" i="2"/>
  <c r="IX9" i="2"/>
  <c r="JF12" i="2"/>
  <c r="JB4" i="2"/>
  <c r="JD8" i="2"/>
  <c r="IU12" i="2"/>
  <c r="IV3" i="2"/>
  <c r="JD12" i="2"/>
  <c r="JF3" i="2"/>
  <c r="JK5" i="2"/>
  <c r="JB13" i="2"/>
  <c r="IX10" i="2"/>
  <c r="AM11" i="2"/>
  <c r="CC11" i="2"/>
  <c r="DS11" i="2" s="1"/>
  <c r="CD14" i="2"/>
  <c r="AN6" i="2"/>
  <c r="CD6" i="2"/>
  <c r="DT6" i="2" s="1"/>
  <c r="AO9" i="2"/>
  <c r="CE9" i="2"/>
  <c r="DU9" i="2" s="1"/>
  <c r="AM13" i="2"/>
  <c r="CC13" i="2"/>
  <c r="DS13" i="2" s="1"/>
  <c r="AM5" i="2"/>
  <c r="CC5" i="2"/>
  <c r="DS5" i="2" s="1"/>
  <c r="AN8" i="2"/>
  <c r="CD8" i="2"/>
  <c r="DT8" i="2" s="1"/>
  <c r="AO11" i="2"/>
  <c r="CE11" i="2"/>
  <c r="DU11" i="2" s="1"/>
  <c r="CC3" i="2"/>
  <c r="DS3" i="2" s="1"/>
  <c r="AN4" i="2"/>
  <c r="CD4" i="2"/>
  <c r="DT4" i="2" s="1"/>
  <c r="AO10" i="2"/>
  <c r="CE10" i="2"/>
  <c r="DU10" i="2" s="1"/>
  <c r="AM10" i="2"/>
  <c r="CC10" i="2"/>
  <c r="DS10" i="2" s="1"/>
  <c r="AN13" i="2"/>
  <c r="CD13" i="2"/>
  <c r="DT13" i="2" s="1"/>
  <c r="AN5" i="2"/>
  <c r="CD5" i="2"/>
  <c r="DT5" i="2" s="1"/>
  <c r="AO8" i="2"/>
  <c r="CE8" i="2"/>
  <c r="DU8" i="2" s="1"/>
  <c r="AM9" i="2"/>
  <c r="CC9" i="2"/>
  <c r="DS9" i="2" s="1"/>
  <c r="AO4" i="2"/>
  <c r="CE4" i="2"/>
  <c r="DU4" i="2" s="1"/>
  <c r="AM8" i="2"/>
  <c r="CC8" i="2"/>
  <c r="DS8" i="2" s="1"/>
  <c r="AN11" i="2"/>
  <c r="CD11" i="2"/>
  <c r="DT11" i="2" s="1"/>
  <c r="CE14" i="2"/>
  <c r="AO6" i="2"/>
  <c r="CE6" i="2"/>
  <c r="DU6" i="2" s="1"/>
  <c r="AM4" i="2"/>
  <c r="CC4" i="2"/>
  <c r="DS4" i="2" s="1"/>
  <c r="AM7" i="2"/>
  <c r="CC7" i="2"/>
  <c r="DS7" i="2" s="1"/>
  <c r="AN10" i="2"/>
  <c r="CD10" i="2"/>
  <c r="DT10" i="2" s="1"/>
  <c r="AO13" i="2"/>
  <c r="CE13" i="2"/>
  <c r="DU13" i="2" s="1"/>
  <c r="AO5" i="2"/>
  <c r="CE5" i="2"/>
  <c r="DU5" i="2" s="1"/>
  <c r="CD3" i="2"/>
  <c r="DT3" i="2" s="1"/>
  <c r="CC14" i="2"/>
  <c r="AM6" i="2"/>
  <c r="CC6" i="2"/>
  <c r="DS6" i="2" s="1"/>
  <c r="AN9" i="2"/>
  <c r="CD9" i="2"/>
  <c r="DT9" i="2" s="1"/>
  <c r="AO12" i="2"/>
  <c r="CE12" i="2"/>
  <c r="DU12" i="2" s="1"/>
  <c r="AN12" i="2"/>
  <c r="CD12" i="2"/>
  <c r="DT12" i="2" s="1"/>
  <c r="AO7" i="2"/>
  <c r="CE7" i="2"/>
  <c r="DU7" i="2" s="1"/>
  <c r="AM12" i="2"/>
  <c r="CC12" i="2"/>
  <c r="DS12" i="2" s="1"/>
  <c r="AN7" i="2"/>
  <c r="CD7" i="2"/>
  <c r="DT7" i="2" s="1"/>
  <c r="IQ2" i="2"/>
  <c r="JL2" i="2" s="1"/>
  <c r="GF2" i="2"/>
  <c r="HV2" i="2" s="1"/>
  <c r="IH2" i="2"/>
  <c r="JC2" i="2" s="1"/>
  <c r="FW2" i="2"/>
  <c r="HM2" i="2" s="1"/>
  <c r="II2" i="2"/>
  <c r="JD2" i="2" s="1"/>
  <c r="FX2" i="2"/>
  <c r="HN2" i="2" s="1"/>
  <c r="IA2" i="2"/>
  <c r="IV2" i="2" s="1"/>
  <c r="FP2" i="2"/>
  <c r="HF2" i="2" s="1"/>
  <c r="IP2" i="2"/>
  <c r="JK2" i="2" s="1"/>
  <c r="GE2" i="2"/>
  <c r="HU2" i="2" s="1"/>
  <c r="HZ2" i="2"/>
  <c r="IU2" i="2" s="1"/>
  <c r="FO2" i="2"/>
  <c r="HE2" i="2" s="1"/>
  <c r="IO2" i="2"/>
  <c r="JJ2" i="2" s="1"/>
  <c r="GD2" i="2"/>
  <c r="HT2" i="2" s="1"/>
  <c r="FV2" i="2"/>
  <c r="HL2" i="2" s="1"/>
  <c r="IG2" i="2"/>
  <c r="JB2" i="2" s="1"/>
  <c r="IN2" i="2"/>
  <c r="JI2" i="2" s="1"/>
  <c r="GC2" i="2"/>
  <c r="HS2" i="2" s="1"/>
  <c r="IF2" i="2"/>
  <c r="JA2" i="2" s="1"/>
  <c r="FU2" i="2"/>
  <c r="HK2" i="2" s="1"/>
  <c r="IM2" i="2"/>
  <c r="JH2" i="2" s="1"/>
  <c r="GB2" i="2"/>
  <c r="HR2" i="2" s="1"/>
  <c r="IL2" i="2"/>
  <c r="JG2" i="2" s="1"/>
  <c r="GA2" i="2"/>
  <c r="HQ2" i="2" s="1"/>
  <c r="ID2" i="2"/>
  <c r="IY2" i="2" s="1"/>
  <c r="FS2" i="2"/>
  <c r="HI2" i="2" s="1"/>
  <c r="IK2" i="2"/>
  <c r="JF2" i="2" s="1"/>
  <c r="FZ2" i="2"/>
  <c r="HP2" i="2" s="1"/>
  <c r="IC2" i="2"/>
  <c r="IX2" i="2" s="1"/>
  <c r="FR2" i="2"/>
  <c r="HH2" i="2" s="1"/>
  <c r="HY2" i="2"/>
  <c r="IT2" i="2" s="1"/>
  <c r="FN2" i="2"/>
  <c r="HD2" i="2" s="1"/>
  <c r="IJ2" i="2"/>
  <c r="JE2" i="2" s="1"/>
  <c r="FY2" i="2"/>
  <c r="HO2" i="2" s="1"/>
  <c r="IB2" i="2"/>
  <c r="IW2" i="2" s="1"/>
  <c r="FQ2" i="2"/>
  <c r="HG2" i="2" s="1"/>
  <c r="FT2" i="2"/>
  <c r="HJ2" i="2" s="1"/>
  <c r="CY4" i="2" l="1"/>
  <c r="CZ7" i="2"/>
  <c r="CY10" i="2"/>
  <c r="CY12" i="2"/>
  <c r="CZ8" i="2"/>
  <c r="CX9" i="2"/>
  <c r="CX10" i="2"/>
  <c r="CY5" i="2"/>
  <c r="CY6" i="2"/>
  <c r="CY9" i="2"/>
  <c r="CZ13" i="2"/>
  <c r="CZ4" i="2"/>
  <c r="CZ9" i="2"/>
  <c r="CX11" i="2"/>
  <c r="CX12" i="2"/>
  <c r="CZ12" i="2"/>
  <c r="CZ6" i="2"/>
  <c r="CX13" i="2"/>
  <c r="CX7" i="2"/>
  <c r="CX4" i="2"/>
  <c r="CY3" i="2"/>
  <c r="CY11" i="2"/>
  <c r="CY13" i="2"/>
  <c r="CX8" i="2"/>
  <c r="CZ3" i="2"/>
  <c r="CZ5" i="2"/>
  <c r="CX5" i="2"/>
  <c r="CX6" i="2"/>
  <c r="CZ11" i="2"/>
  <c r="CZ10" i="2"/>
  <c r="CY8" i="2"/>
  <c r="CX3" i="2"/>
  <c r="CY7" i="2"/>
  <c r="Q6" i="6" l="1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Q7" i="6"/>
  <c r="P7" i="6"/>
  <c r="O7" i="6"/>
  <c r="N7" i="6"/>
  <c r="M3" i="8" s="1"/>
  <c r="M49" i="8" s="1"/>
  <c r="M7" i="6"/>
  <c r="L3" i="8" s="1"/>
  <c r="L49" i="8" s="1"/>
  <c r="L7" i="6"/>
  <c r="K3" i="8" s="1"/>
  <c r="K49" i="8" s="1"/>
  <c r="K7" i="6"/>
  <c r="J3" i="8" s="1"/>
  <c r="J49" i="8" s="1"/>
  <c r="J7" i="6"/>
  <c r="I3" i="8" s="1"/>
  <c r="I49" i="8" s="1"/>
  <c r="I7" i="6"/>
  <c r="H7" i="6"/>
  <c r="G7" i="6"/>
  <c r="F3" i="8" s="1"/>
  <c r="F49" i="8" s="1"/>
  <c r="F7" i="6"/>
  <c r="E7" i="6"/>
  <c r="D3" i="8" s="1"/>
  <c r="D49" i="8" s="1"/>
  <c r="D7" i="6"/>
  <c r="C3" i="8" s="1"/>
  <c r="C49" i="8" s="1"/>
  <c r="C7" i="6"/>
  <c r="B3" i="8" s="1"/>
  <c r="B49" i="8" s="1"/>
  <c r="Q8" i="6"/>
  <c r="P8" i="6"/>
  <c r="O8" i="6"/>
  <c r="N8" i="6"/>
  <c r="M4" i="8" s="1"/>
  <c r="M50" i="8" s="1"/>
  <c r="M8" i="6"/>
  <c r="L4" i="8" s="1"/>
  <c r="L50" i="8" s="1"/>
  <c r="L8" i="6"/>
  <c r="K4" i="8" s="1"/>
  <c r="K50" i="8" s="1"/>
  <c r="K8" i="6"/>
  <c r="J4" i="8" s="1"/>
  <c r="J50" i="8" s="1"/>
  <c r="J8" i="6"/>
  <c r="I4" i="8" s="1"/>
  <c r="I50" i="8" s="1"/>
  <c r="I8" i="6"/>
  <c r="H8" i="6"/>
  <c r="G8" i="6"/>
  <c r="F4" i="8" s="1"/>
  <c r="F50" i="8" s="1"/>
  <c r="F8" i="6"/>
  <c r="E8" i="6"/>
  <c r="D4" i="8" s="1"/>
  <c r="D50" i="8" s="1"/>
  <c r="D8" i="6"/>
  <c r="C4" i="8" s="1"/>
  <c r="C50" i="8" s="1"/>
  <c r="C8" i="6"/>
  <c r="B4" i="8" s="1"/>
  <c r="B50" i="8" s="1"/>
  <c r="Q9" i="6"/>
  <c r="P9" i="6"/>
  <c r="O9" i="6"/>
  <c r="N9" i="6"/>
  <c r="M5" i="8" s="1"/>
  <c r="M51" i="8" s="1"/>
  <c r="M9" i="6"/>
  <c r="L5" i="8" s="1"/>
  <c r="L51" i="8" s="1"/>
  <c r="L9" i="6"/>
  <c r="K5" i="8" s="1"/>
  <c r="K51" i="8" s="1"/>
  <c r="K9" i="6"/>
  <c r="J5" i="8" s="1"/>
  <c r="J51" i="8" s="1"/>
  <c r="J9" i="6"/>
  <c r="I5" i="8" s="1"/>
  <c r="I51" i="8" s="1"/>
  <c r="I9" i="6"/>
  <c r="H9" i="6"/>
  <c r="G9" i="6"/>
  <c r="F5" i="8" s="1"/>
  <c r="F51" i="8" s="1"/>
  <c r="F9" i="6"/>
  <c r="E9" i="6"/>
  <c r="D5" i="8" s="1"/>
  <c r="D51" i="8" s="1"/>
  <c r="D9" i="6"/>
  <c r="C5" i="8" s="1"/>
  <c r="C51" i="8" s="1"/>
  <c r="C9" i="6"/>
  <c r="B5" i="8" s="1"/>
  <c r="B51" i="8" s="1"/>
  <c r="Q10" i="6"/>
  <c r="P10" i="6"/>
  <c r="O10" i="6"/>
  <c r="N10" i="6"/>
  <c r="M6" i="8" s="1"/>
  <c r="M52" i="8" s="1"/>
  <c r="M10" i="6"/>
  <c r="L6" i="8" s="1"/>
  <c r="L52" i="8" s="1"/>
  <c r="L10" i="6"/>
  <c r="K6" i="8" s="1"/>
  <c r="K52" i="8" s="1"/>
  <c r="K10" i="6"/>
  <c r="J6" i="8" s="1"/>
  <c r="J52" i="8" s="1"/>
  <c r="J10" i="6"/>
  <c r="I6" i="8" s="1"/>
  <c r="I52" i="8" s="1"/>
  <c r="I10" i="6"/>
  <c r="H10" i="6"/>
  <c r="G10" i="6"/>
  <c r="F6" i="8" s="1"/>
  <c r="F52" i="8" s="1"/>
  <c r="F10" i="6"/>
  <c r="E10" i="6"/>
  <c r="D6" i="8" s="1"/>
  <c r="D52" i="8" s="1"/>
  <c r="D10" i="6"/>
  <c r="C6" i="8" s="1"/>
  <c r="C52" i="8" s="1"/>
  <c r="C10" i="6"/>
  <c r="B6" i="8" s="1"/>
  <c r="B52" i="8" s="1"/>
  <c r="Q11" i="6"/>
  <c r="P11" i="6"/>
  <c r="O11" i="6"/>
  <c r="N11" i="6"/>
  <c r="M7" i="8" s="1"/>
  <c r="M53" i="8" s="1"/>
  <c r="M11" i="6"/>
  <c r="L7" i="8" s="1"/>
  <c r="L53" i="8" s="1"/>
  <c r="L11" i="6"/>
  <c r="K7" i="8" s="1"/>
  <c r="K53" i="8" s="1"/>
  <c r="K11" i="6"/>
  <c r="J7" i="8" s="1"/>
  <c r="J53" i="8" s="1"/>
  <c r="J11" i="6"/>
  <c r="I7" i="8" s="1"/>
  <c r="I53" i="8" s="1"/>
  <c r="I11" i="6"/>
  <c r="H11" i="6"/>
  <c r="G11" i="6"/>
  <c r="F7" i="8" s="1"/>
  <c r="F53" i="8" s="1"/>
  <c r="F11" i="6"/>
  <c r="E11" i="6"/>
  <c r="D7" i="8" s="1"/>
  <c r="D53" i="8" s="1"/>
  <c r="D11" i="6"/>
  <c r="C7" i="8" s="1"/>
  <c r="C53" i="8" s="1"/>
  <c r="C11" i="6"/>
  <c r="B7" i="8" s="1"/>
  <c r="B53" i="8" s="1"/>
  <c r="Q12" i="6"/>
  <c r="P12" i="6"/>
  <c r="O12" i="6"/>
  <c r="N12" i="6"/>
  <c r="M8" i="8" s="1"/>
  <c r="M54" i="8" s="1"/>
  <c r="M12" i="6"/>
  <c r="L8" i="8" s="1"/>
  <c r="L54" i="8" s="1"/>
  <c r="L12" i="6"/>
  <c r="K8" i="8" s="1"/>
  <c r="K54" i="8" s="1"/>
  <c r="K12" i="6"/>
  <c r="J8" i="8" s="1"/>
  <c r="J54" i="8" s="1"/>
  <c r="J12" i="6"/>
  <c r="I8" i="8" s="1"/>
  <c r="I54" i="8" s="1"/>
  <c r="I12" i="6"/>
  <c r="H12" i="6"/>
  <c r="G12" i="6"/>
  <c r="F8" i="8" s="1"/>
  <c r="F54" i="8" s="1"/>
  <c r="F12" i="6"/>
  <c r="E12" i="6"/>
  <c r="D8" i="8" s="1"/>
  <c r="D54" i="8" s="1"/>
  <c r="D12" i="6"/>
  <c r="C8" i="8" s="1"/>
  <c r="C54" i="8" s="1"/>
  <c r="C12" i="6"/>
  <c r="B8" i="8" s="1"/>
  <c r="B54" i="8" s="1"/>
  <c r="Q13" i="6"/>
  <c r="P13" i="6"/>
  <c r="O13" i="6"/>
  <c r="N13" i="6"/>
  <c r="M9" i="8" s="1"/>
  <c r="M55" i="8" s="1"/>
  <c r="M13" i="6"/>
  <c r="L9" i="8" s="1"/>
  <c r="L55" i="8" s="1"/>
  <c r="L13" i="6"/>
  <c r="K9" i="8" s="1"/>
  <c r="K55" i="8" s="1"/>
  <c r="K13" i="6"/>
  <c r="J9" i="8" s="1"/>
  <c r="J55" i="8" s="1"/>
  <c r="J13" i="6"/>
  <c r="I9" i="8" s="1"/>
  <c r="I55" i="8" s="1"/>
  <c r="I13" i="6"/>
  <c r="H13" i="6"/>
  <c r="G13" i="6"/>
  <c r="F9" i="8" s="1"/>
  <c r="F55" i="8" s="1"/>
  <c r="F13" i="6"/>
  <c r="E13" i="6"/>
  <c r="D9" i="8" s="1"/>
  <c r="D55" i="8" s="1"/>
  <c r="D13" i="6"/>
  <c r="C9" i="8" s="1"/>
  <c r="C55" i="8" s="1"/>
  <c r="C13" i="6"/>
  <c r="B9" i="8" s="1"/>
  <c r="B55" i="8" s="1"/>
  <c r="Q14" i="6"/>
  <c r="P14" i="6"/>
  <c r="O14" i="6"/>
  <c r="N14" i="6"/>
  <c r="M10" i="8" s="1"/>
  <c r="M56" i="8" s="1"/>
  <c r="M14" i="6"/>
  <c r="L10" i="8" s="1"/>
  <c r="L56" i="8" s="1"/>
  <c r="L14" i="6"/>
  <c r="K10" i="8" s="1"/>
  <c r="K56" i="8" s="1"/>
  <c r="K14" i="6"/>
  <c r="J10" i="8" s="1"/>
  <c r="J56" i="8" s="1"/>
  <c r="J14" i="6"/>
  <c r="I10" i="8" s="1"/>
  <c r="I56" i="8" s="1"/>
  <c r="I14" i="6"/>
  <c r="H14" i="6"/>
  <c r="G14" i="6"/>
  <c r="F10" i="8" s="1"/>
  <c r="F56" i="8" s="1"/>
  <c r="F14" i="6"/>
  <c r="E14" i="6"/>
  <c r="D10" i="8" s="1"/>
  <c r="D56" i="8" s="1"/>
  <c r="D14" i="6"/>
  <c r="C10" i="8" s="1"/>
  <c r="C56" i="8" s="1"/>
  <c r="C14" i="6"/>
  <c r="B10" i="8" s="1"/>
  <c r="B56" i="8" s="1"/>
  <c r="Q15" i="6"/>
  <c r="P15" i="6"/>
  <c r="O15" i="6"/>
  <c r="N15" i="6"/>
  <c r="M11" i="8" s="1"/>
  <c r="M57" i="8" s="1"/>
  <c r="M15" i="6"/>
  <c r="L11" i="8" s="1"/>
  <c r="L57" i="8" s="1"/>
  <c r="L15" i="6"/>
  <c r="K11" i="8" s="1"/>
  <c r="K57" i="8" s="1"/>
  <c r="K15" i="6"/>
  <c r="J11" i="8" s="1"/>
  <c r="J57" i="8" s="1"/>
  <c r="J15" i="6"/>
  <c r="I11" i="8" s="1"/>
  <c r="I57" i="8" s="1"/>
  <c r="I15" i="6"/>
  <c r="H15" i="6"/>
  <c r="G15" i="6"/>
  <c r="F11" i="8" s="1"/>
  <c r="F57" i="8" s="1"/>
  <c r="F15" i="6"/>
  <c r="E15" i="6"/>
  <c r="D11" i="8" s="1"/>
  <c r="D57" i="8" s="1"/>
  <c r="D15" i="6"/>
  <c r="C11" i="8" s="1"/>
  <c r="C57" i="8" s="1"/>
  <c r="C15" i="6"/>
  <c r="B11" i="8" s="1"/>
  <c r="B57" i="8" s="1"/>
  <c r="Q16" i="6"/>
  <c r="P16" i="6"/>
  <c r="O16" i="6"/>
  <c r="N16" i="6"/>
  <c r="M12" i="8" s="1"/>
  <c r="M58" i="8" s="1"/>
  <c r="M16" i="6"/>
  <c r="L12" i="8" s="1"/>
  <c r="L58" i="8" s="1"/>
  <c r="L16" i="6"/>
  <c r="K12" i="8" s="1"/>
  <c r="K58" i="8" s="1"/>
  <c r="K16" i="6"/>
  <c r="J12" i="8" s="1"/>
  <c r="J58" i="8" s="1"/>
  <c r="J16" i="6"/>
  <c r="I12" i="8" s="1"/>
  <c r="I58" i="8" s="1"/>
  <c r="I16" i="6"/>
  <c r="H16" i="6"/>
  <c r="G16" i="6"/>
  <c r="F12" i="8" s="1"/>
  <c r="F58" i="8" s="1"/>
  <c r="F16" i="6"/>
  <c r="E16" i="6"/>
  <c r="D12" i="8" s="1"/>
  <c r="D58" i="8" s="1"/>
  <c r="D16" i="6"/>
  <c r="C12" i="8" s="1"/>
  <c r="C58" i="8" s="1"/>
  <c r="C16" i="6"/>
  <c r="B12" i="8" s="1"/>
  <c r="B58" i="8" s="1"/>
  <c r="Q17" i="6"/>
  <c r="P17" i="6"/>
  <c r="O17" i="6"/>
  <c r="N17" i="6"/>
  <c r="M13" i="8" s="1"/>
  <c r="M59" i="8" s="1"/>
  <c r="M17" i="6"/>
  <c r="L13" i="8" s="1"/>
  <c r="L59" i="8" s="1"/>
  <c r="L17" i="6"/>
  <c r="K13" i="8" s="1"/>
  <c r="K59" i="8" s="1"/>
  <c r="K17" i="6"/>
  <c r="J13" i="8" s="1"/>
  <c r="J59" i="8" s="1"/>
  <c r="J17" i="6"/>
  <c r="I13" i="8" s="1"/>
  <c r="I59" i="8" s="1"/>
  <c r="I17" i="6"/>
  <c r="H17" i="6"/>
  <c r="G17" i="6"/>
  <c r="F13" i="8" s="1"/>
  <c r="F59" i="8" s="1"/>
  <c r="F17" i="6"/>
  <c r="E17" i="6"/>
  <c r="D13" i="8" s="1"/>
  <c r="D59" i="8" s="1"/>
  <c r="D17" i="6"/>
  <c r="C13" i="8" s="1"/>
  <c r="C59" i="8" s="1"/>
  <c r="C17" i="6"/>
  <c r="B13" i="8" s="1"/>
  <c r="B59" i="8" s="1"/>
  <c r="Q18" i="6"/>
  <c r="P18" i="6"/>
  <c r="O18" i="6"/>
  <c r="N18" i="6"/>
  <c r="M14" i="8" s="1"/>
  <c r="M60" i="8" s="1"/>
  <c r="M18" i="6"/>
  <c r="L14" i="8" s="1"/>
  <c r="L60" i="8" s="1"/>
  <c r="L18" i="6"/>
  <c r="K14" i="8" s="1"/>
  <c r="K60" i="8" s="1"/>
  <c r="K18" i="6"/>
  <c r="J14" i="8" s="1"/>
  <c r="J60" i="8" s="1"/>
  <c r="J18" i="6"/>
  <c r="I14" i="8" s="1"/>
  <c r="I60" i="8" s="1"/>
  <c r="I18" i="6"/>
  <c r="H18" i="6"/>
  <c r="G18" i="6"/>
  <c r="F14" i="8" s="1"/>
  <c r="F60" i="8" s="1"/>
  <c r="F18" i="6"/>
  <c r="E18" i="6"/>
  <c r="D14" i="8" s="1"/>
  <c r="D60" i="8" s="1"/>
  <c r="D18" i="6"/>
  <c r="C14" i="8" s="1"/>
  <c r="C60" i="8" s="1"/>
  <c r="C18" i="6"/>
  <c r="B14" i="8" s="1"/>
  <c r="B60" i="8" s="1"/>
  <c r="Q19" i="6"/>
  <c r="P19" i="6"/>
  <c r="O19" i="6"/>
  <c r="N19" i="6"/>
  <c r="M15" i="8" s="1"/>
  <c r="M61" i="8" s="1"/>
  <c r="M19" i="6"/>
  <c r="L15" i="8" s="1"/>
  <c r="L61" i="8" s="1"/>
  <c r="L19" i="6"/>
  <c r="K15" i="8" s="1"/>
  <c r="K61" i="8" s="1"/>
  <c r="K19" i="6"/>
  <c r="J15" i="8" s="1"/>
  <c r="J61" i="8" s="1"/>
  <c r="J19" i="6"/>
  <c r="I15" i="8" s="1"/>
  <c r="I61" i="8" s="1"/>
  <c r="I19" i="6"/>
  <c r="H19" i="6"/>
  <c r="G19" i="6"/>
  <c r="F15" i="8" s="1"/>
  <c r="F61" i="8" s="1"/>
  <c r="F19" i="6"/>
  <c r="E19" i="6"/>
  <c r="D15" i="8" s="1"/>
  <c r="D61" i="8" s="1"/>
  <c r="D19" i="6"/>
  <c r="C15" i="8" s="1"/>
  <c r="C61" i="8" s="1"/>
  <c r="C19" i="6"/>
  <c r="B15" i="8" s="1"/>
  <c r="B61" i="8" s="1"/>
  <c r="Q20" i="6"/>
  <c r="P20" i="6"/>
  <c r="O20" i="6"/>
  <c r="N20" i="6"/>
  <c r="M16" i="8" s="1"/>
  <c r="M62" i="8" s="1"/>
  <c r="M20" i="6"/>
  <c r="L16" i="8" s="1"/>
  <c r="L62" i="8" s="1"/>
  <c r="L20" i="6"/>
  <c r="K16" i="8" s="1"/>
  <c r="K62" i="8" s="1"/>
  <c r="K20" i="6"/>
  <c r="J16" i="8" s="1"/>
  <c r="J62" i="8" s="1"/>
  <c r="J20" i="6"/>
  <c r="I16" i="8" s="1"/>
  <c r="I62" i="8" s="1"/>
  <c r="I20" i="6"/>
  <c r="H20" i="6"/>
  <c r="G20" i="6"/>
  <c r="F16" i="8" s="1"/>
  <c r="F62" i="8" s="1"/>
  <c r="F20" i="6"/>
  <c r="E20" i="6"/>
  <c r="D16" i="8" s="1"/>
  <c r="D62" i="8" s="1"/>
  <c r="D20" i="6"/>
  <c r="C16" i="8" s="1"/>
  <c r="C62" i="8" s="1"/>
  <c r="C20" i="6"/>
  <c r="B16" i="8" s="1"/>
  <c r="B62" i="8" s="1"/>
  <c r="Q21" i="6"/>
  <c r="P21" i="6"/>
  <c r="O21" i="6"/>
  <c r="N21" i="6"/>
  <c r="M17" i="8" s="1"/>
  <c r="M63" i="8" s="1"/>
  <c r="M21" i="6"/>
  <c r="L17" i="8" s="1"/>
  <c r="L63" i="8" s="1"/>
  <c r="L21" i="6"/>
  <c r="K17" i="8" s="1"/>
  <c r="K63" i="8" s="1"/>
  <c r="K21" i="6"/>
  <c r="J17" i="8" s="1"/>
  <c r="J63" i="8" s="1"/>
  <c r="J21" i="6"/>
  <c r="I17" i="8" s="1"/>
  <c r="I63" i="8" s="1"/>
  <c r="I21" i="6"/>
  <c r="H21" i="6"/>
  <c r="G21" i="6"/>
  <c r="F17" i="8" s="1"/>
  <c r="F63" i="8" s="1"/>
  <c r="F21" i="6"/>
  <c r="E21" i="6"/>
  <c r="D17" i="8" s="1"/>
  <c r="D63" i="8" s="1"/>
  <c r="D21" i="6"/>
  <c r="C17" i="8" s="1"/>
  <c r="C63" i="8" s="1"/>
  <c r="C21" i="6"/>
  <c r="B17" i="8" s="1"/>
  <c r="B63" i="8" s="1"/>
  <c r="Q22" i="6"/>
  <c r="P22" i="6"/>
  <c r="O22" i="6"/>
  <c r="N22" i="6"/>
  <c r="M18" i="8" s="1"/>
  <c r="M64" i="8" s="1"/>
  <c r="M22" i="6"/>
  <c r="L18" i="8" s="1"/>
  <c r="L64" i="8" s="1"/>
  <c r="L22" i="6"/>
  <c r="K18" i="8" s="1"/>
  <c r="K64" i="8" s="1"/>
  <c r="K22" i="6"/>
  <c r="J18" i="8" s="1"/>
  <c r="J64" i="8" s="1"/>
  <c r="J22" i="6"/>
  <c r="I18" i="8" s="1"/>
  <c r="I64" i="8" s="1"/>
  <c r="I22" i="6"/>
  <c r="H22" i="6"/>
  <c r="G22" i="6"/>
  <c r="F18" i="8" s="1"/>
  <c r="F64" i="8" s="1"/>
  <c r="F22" i="6"/>
  <c r="E22" i="6"/>
  <c r="D18" i="8" s="1"/>
  <c r="D64" i="8" s="1"/>
  <c r="D22" i="6"/>
  <c r="C18" i="8" s="1"/>
  <c r="C64" i="8" s="1"/>
  <c r="C22" i="6"/>
  <c r="B18" i="8" s="1"/>
  <c r="B64" i="8" s="1"/>
  <c r="Q23" i="6"/>
  <c r="P23" i="6"/>
  <c r="O23" i="6"/>
  <c r="N23" i="6"/>
  <c r="M19" i="8" s="1"/>
  <c r="M65" i="8" s="1"/>
  <c r="M23" i="6"/>
  <c r="L19" i="8" s="1"/>
  <c r="L65" i="8" s="1"/>
  <c r="L23" i="6"/>
  <c r="K19" i="8" s="1"/>
  <c r="K65" i="8" s="1"/>
  <c r="K23" i="6"/>
  <c r="J19" i="8" s="1"/>
  <c r="J65" i="8" s="1"/>
  <c r="J23" i="6"/>
  <c r="I19" i="8" s="1"/>
  <c r="I65" i="8" s="1"/>
  <c r="I23" i="6"/>
  <c r="H23" i="6"/>
  <c r="G23" i="6"/>
  <c r="F19" i="8" s="1"/>
  <c r="F65" i="8" s="1"/>
  <c r="F23" i="6"/>
  <c r="E23" i="6"/>
  <c r="D19" i="8" s="1"/>
  <c r="D65" i="8" s="1"/>
  <c r="D23" i="6"/>
  <c r="C19" i="8" s="1"/>
  <c r="C65" i="8" s="1"/>
  <c r="C23" i="6"/>
  <c r="B19" i="8" s="1"/>
  <c r="B65" i="8" s="1"/>
  <c r="Q24" i="6"/>
  <c r="P24" i="6"/>
  <c r="O24" i="6"/>
  <c r="N24" i="6"/>
  <c r="M20" i="8" s="1"/>
  <c r="M66" i="8" s="1"/>
  <c r="M24" i="6"/>
  <c r="L20" i="8" s="1"/>
  <c r="L66" i="8" s="1"/>
  <c r="L24" i="6"/>
  <c r="K20" i="8" s="1"/>
  <c r="K66" i="8" s="1"/>
  <c r="K24" i="6"/>
  <c r="J20" i="8" s="1"/>
  <c r="J66" i="8" s="1"/>
  <c r="J24" i="6"/>
  <c r="I20" i="8" s="1"/>
  <c r="I66" i="8" s="1"/>
  <c r="I24" i="6"/>
  <c r="H24" i="6"/>
  <c r="G24" i="6"/>
  <c r="F20" i="8" s="1"/>
  <c r="F66" i="8" s="1"/>
  <c r="F24" i="6"/>
  <c r="E24" i="6"/>
  <c r="D20" i="8" s="1"/>
  <c r="D66" i="8" s="1"/>
  <c r="D24" i="6"/>
  <c r="C20" i="8" s="1"/>
  <c r="C66" i="8" s="1"/>
  <c r="C24" i="6"/>
  <c r="B20" i="8" s="1"/>
  <c r="B66" i="8" s="1"/>
  <c r="Q25" i="6"/>
  <c r="P25" i="6"/>
  <c r="O25" i="6"/>
  <c r="N25" i="6"/>
  <c r="M21" i="8" s="1"/>
  <c r="M67" i="8" s="1"/>
  <c r="M25" i="6"/>
  <c r="L21" i="8" s="1"/>
  <c r="L67" i="8" s="1"/>
  <c r="L25" i="6"/>
  <c r="K21" i="8" s="1"/>
  <c r="K67" i="8" s="1"/>
  <c r="K25" i="6"/>
  <c r="J21" i="8" s="1"/>
  <c r="J67" i="8" s="1"/>
  <c r="J25" i="6"/>
  <c r="I21" i="8" s="1"/>
  <c r="I67" i="8" s="1"/>
  <c r="I25" i="6"/>
  <c r="H25" i="6"/>
  <c r="G25" i="6"/>
  <c r="F21" i="8" s="1"/>
  <c r="F67" i="8" s="1"/>
  <c r="F25" i="6"/>
  <c r="E25" i="6"/>
  <c r="D21" i="8" s="1"/>
  <c r="D67" i="8" s="1"/>
  <c r="D25" i="6"/>
  <c r="C21" i="8" s="1"/>
  <c r="C67" i="8" s="1"/>
  <c r="C25" i="6"/>
  <c r="B21" i="8" s="1"/>
  <c r="B67" i="8" s="1"/>
  <c r="Q26" i="6"/>
  <c r="P26" i="6"/>
  <c r="O26" i="6"/>
  <c r="N26" i="6"/>
  <c r="M22" i="8" s="1"/>
  <c r="M68" i="8" s="1"/>
  <c r="M26" i="6"/>
  <c r="L22" i="8" s="1"/>
  <c r="L68" i="8" s="1"/>
  <c r="L26" i="6"/>
  <c r="K22" i="8" s="1"/>
  <c r="K68" i="8" s="1"/>
  <c r="K26" i="6"/>
  <c r="J22" i="8" s="1"/>
  <c r="J68" i="8" s="1"/>
  <c r="J26" i="6"/>
  <c r="I22" i="8" s="1"/>
  <c r="I68" i="8" s="1"/>
  <c r="I26" i="6"/>
  <c r="H26" i="6"/>
  <c r="G26" i="6"/>
  <c r="F22" i="8" s="1"/>
  <c r="F68" i="8" s="1"/>
  <c r="F26" i="6"/>
  <c r="E26" i="6"/>
  <c r="D22" i="8" s="1"/>
  <c r="D68" i="8" s="1"/>
  <c r="D26" i="6"/>
  <c r="C22" i="8" s="1"/>
  <c r="C68" i="8" s="1"/>
  <c r="C26" i="6"/>
  <c r="B22" i="8" s="1"/>
  <c r="B68" i="8" s="1"/>
  <c r="Q27" i="6"/>
  <c r="P27" i="6"/>
  <c r="O27" i="6"/>
  <c r="N27" i="6"/>
  <c r="M23" i="8" s="1"/>
  <c r="M69" i="8" s="1"/>
  <c r="M27" i="6"/>
  <c r="L23" i="8" s="1"/>
  <c r="L69" i="8" s="1"/>
  <c r="L27" i="6"/>
  <c r="K23" i="8" s="1"/>
  <c r="K69" i="8" s="1"/>
  <c r="K27" i="6"/>
  <c r="J23" i="8" s="1"/>
  <c r="J69" i="8" s="1"/>
  <c r="J27" i="6"/>
  <c r="I23" i="8" s="1"/>
  <c r="I69" i="8" s="1"/>
  <c r="I27" i="6"/>
  <c r="H27" i="6"/>
  <c r="G27" i="6"/>
  <c r="F23" i="8" s="1"/>
  <c r="F69" i="8" s="1"/>
  <c r="F27" i="6"/>
  <c r="E27" i="6"/>
  <c r="D23" i="8" s="1"/>
  <c r="D69" i="8" s="1"/>
  <c r="D27" i="6"/>
  <c r="C23" i="8" s="1"/>
  <c r="C69" i="8" s="1"/>
  <c r="C27" i="6"/>
  <c r="B23" i="8" s="1"/>
  <c r="B69" i="8" s="1"/>
  <c r="Q28" i="6"/>
  <c r="P28" i="6"/>
  <c r="O28" i="6"/>
  <c r="N28" i="6"/>
  <c r="M24" i="8" s="1"/>
  <c r="M70" i="8" s="1"/>
  <c r="M28" i="6"/>
  <c r="L24" i="8" s="1"/>
  <c r="L70" i="8" s="1"/>
  <c r="L28" i="6"/>
  <c r="K24" i="8" s="1"/>
  <c r="K70" i="8" s="1"/>
  <c r="K28" i="6"/>
  <c r="J24" i="8" s="1"/>
  <c r="J70" i="8" s="1"/>
  <c r="J28" i="6"/>
  <c r="I24" i="8" s="1"/>
  <c r="I70" i="8" s="1"/>
  <c r="I28" i="6"/>
  <c r="H28" i="6"/>
  <c r="G28" i="6"/>
  <c r="F24" i="8" s="1"/>
  <c r="F70" i="8" s="1"/>
  <c r="F28" i="6"/>
  <c r="E28" i="6"/>
  <c r="D24" i="8" s="1"/>
  <c r="D70" i="8" s="1"/>
  <c r="D28" i="6"/>
  <c r="C24" i="8" s="1"/>
  <c r="C70" i="8" s="1"/>
  <c r="C28" i="6"/>
  <c r="B24" i="8" s="1"/>
  <c r="B70" i="8" s="1"/>
  <c r="Q29" i="6"/>
  <c r="P29" i="6"/>
  <c r="O29" i="6"/>
  <c r="N29" i="6"/>
  <c r="M25" i="8" s="1"/>
  <c r="M71" i="8" s="1"/>
  <c r="M29" i="6"/>
  <c r="L25" i="8" s="1"/>
  <c r="L71" i="8" s="1"/>
  <c r="L29" i="6"/>
  <c r="K25" i="8" s="1"/>
  <c r="K71" i="8" s="1"/>
  <c r="K29" i="6"/>
  <c r="J25" i="8" s="1"/>
  <c r="J71" i="8" s="1"/>
  <c r="J29" i="6"/>
  <c r="I25" i="8" s="1"/>
  <c r="I71" i="8" s="1"/>
  <c r="I29" i="6"/>
  <c r="H29" i="6"/>
  <c r="G29" i="6"/>
  <c r="F25" i="8" s="1"/>
  <c r="F71" i="8" s="1"/>
  <c r="F29" i="6"/>
  <c r="E29" i="6"/>
  <c r="D25" i="8" s="1"/>
  <c r="D71" i="8" s="1"/>
  <c r="D29" i="6"/>
  <c r="C25" i="8" s="1"/>
  <c r="C71" i="8" s="1"/>
  <c r="C29" i="6"/>
  <c r="B25" i="8" s="1"/>
  <c r="B71" i="8" s="1"/>
  <c r="Q30" i="6"/>
  <c r="P30" i="6"/>
  <c r="O30" i="6"/>
  <c r="N30" i="6"/>
  <c r="M26" i="8" s="1"/>
  <c r="M72" i="8" s="1"/>
  <c r="M30" i="6"/>
  <c r="L26" i="8" s="1"/>
  <c r="L72" i="8" s="1"/>
  <c r="L30" i="6"/>
  <c r="K26" i="8" s="1"/>
  <c r="K72" i="8" s="1"/>
  <c r="K30" i="6"/>
  <c r="J26" i="8" s="1"/>
  <c r="J72" i="8" s="1"/>
  <c r="J30" i="6"/>
  <c r="I26" i="8" s="1"/>
  <c r="I72" i="8" s="1"/>
  <c r="I30" i="6"/>
  <c r="H30" i="6"/>
  <c r="G30" i="6"/>
  <c r="F26" i="8" s="1"/>
  <c r="F72" i="8" s="1"/>
  <c r="F30" i="6"/>
  <c r="E30" i="6"/>
  <c r="D26" i="8" s="1"/>
  <c r="D72" i="8" s="1"/>
  <c r="D30" i="6"/>
  <c r="C26" i="8" s="1"/>
  <c r="C72" i="8" s="1"/>
  <c r="C30" i="6"/>
  <c r="B26" i="8" s="1"/>
  <c r="B72" i="8" s="1"/>
  <c r="Q31" i="6"/>
  <c r="P31" i="6"/>
  <c r="O31" i="6"/>
  <c r="N31" i="6"/>
  <c r="M27" i="8" s="1"/>
  <c r="M73" i="8" s="1"/>
  <c r="M31" i="6"/>
  <c r="L27" i="8" s="1"/>
  <c r="L73" i="8" s="1"/>
  <c r="L31" i="6"/>
  <c r="K27" i="8" s="1"/>
  <c r="K73" i="8" s="1"/>
  <c r="K31" i="6"/>
  <c r="J27" i="8" s="1"/>
  <c r="J73" i="8" s="1"/>
  <c r="J31" i="6"/>
  <c r="I27" i="8" s="1"/>
  <c r="I73" i="8" s="1"/>
  <c r="I31" i="6"/>
  <c r="H31" i="6"/>
  <c r="G31" i="6"/>
  <c r="F27" i="8" s="1"/>
  <c r="F73" i="8" s="1"/>
  <c r="F31" i="6"/>
  <c r="E31" i="6"/>
  <c r="D27" i="8" s="1"/>
  <c r="D73" i="8" s="1"/>
  <c r="D31" i="6"/>
  <c r="C27" i="8" s="1"/>
  <c r="C73" i="8" s="1"/>
  <c r="C31" i="6"/>
  <c r="B27" i="8" s="1"/>
  <c r="B73" i="8" s="1"/>
  <c r="Q32" i="6"/>
  <c r="P32" i="6"/>
  <c r="O32" i="6"/>
  <c r="N32" i="6"/>
  <c r="M28" i="8" s="1"/>
  <c r="M74" i="8" s="1"/>
  <c r="M32" i="6"/>
  <c r="L28" i="8" s="1"/>
  <c r="L74" i="8" s="1"/>
  <c r="L32" i="6"/>
  <c r="K28" i="8" s="1"/>
  <c r="K74" i="8" s="1"/>
  <c r="K32" i="6"/>
  <c r="J28" i="8" s="1"/>
  <c r="J74" i="8" s="1"/>
  <c r="J32" i="6"/>
  <c r="I28" i="8" s="1"/>
  <c r="I74" i="8" s="1"/>
  <c r="I32" i="6"/>
  <c r="H32" i="6"/>
  <c r="G32" i="6"/>
  <c r="F28" i="8" s="1"/>
  <c r="F74" i="8" s="1"/>
  <c r="F32" i="6"/>
  <c r="E32" i="6"/>
  <c r="D28" i="8" s="1"/>
  <c r="D74" i="8" s="1"/>
  <c r="D32" i="6"/>
  <c r="C28" i="8" s="1"/>
  <c r="C74" i="8" s="1"/>
  <c r="C32" i="6"/>
  <c r="B28" i="8" s="1"/>
  <c r="B74" i="8" s="1"/>
  <c r="Q33" i="6"/>
  <c r="P33" i="6"/>
  <c r="O33" i="6"/>
  <c r="N33" i="6"/>
  <c r="M29" i="8" s="1"/>
  <c r="M75" i="8" s="1"/>
  <c r="M33" i="6"/>
  <c r="L29" i="8" s="1"/>
  <c r="L75" i="8" s="1"/>
  <c r="L33" i="6"/>
  <c r="K29" i="8" s="1"/>
  <c r="K75" i="8" s="1"/>
  <c r="K33" i="6"/>
  <c r="J29" i="8" s="1"/>
  <c r="J75" i="8" s="1"/>
  <c r="J33" i="6"/>
  <c r="I29" i="8" s="1"/>
  <c r="I75" i="8" s="1"/>
  <c r="I33" i="6"/>
  <c r="H33" i="6"/>
  <c r="G33" i="6"/>
  <c r="F29" i="8" s="1"/>
  <c r="F75" i="8" s="1"/>
  <c r="F33" i="6"/>
  <c r="E33" i="6"/>
  <c r="D29" i="8" s="1"/>
  <c r="D75" i="8" s="1"/>
  <c r="D33" i="6"/>
  <c r="C29" i="8" s="1"/>
  <c r="C75" i="8" s="1"/>
  <c r="C33" i="6"/>
  <c r="B29" i="8" s="1"/>
  <c r="B75" i="8" s="1"/>
  <c r="Q34" i="6"/>
  <c r="P34" i="6"/>
  <c r="O34" i="6"/>
  <c r="N34" i="6"/>
  <c r="M30" i="8" s="1"/>
  <c r="M76" i="8" s="1"/>
  <c r="M34" i="6"/>
  <c r="L30" i="8" s="1"/>
  <c r="L76" i="8" s="1"/>
  <c r="L34" i="6"/>
  <c r="K30" i="8" s="1"/>
  <c r="K76" i="8" s="1"/>
  <c r="K34" i="6"/>
  <c r="J30" i="8" s="1"/>
  <c r="J76" i="8" s="1"/>
  <c r="J34" i="6"/>
  <c r="I30" i="8" s="1"/>
  <c r="I76" i="8" s="1"/>
  <c r="I34" i="6"/>
  <c r="H34" i="6"/>
  <c r="G34" i="6"/>
  <c r="F30" i="8" s="1"/>
  <c r="F76" i="8" s="1"/>
  <c r="F34" i="6"/>
  <c r="E34" i="6"/>
  <c r="D30" i="8" s="1"/>
  <c r="D76" i="8" s="1"/>
  <c r="D34" i="6"/>
  <c r="C30" i="8" s="1"/>
  <c r="C76" i="8" s="1"/>
  <c r="C34" i="6"/>
  <c r="B30" i="8" s="1"/>
  <c r="B76" i="8" s="1"/>
  <c r="Q35" i="6"/>
  <c r="P35" i="6"/>
  <c r="O35" i="6"/>
  <c r="N35" i="6"/>
  <c r="M31" i="8" s="1"/>
  <c r="M77" i="8" s="1"/>
  <c r="M35" i="6"/>
  <c r="L31" i="8" s="1"/>
  <c r="L77" i="8" s="1"/>
  <c r="L35" i="6"/>
  <c r="K31" i="8" s="1"/>
  <c r="K77" i="8" s="1"/>
  <c r="K35" i="6"/>
  <c r="J31" i="8" s="1"/>
  <c r="J77" i="8" s="1"/>
  <c r="J35" i="6"/>
  <c r="I31" i="8" s="1"/>
  <c r="I77" i="8" s="1"/>
  <c r="I35" i="6"/>
  <c r="H35" i="6"/>
  <c r="G35" i="6"/>
  <c r="F31" i="8" s="1"/>
  <c r="F77" i="8" s="1"/>
  <c r="F35" i="6"/>
  <c r="E35" i="6"/>
  <c r="D31" i="8" s="1"/>
  <c r="D77" i="8" s="1"/>
  <c r="D35" i="6"/>
  <c r="C31" i="8" s="1"/>
  <c r="C77" i="8" s="1"/>
  <c r="C35" i="6"/>
  <c r="B31" i="8" s="1"/>
  <c r="B77" i="8" s="1"/>
  <c r="Q36" i="6"/>
  <c r="P36" i="6"/>
  <c r="O36" i="6"/>
  <c r="N36" i="6"/>
  <c r="M32" i="8" s="1"/>
  <c r="M78" i="8" s="1"/>
  <c r="M36" i="6"/>
  <c r="L32" i="8" s="1"/>
  <c r="L78" i="8" s="1"/>
  <c r="L36" i="6"/>
  <c r="K32" i="8" s="1"/>
  <c r="K78" i="8" s="1"/>
  <c r="K36" i="6"/>
  <c r="J32" i="8" s="1"/>
  <c r="J78" i="8" s="1"/>
  <c r="J36" i="6"/>
  <c r="I32" i="8" s="1"/>
  <c r="I78" i="8" s="1"/>
  <c r="I36" i="6"/>
  <c r="H36" i="6"/>
  <c r="G36" i="6"/>
  <c r="F32" i="8" s="1"/>
  <c r="F78" i="8" s="1"/>
  <c r="F36" i="6"/>
  <c r="E36" i="6"/>
  <c r="D32" i="8" s="1"/>
  <c r="D78" i="8" s="1"/>
  <c r="D36" i="6"/>
  <c r="C32" i="8" s="1"/>
  <c r="C78" i="8" s="1"/>
  <c r="C36" i="6"/>
  <c r="B32" i="8" s="1"/>
  <c r="B78" i="8" s="1"/>
  <c r="Q37" i="6"/>
  <c r="P37" i="6"/>
  <c r="O37" i="6"/>
  <c r="N37" i="6"/>
  <c r="M33" i="8" s="1"/>
  <c r="M79" i="8" s="1"/>
  <c r="M37" i="6"/>
  <c r="L33" i="8" s="1"/>
  <c r="L79" i="8" s="1"/>
  <c r="L37" i="6"/>
  <c r="K33" i="8" s="1"/>
  <c r="K79" i="8" s="1"/>
  <c r="K37" i="6"/>
  <c r="J33" i="8" s="1"/>
  <c r="J79" i="8" s="1"/>
  <c r="J37" i="6"/>
  <c r="I33" i="8" s="1"/>
  <c r="I79" i="8" s="1"/>
  <c r="I37" i="6"/>
  <c r="H37" i="6"/>
  <c r="G37" i="6"/>
  <c r="F33" i="8" s="1"/>
  <c r="F79" i="8" s="1"/>
  <c r="F37" i="6"/>
  <c r="E37" i="6"/>
  <c r="D33" i="8" s="1"/>
  <c r="D79" i="8" s="1"/>
  <c r="D37" i="6"/>
  <c r="C33" i="8" s="1"/>
  <c r="C79" i="8" s="1"/>
  <c r="C37" i="6"/>
  <c r="B33" i="8" s="1"/>
  <c r="B79" i="8" s="1"/>
  <c r="Q38" i="6"/>
  <c r="P38" i="6"/>
  <c r="O38" i="6"/>
  <c r="N38" i="6"/>
  <c r="M34" i="8" s="1"/>
  <c r="M80" i="8" s="1"/>
  <c r="M38" i="6"/>
  <c r="L34" i="8" s="1"/>
  <c r="L80" i="8" s="1"/>
  <c r="L38" i="6"/>
  <c r="K34" i="8" s="1"/>
  <c r="K80" i="8" s="1"/>
  <c r="K38" i="6"/>
  <c r="J34" i="8" s="1"/>
  <c r="J80" i="8" s="1"/>
  <c r="J38" i="6"/>
  <c r="I34" i="8" s="1"/>
  <c r="I80" i="8" s="1"/>
  <c r="I38" i="6"/>
  <c r="H38" i="6"/>
  <c r="G38" i="6"/>
  <c r="F34" i="8" s="1"/>
  <c r="F80" i="8" s="1"/>
  <c r="F38" i="6"/>
  <c r="E38" i="6"/>
  <c r="D34" i="8" s="1"/>
  <c r="D80" i="8" s="1"/>
  <c r="D38" i="6"/>
  <c r="C34" i="8" s="1"/>
  <c r="C80" i="8" s="1"/>
  <c r="C38" i="6"/>
  <c r="B34" i="8" s="1"/>
  <c r="B80" i="8" s="1"/>
  <c r="Q39" i="6"/>
  <c r="P39" i="6"/>
  <c r="O39" i="6"/>
  <c r="N39" i="6"/>
  <c r="M35" i="8" s="1"/>
  <c r="M81" i="8" s="1"/>
  <c r="M39" i="6"/>
  <c r="L35" i="8" s="1"/>
  <c r="L81" i="8" s="1"/>
  <c r="L39" i="6"/>
  <c r="K35" i="8" s="1"/>
  <c r="K81" i="8" s="1"/>
  <c r="K39" i="6"/>
  <c r="J35" i="8" s="1"/>
  <c r="J81" i="8" s="1"/>
  <c r="J39" i="6"/>
  <c r="I35" i="8" s="1"/>
  <c r="I81" i="8" s="1"/>
  <c r="I39" i="6"/>
  <c r="H39" i="6"/>
  <c r="G39" i="6"/>
  <c r="F35" i="8" s="1"/>
  <c r="F81" i="8" s="1"/>
  <c r="F39" i="6"/>
  <c r="E39" i="6"/>
  <c r="D35" i="8" s="1"/>
  <c r="D81" i="8" s="1"/>
  <c r="D39" i="6"/>
  <c r="C35" i="8" s="1"/>
  <c r="C81" i="8" s="1"/>
  <c r="C39" i="6"/>
  <c r="B35" i="8" s="1"/>
  <c r="B81" i="8" s="1"/>
  <c r="Q40" i="6"/>
  <c r="P40" i="6"/>
  <c r="O40" i="6"/>
  <c r="N40" i="6"/>
  <c r="M36" i="8" s="1"/>
  <c r="M82" i="8" s="1"/>
  <c r="M40" i="6"/>
  <c r="L36" i="8" s="1"/>
  <c r="L82" i="8" s="1"/>
  <c r="L40" i="6"/>
  <c r="K36" i="8" s="1"/>
  <c r="K82" i="8" s="1"/>
  <c r="K40" i="6"/>
  <c r="J36" i="8" s="1"/>
  <c r="J82" i="8" s="1"/>
  <c r="J40" i="6"/>
  <c r="I36" i="8" s="1"/>
  <c r="I82" i="8" s="1"/>
  <c r="I40" i="6"/>
  <c r="H40" i="6"/>
  <c r="G40" i="6"/>
  <c r="F36" i="8" s="1"/>
  <c r="F82" i="8" s="1"/>
  <c r="F40" i="6"/>
  <c r="E40" i="6"/>
  <c r="D36" i="8" s="1"/>
  <c r="D82" i="8" s="1"/>
  <c r="D40" i="6"/>
  <c r="C36" i="8" s="1"/>
  <c r="C82" i="8" s="1"/>
  <c r="C40" i="6"/>
  <c r="B36" i="8" s="1"/>
  <c r="B82" i="8" s="1"/>
  <c r="Q41" i="6"/>
  <c r="P41" i="6"/>
  <c r="O41" i="6"/>
  <c r="N41" i="6"/>
  <c r="M37" i="8" s="1"/>
  <c r="M83" i="8" s="1"/>
  <c r="M41" i="6"/>
  <c r="L37" i="8" s="1"/>
  <c r="L83" i="8" s="1"/>
  <c r="L41" i="6"/>
  <c r="K37" i="8" s="1"/>
  <c r="K83" i="8" s="1"/>
  <c r="K41" i="6"/>
  <c r="J37" i="8" s="1"/>
  <c r="J83" i="8" s="1"/>
  <c r="J41" i="6"/>
  <c r="I37" i="8" s="1"/>
  <c r="I83" i="8" s="1"/>
  <c r="I41" i="6"/>
  <c r="H41" i="6"/>
  <c r="G41" i="6"/>
  <c r="F37" i="8" s="1"/>
  <c r="F83" i="8" s="1"/>
  <c r="F41" i="6"/>
  <c r="E41" i="6"/>
  <c r="D37" i="8" s="1"/>
  <c r="D83" i="8" s="1"/>
  <c r="D41" i="6"/>
  <c r="C37" i="8" s="1"/>
  <c r="C83" i="8" s="1"/>
  <c r="C41" i="6"/>
  <c r="B37" i="8" s="1"/>
  <c r="B83" i="8" s="1"/>
  <c r="Q42" i="6"/>
  <c r="P42" i="6"/>
  <c r="O42" i="6"/>
  <c r="N42" i="6"/>
  <c r="M38" i="8" s="1"/>
  <c r="M84" i="8" s="1"/>
  <c r="M42" i="6"/>
  <c r="L38" i="8" s="1"/>
  <c r="L84" i="8" s="1"/>
  <c r="L42" i="6"/>
  <c r="K38" i="8" s="1"/>
  <c r="K84" i="8" s="1"/>
  <c r="K42" i="6"/>
  <c r="J38" i="8" s="1"/>
  <c r="J84" i="8" s="1"/>
  <c r="J42" i="6"/>
  <c r="I38" i="8" s="1"/>
  <c r="I84" i="8" s="1"/>
  <c r="I42" i="6"/>
  <c r="H42" i="6"/>
  <c r="G42" i="6"/>
  <c r="F38" i="8" s="1"/>
  <c r="F84" i="8" s="1"/>
  <c r="F42" i="6"/>
  <c r="E42" i="6"/>
  <c r="D38" i="8" s="1"/>
  <c r="D84" i="8" s="1"/>
  <c r="D42" i="6"/>
  <c r="C38" i="8" s="1"/>
  <c r="C84" i="8" s="1"/>
  <c r="C42" i="6"/>
  <c r="B38" i="8" s="1"/>
  <c r="B84" i="8" s="1"/>
  <c r="Q43" i="6"/>
  <c r="P43" i="6"/>
  <c r="O43" i="6"/>
  <c r="N43" i="6"/>
  <c r="M39" i="8" s="1"/>
  <c r="M85" i="8" s="1"/>
  <c r="M43" i="6"/>
  <c r="L39" i="8" s="1"/>
  <c r="L85" i="8" s="1"/>
  <c r="L43" i="6"/>
  <c r="K39" i="8" s="1"/>
  <c r="K85" i="8" s="1"/>
  <c r="K43" i="6"/>
  <c r="J39" i="8" s="1"/>
  <c r="J85" i="8" s="1"/>
  <c r="J43" i="6"/>
  <c r="I39" i="8" s="1"/>
  <c r="I85" i="8" s="1"/>
  <c r="I43" i="6"/>
  <c r="H43" i="6"/>
  <c r="G43" i="6"/>
  <c r="F39" i="8" s="1"/>
  <c r="F85" i="8" s="1"/>
  <c r="F43" i="6"/>
  <c r="E43" i="6"/>
  <c r="D39" i="8" s="1"/>
  <c r="D85" i="8" s="1"/>
  <c r="D43" i="6"/>
  <c r="C39" i="8" s="1"/>
  <c r="C85" i="8" s="1"/>
  <c r="C43" i="6"/>
  <c r="B39" i="8" s="1"/>
  <c r="B85" i="8" s="1"/>
  <c r="Q44" i="6"/>
  <c r="P44" i="6"/>
  <c r="O44" i="6"/>
  <c r="N44" i="6"/>
  <c r="M40" i="8" s="1"/>
  <c r="M86" i="8" s="1"/>
  <c r="M44" i="6"/>
  <c r="L40" i="8" s="1"/>
  <c r="L86" i="8" s="1"/>
  <c r="L44" i="6"/>
  <c r="K40" i="8" s="1"/>
  <c r="K86" i="8" s="1"/>
  <c r="K44" i="6"/>
  <c r="J40" i="8" s="1"/>
  <c r="J86" i="8" s="1"/>
  <c r="J44" i="6"/>
  <c r="I40" i="8" s="1"/>
  <c r="I86" i="8" s="1"/>
  <c r="I44" i="6"/>
  <c r="H44" i="6"/>
  <c r="G44" i="6"/>
  <c r="F40" i="8" s="1"/>
  <c r="F86" i="8" s="1"/>
  <c r="F44" i="6"/>
  <c r="E44" i="6"/>
  <c r="D40" i="8" s="1"/>
  <c r="D86" i="8" s="1"/>
  <c r="D44" i="6"/>
  <c r="C40" i="8" s="1"/>
  <c r="C86" i="8" s="1"/>
  <c r="C44" i="6"/>
  <c r="B40" i="8" s="1"/>
  <c r="B86" i="8" s="1"/>
  <c r="Q45" i="6"/>
  <c r="P45" i="6"/>
  <c r="O45" i="6"/>
  <c r="N45" i="6"/>
  <c r="M41" i="8" s="1"/>
  <c r="M87" i="8" s="1"/>
  <c r="M45" i="6"/>
  <c r="L41" i="8" s="1"/>
  <c r="L87" i="8" s="1"/>
  <c r="L45" i="6"/>
  <c r="K41" i="8" s="1"/>
  <c r="K87" i="8" s="1"/>
  <c r="K45" i="6"/>
  <c r="J41" i="8" s="1"/>
  <c r="J87" i="8" s="1"/>
  <c r="J45" i="6"/>
  <c r="I41" i="8" s="1"/>
  <c r="I87" i="8" s="1"/>
  <c r="I45" i="6"/>
  <c r="H45" i="6"/>
  <c r="G45" i="6"/>
  <c r="F41" i="8" s="1"/>
  <c r="F87" i="8" s="1"/>
  <c r="F45" i="6"/>
  <c r="E45" i="6"/>
  <c r="D41" i="8" s="1"/>
  <c r="D87" i="8" s="1"/>
  <c r="D45" i="6"/>
  <c r="C41" i="8" s="1"/>
  <c r="C87" i="8" s="1"/>
  <c r="C45" i="6"/>
  <c r="B41" i="8" s="1"/>
  <c r="B87" i="8" s="1"/>
  <c r="Q46" i="6"/>
  <c r="P46" i="6"/>
  <c r="O46" i="6"/>
  <c r="N46" i="6"/>
  <c r="M42" i="8" s="1"/>
  <c r="M88" i="8" s="1"/>
  <c r="M46" i="6"/>
  <c r="L42" i="8" s="1"/>
  <c r="L88" i="8" s="1"/>
  <c r="L46" i="6"/>
  <c r="K42" i="8" s="1"/>
  <c r="K88" i="8" s="1"/>
  <c r="K46" i="6"/>
  <c r="J42" i="8" s="1"/>
  <c r="J88" i="8" s="1"/>
  <c r="J46" i="6"/>
  <c r="I42" i="8" s="1"/>
  <c r="I88" i="8" s="1"/>
  <c r="I46" i="6"/>
  <c r="H46" i="6"/>
  <c r="G46" i="6"/>
  <c r="F42" i="8" s="1"/>
  <c r="F88" i="8" s="1"/>
  <c r="F46" i="6"/>
  <c r="E46" i="6"/>
  <c r="D42" i="8" s="1"/>
  <c r="D88" i="8" s="1"/>
  <c r="D46" i="6"/>
  <c r="C42" i="8" s="1"/>
  <c r="C88" i="8" s="1"/>
  <c r="C46" i="6"/>
  <c r="B42" i="8" s="1"/>
  <c r="B88" i="8" s="1"/>
  <c r="Q47" i="6"/>
  <c r="P47" i="6"/>
  <c r="O47" i="6"/>
  <c r="N47" i="6"/>
  <c r="M43" i="8" s="1"/>
  <c r="M89" i="8" s="1"/>
  <c r="M47" i="6"/>
  <c r="L43" i="8" s="1"/>
  <c r="L89" i="8" s="1"/>
  <c r="L47" i="6"/>
  <c r="K43" i="8" s="1"/>
  <c r="K89" i="8" s="1"/>
  <c r="K47" i="6"/>
  <c r="J43" i="8" s="1"/>
  <c r="J89" i="8" s="1"/>
  <c r="J47" i="6"/>
  <c r="I43" i="8" s="1"/>
  <c r="I89" i="8" s="1"/>
  <c r="I47" i="6"/>
  <c r="H47" i="6"/>
  <c r="G47" i="6"/>
  <c r="F43" i="8" s="1"/>
  <c r="F89" i="8" s="1"/>
  <c r="F47" i="6"/>
  <c r="E47" i="6"/>
  <c r="D43" i="8" s="1"/>
  <c r="D89" i="8" s="1"/>
  <c r="D47" i="6"/>
  <c r="C43" i="8" s="1"/>
  <c r="C89" i="8" s="1"/>
  <c r="C47" i="6"/>
  <c r="B43" i="8" s="1"/>
  <c r="B89" i="8" s="1"/>
  <c r="Q48" i="6"/>
  <c r="P48" i="6"/>
  <c r="O48" i="6"/>
  <c r="N48" i="6"/>
  <c r="M44" i="8" s="1"/>
  <c r="M90" i="8" s="1"/>
  <c r="M48" i="6"/>
  <c r="L44" i="8" s="1"/>
  <c r="L90" i="8" s="1"/>
  <c r="L48" i="6"/>
  <c r="K44" i="8" s="1"/>
  <c r="K90" i="8" s="1"/>
  <c r="K48" i="6"/>
  <c r="J44" i="8" s="1"/>
  <c r="J90" i="8" s="1"/>
  <c r="J48" i="6"/>
  <c r="I44" i="8" s="1"/>
  <c r="I90" i="8" s="1"/>
  <c r="I48" i="6"/>
  <c r="H48" i="6"/>
  <c r="G48" i="6"/>
  <c r="F44" i="8" s="1"/>
  <c r="F90" i="8" s="1"/>
  <c r="F48" i="6"/>
  <c r="E48" i="6"/>
  <c r="D44" i="8" s="1"/>
  <c r="D90" i="8" s="1"/>
  <c r="D48" i="6"/>
  <c r="C44" i="8" s="1"/>
  <c r="C90" i="8" s="1"/>
  <c r="C48" i="6"/>
  <c r="B44" i="8" s="1"/>
  <c r="B90" i="8" s="1"/>
  <c r="Q49" i="6"/>
  <c r="P49" i="6"/>
  <c r="O49" i="6"/>
  <c r="N49" i="6"/>
  <c r="M45" i="8" s="1"/>
  <c r="M91" i="8" s="1"/>
  <c r="M49" i="6"/>
  <c r="L45" i="8" s="1"/>
  <c r="L91" i="8" s="1"/>
  <c r="L49" i="6"/>
  <c r="K45" i="8" s="1"/>
  <c r="K91" i="8" s="1"/>
  <c r="K49" i="6"/>
  <c r="J45" i="8" s="1"/>
  <c r="J91" i="8" s="1"/>
  <c r="J49" i="6"/>
  <c r="I45" i="8" s="1"/>
  <c r="I91" i="8" s="1"/>
  <c r="I49" i="6"/>
  <c r="H49" i="6"/>
  <c r="G49" i="6"/>
  <c r="F45" i="8" s="1"/>
  <c r="F91" i="8" s="1"/>
  <c r="F49" i="6"/>
  <c r="E49" i="6"/>
  <c r="D45" i="8" s="1"/>
  <c r="D91" i="8" s="1"/>
  <c r="D49" i="6"/>
  <c r="C45" i="8" s="1"/>
  <c r="C91" i="8" s="1"/>
  <c r="C49" i="6"/>
  <c r="B45" i="8" s="1"/>
  <c r="B91" i="8" s="1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B47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B46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B45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B44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B43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B42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B41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B40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B39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B38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C37" i="5"/>
  <c r="B37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B36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B35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B34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B33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B32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B31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B30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B29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28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B27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B26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B25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B24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B23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B22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B21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B19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B18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B17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16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B14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12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B11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B10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9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B8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B7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B6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5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Q5" i="2"/>
  <c r="Q6" i="2"/>
  <c r="Q7" i="2"/>
  <c r="Q8" i="2"/>
  <c r="Q9" i="2"/>
  <c r="Q10" i="2"/>
  <c r="Q11" i="2"/>
  <c r="Q12" i="2"/>
  <c r="Q13" i="2"/>
  <c r="Q14" i="2"/>
  <c r="Q4" i="2"/>
  <c r="BG10" i="2" l="1"/>
  <c r="BG11" i="2"/>
  <c r="BG8" i="2"/>
  <c r="BG9" i="2"/>
  <c r="BG7" i="2"/>
  <c r="BG6" i="2"/>
  <c r="BG13" i="2"/>
  <c r="BG5" i="2"/>
  <c r="JY3" i="2"/>
  <c r="BG3" i="2"/>
  <c r="BG12" i="2"/>
  <c r="BG4" i="2"/>
  <c r="AL11" i="2"/>
  <c r="CB11" i="2"/>
  <c r="DR11" i="2" s="1"/>
  <c r="AL10" i="2"/>
  <c r="CB10" i="2"/>
  <c r="DR10" i="2" s="1"/>
  <c r="AL8" i="2"/>
  <c r="CB8" i="2"/>
  <c r="DR8" i="2" s="1"/>
  <c r="AL12" i="2"/>
  <c r="CB12" i="2"/>
  <c r="DR12" i="2" s="1"/>
  <c r="AL9" i="2"/>
  <c r="CB9" i="2"/>
  <c r="DR9" i="2" s="1"/>
  <c r="AL4" i="2"/>
  <c r="CB4" i="2"/>
  <c r="DR4" i="2" s="1"/>
  <c r="CB3" i="2"/>
  <c r="DR3" i="2" s="1"/>
  <c r="AL7" i="2"/>
  <c r="CB7" i="2"/>
  <c r="DR7" i="2" s="1"/>
  <c r="CB14" i="2"/>
  <c r="AL6" i="2"/>
  <c r="CB6" i="2"/>
  <c r="DR6" i="2" s="1"/>
  <c r="AL13" i="2"/>
  <c r="CB13" i="2"/>
  <c r="DR13" i="2" s="1"/>
  <c r="AL5" i="2"/>
  <c r="CB5" i="2"/>
  <c r="DR5" i="2" s="1"/>
  <c r="I2" i="8"/>
  <c r="I48" i="8" s="1"/>
  <c r="B2" i="8"/>
  <c r="B48" i="8" s="1"/>
  <c r="J2" i="8"/>
  <c r="J48" i="8" s="1"/>
  <c r="C2" i="8"/>
  <c r="C48" i="8" s="1"/>
  <c r="K2" i="8"/>
  <c r="K48" i="8" s="1"/>
  <c r="D2" i="8"/>
  <c r="D48" i="8" s="1"/>
  <c r="L2" i="8"/>
  <c r="L48" i="8" s="1"/>
  <c r="M2" i="8"/>
  <c r="M48" i="8" s="1"/>
  <c r="F2" i="8"/>
  <c r="F48" i="8" s="1"/>
  <c r="JY5" i="2"/>
  <c r="JY11" i="2"/>
  <c r="JY10" i="2"/>
  <c r="JY13" i="2"/>
  <c r="JY4" i="2"/>
  <c r="JY9" i="2"/>
  <c r="JY12" i="2"/>
  <c r="JY8" i="2"/>
  <c r="JY7" i="2"/>
  <c r="JY6" i="2"/>
  <c r="P5" i="2"/>
  <c r="P6" i="2"/>
  <c r="P7" i="2"/>
  <c r="P8" i="2"/>
  <c r="P9" i="2"/>
  <c r="P10" i="2"/>
  <c r="P11" i="2"/>
  <c r="P12" i="2"/>
  <c r="P13" i="2"/>
  <c r="P14" i="2"/>
  <c r="P4" i="2"/>
  <c r="O5" i="2"/>
  <c r="O6" i="2"/>
  <c r="O7" i="2"/>
  <c r="O8" i="2"/>
  <c r="O9" i="2"/>
  <c r="O10" i="2"/>
  <c r="O11" i="2"/>
  <c r="O12" i="2"/>
  <c r="O13" i="2"/>
  <c r="O14" i="2"/>
  <c r="O4" i="2"/>
  <c r="N5" i="2"/>
  <c r="N6" i="2"/>
  <c r="N7" i="2"/>
  <c r="N8" i="2"/>
  <c r="N9" i="2"/>
  <c r="N10" i="2"/>
  <c r="N11" i="2"/>
  <c r="N12" i="2"/>
  <c r="N13" i="2"/>
  <c r="N14" i="2"/>
  <c r="N4" i="2"/>
  <c r="M5" i="2"/>
  <c r="M6" i="2"/>
  <c r="M7" i="2"/>
  <c r="M8" i="2"/>
  <c r="M9" i="2"/>
  <c r="M10" i="2"/>
  <c r="M11" i="2"/>
  <c r="M12" i="2"/>
  <c r="M13" i="2"/>
  <c r="M14" i="2"/>
  <c r="M4" i="2"/>
  <c r="L5" i="2"/>
  <c r="L6" i="2"/>
  <c r="L7" i="2"/>
  <c r="L8" i="2"/>
  <c r="L9" i="2"/>
  <c r="L10" i="2"/>
  <c r="L11" i="2"/>
  <c r="L12" i="2"/>
  <c r="L13" i="2"/>
  <c r="L14" i="2"/>
  <c r="L4" i="2"/>
  <c r="K5" i="2"/>
  <c r="K6" i="2"/>
  <c r="K7" i="2"/>
  <c r="K8" i="2"/>
  <c r="K9" i="2"/>
  <c r="K10" i="2"/>
  <c r="K11" i="2"/>
  <c r="K12" i="2"/>
  <c r="K13" i="2"/>
  <c r="K14" i="2"/>
  <c r="K4" i="2"/>
  <c r="J5" i="2"/>
  <c r="J6" i="2"/>
  <c r="J7" i="2"/>
  <c r="J8" i="2"/>
  <c r="J9" i="2"/>
  <c r="J10" i="2"/>
  <c r="J11" i="2"/>
  <c r="J12" i="2"/>
  <c r="J13" i="2"/>
  <c r="J14" i="2"/>
  <c r="J4" i="2"/>
  <c r="I5" i="2"/>
  <c r="I6" i="2"/>
  <c r="I7" i="2"/>
  <c r="I8" i="2"/>
  <c r="I9" i="2"/>
  <c r="I10" i="2"/>
  <c r="I11" i="2"/>
  <c r="I12" i="2"/>
  <c r="I13" i="2"/>
  <c r="I14" i="2"/>
  <c r="I4" i="2"/>
  <c r="H5" i="2"/>
  <c r="H6" i="2"/>
  <c r="H7" i="2"/>
  <c r="H8" i="2"/>
  <c r="H9" i="2"/>
  <c r="H10" i="2"/>
  <c r="H11" i="2"/>
  <c r="H12" i="2"/>
  <c r="H13" i="2"/>
  <c r="H14" i="2"/>
  <c r="H4" i="2"/>
  <c r="G5" i="2"/>
  <c r="G6" i="2"/>
  <c r="G7" i="2"/>
  <c r="G8" i="2"/>
  <c r="G9" i="2"/>
  <c r="G10" i="2"/>
  <c r="G11" i="2"/>
  <c r="G12" i="2"/>
  <c r="G13" i="2"/>
  <c r="G14" i="2"/>
  <c r="G4" i="2"/>
  <c r="F5" i="2"/>
  <c r="F6" i="2"/>
  <c r="F7" i="2"/>
  <c r="F8" i="2"/>
  <c r="F9" i="2"/>
  <c r="F10" i="2"/>
  <c r="F11" i="2"/>
  <c r="F12" i="2"/>
  <c r="F13" i="2"/>
  <c r="F14" i="2"/>
  <c r="F4" i="2"/>
  <c r="E5" i="2"/>
  <c r="E6" i="2"/>
  <c r="E7" i="2"/>
  <c r="E8" i="2"/>
  <c r="E9" i="2"/>
  <c r="E10" i="2"/>
  <c r="E11" i="2"/>
  <c r="E12" i="2"/>
  <c r="E13" i="2"/>
  <c r="E14" i="2"/>
  <c r="E4" i="2"/>
  <c r="D5" i="2"/>
  <c r="D6" i="2"/>
  <c r="D7" i="2"/>
  <c r="D8" i="2"/>
  <c r="D9" i="2"/>
  <c r="D10" i="2"/>
  <c r="D11" i="2"/>
  <c r="D12" i="2"/>
  <c r="D13" i="2"/>
  <c r="D14" i="2"/>
  <c r="D4" i="2"/>
  <c r="C5" i="2"/>
  <c r="C6" i="2"/>
  <c r="C7" i="2"/>
  <c r="C8" i="2"/>
  <c r="C9" i="2"/>
  <c r="C10" i="2"/>
  <c r="C11" i="2"/>
  <c r="C12" i="2"/>
  <c r="C13" i="2"/>
  <c r="C14" i="2"/>
  <c r="C4" i="2"/>
  <c r="B5" i="2"/>
  <c r="B6" i="2"/>
  <c r="B8" i="2"/>
  <c r="B9" i="2"/>
  <c r="B10" i="2"/>
  <c r="B11" i="2"/>
  <c r="B12" i="2"/>
  <c r="B13" i="2"/>
  <c r="B14" i="2"/>
  <c r="B4" i="2"/>
  <c r="AW7" i="2" l="1"/>
  <c r="AS11" i="2"/>
  <c r="AT6" i="2"/>
  <c r="AV12" i="2"/>
  <c r="AW6" i="2"/>
  <c r="AX9" i="2"/>
  <c r="AY12" i="2"/>
  <c r="AZ7" i="2"/>
  <c r="BA10" i="2"/>
  <c r="BB13" i="2"/>
  <c r="BC8" i="2"/>
  <c r="BD11" i="2"/>
  <c r="BF9" i="2"/>
  <c r="AR9" i="2"/>
  <c r="AU9" i="2"/>
  <c r="AV4" i="2"/>
  <c r="AS10" i="2"/>
  <c r="AT5" i="2"/>
  <c r="AV11" i="2"/>
  <c r="BE6" i="2"/>
  <c r="AR7" i="2"/>
  <c r="AT12" i="2"/>
  <c r="AV10" i="2"/>
  <c r="AX8" i="2"/>
  <c r="AZ6" i="2"/>
  <c r="BB4" i="2"/>
  <c r="BE13" i="2"/>
  <c r="BF8" i="2"/>
  <c r="AR6" i="2"/>
  <c r="AT11" i="2"/>
  <c r="AV9" i="2"/>
  <c r="AW4" i="2"/>
  <c r="AZ13" i="2"/>
  <c r="AZ5" i="2"/>
  <c r="BC6" i="2"/>
  <c r="BD9" i="2"/>
  <c r="BE4" i="2"/>
  <c r="AR13" i="2"/>
  <c r="AT10" i="2"/>
  <c r="AV8" i="2"/>
  <c r="AX6" i="2"/>
  <c r="BA7" i="2"/>
  <c r="BC13" i="2"/>
  <c r="BE11" i="2"/>
  <c r="BF6" i="2"/>
  <c r="AR12" i="2"/>
  <c r="AS6" i="2"/>
  <c r="AT9" i="2"/>
  <c r="AU12" i="2"/>
  <c r="AU4" i="2"/>
  <c r="AV7" i="2"/>
  <c r="AW10" i="2"/>
  <c r="AX13" i="2"/>
  <c r="AX5" i="2"/>
  <c r="AY8" i="2"/>
  <c r="AZ11" i="2"/>
  <c r="BA3" i="2"/>
  <c r="BA6" i="2"/>
  <c r="BB9" i="2"/>
  <c r="BC12" i="2"/>
  <c r="BC4" i="2"/>
  <c r="BD7" i="2"/>
  <c r="BE10" i="2"/>
  <c r="BF13" i="2"/>
  <c r="BF5" i="2"/>
  <c r="AS9" i="2"/>
  <c r="AU7" i="2"/>
  <c r="AW13" i="2"/>
  <c r="AY11" i="2"/>
  <c r="BA9" i="2"/>
  <c r="BD10" i="2"/>
  <c r="AS8" i="2"/>
  <c r="AU6" i="2"/>
  <c r="AW12" i="2"/>
  <c r="AY10" i="2"/>
  <c r="BA8" i="2"/>
  <c r="JU3" i="2"/>
  <c r="BC3" i="2"/>
  <c r="BE12" i="2"/>
  <c r="BF7" i="2"/>
  <c r="AU13" i="2"/>
  <c r="AW11" i="2"/>
  <c r="AY9" i="2"/>
  <c r="AZ4" i="2"/>
  <c r="BC5" i="2"/>
  <c r="AS3" i="2"/>
  <c r="AS13" i="2"/>
  <c r="AT8" i="2"/>
  <c r="AU11" i="2"/>
  <c r="JQ3" i="2"/>
  <c r="AV3" i="2"/>
  <c r="AV6" i="2"/>
  <c r="AW9" i="2"/>
  <c r="AX12" i="2"/>
  <c r="AX4" i="2"/>
  <c r="AY7" i="2"/>
  <c r="AZ10" i="2"/>
  <c r="BA13" i="2"/>
  <c r="BA5" i="2"/>
  <c r="BB8" i="2"/>
  <c r="BC11" i="2"/>
  <c r="JV3" i="2"/>
  <c r="BD3" i="2"/>
  <c r="BD6" i="2"/>
  <c r="BE9" i="2"/>
  <c r="BF12" i="2"/>
  <c r="BF4" i="2"/>
  <c r="JO3" i="2"/>
  <c r="AT3" i="2"/>
  <c r="AR8" i="2"/>
  <c r="AU8" i="2"/>
  <c r="JR3" i="2"/>
  <c r="AW3" i="2"/>
  <c r="AT4" i="2"/>
  <c r="AW5" i="2"/>
  <c r="AZ3" i="2"/>
  <c r="BC7" i="2"/>
  <c r="BE5" i="2"/>
  <c r="AR5" i="2"/>
  <c r="JP3" i="2"/>
  <c r="AU3" i="2"/>
  <c r="AX7" i="2"/>
  <c r="BB11" i="2"/>
  <c r="AS7" i="2"/>
  <c r="AU5" i="2"/>
  <c r="JS3" i="2"/>
  <c r="AX3" i="2"/>
  <c r="AZ12" i="2"/>
  <c r="BB10" i="2"/>
  <c r="BD8" i="2"/>
  <c r="JX3" i="2"/>
  <c r="BF3" i="2"/>
  <c r="AR11" i="2"/>
  <c r="AS5" i="2"/>
  <c r="AR10" i="2"/>
  <c r="AS12" i="2"/>
  <c r="AS4" i="2"/>
  <c r="AT7" i="2"/>
  <c r="AU10" i="2"/>
  <c r="AV13" i="2"/>
  <c r="AV5" i="2"/>
  <c r="AW8" i="2"/>
  <c r="AX11" i="2"/>
  <c r="AY3" i="2"/>
  <c r="AY6" i="2"/>
  <c r="AZ9" i="2"/>
  <c r="BA12" i="2"/>
  <c r="BA4" i="2"/>
  <c r="BB7" i="2"/>
  <c r="BC10" i="2"/>
  <c r="BD13" i="2"/>
  <c r="BD5" i="2"/>
  <c r="BE8" i="2"/>
  <c r="BF11" i="2"/>
  <c r="AX10" i="2"/>
  <c r="AY13" i="2"/>
  <c r="AY5" i="2"/>
  <c r="AZ8" i="2"/>
  <c r="BA11" i="2"/>
  <c r="JT3" i="2"/>
  <c r="BB3" i="2"/>
  <c r="BB6" i="2"/>
  <c r="BC9" i="2"/>
  <c r="BD12" i="2"/>
  <c r="BD4" i="2"/>
  <c r="BE7" i="2"/>
  <c r="BF10" i="2"/>
  <c r="AT13" i="2"/>
  <c r="AY4" i="2"/>
  <c r="BB5" i="2"/>
  <c r="JW3" i="2"/>
  <c r="BE3" i="2"/>
  <c r="BB12" i="2"/>
  <c r="JO13" i="2"/>
  <c r="JO5" i="2"/>
  <c r="JO7" i="2"/>
  <c r="JO9" i="2"/>
  <c r="JO8" i="2"/>
  <c r="CW12" i="2"/>
  <c r="JO6" i="2"/>
  <c r="CW5" i="2"/>
  <c r="KL8" i="2"/>
  <c r="CW13" i="2"/>
  <c r="CW6" i="2"/>
  <c r="CW10" i="2"/>
  <c r="CW7" i="2"/>
  <c r="KL10" i="2"/>
  <c r="CW3" i="2"/>
  <c r="KL12" i="2"/>
  <c r="KL11" i="2"/>
  <c r="CW4" i="2"/>
  <c r="KL6" i="2"/>
  <c r="CW8" i="2"/>
  <c r="KL9" i="2"/>
  <c r="KL5" i="2"/>
  <c r="CW9" i="2"/>
  <c r="JO12" i="2"/>
  <c r="JO4" i="2"/>
  <c r="JO11" i="2"/>
  <c r="KL7" i="2"/>
  <c r="KL4" i="2"/>
  <c r="CW11" i="2"/>
  <c r="BM14" i="2"/>
  <c r="JO10" i="2"/>
  <c r="BX14" i="2"/>
  <c r="KL13" i="2"/>
  <c r="KL3" i="2"/>
  <c r="Z6" i="2"/>
  <c r="BP6" i="2"/>
  <c r="DF6" i="2" s="1"/>
  <c r="AB12" i="2"/>
  <c r="BR12" i="2"/>
  <c r="DH12" i="2" s="1"/>
  <c r="AD10" i="2"/>
  <c r="BT10" i="2"/>
  <c r="DJ10" i="2" s="1"/>
  <c r="AG11" i="2"/>
  <c r="BW11" i="2"/>
  <c r="DM11" i="2" s="1"/>
  <c r="AK7" i="2"/>
  <c r="CA7" i="2"/>
  <c r="DQ7" i="2" s="1"/>
  <c r="W12" i="2"/>
  <c r="BM12" i="2"/>
  <c r="BN14" i="2"/>
  <c r="X6" i="2"/>
  <c r="BN6" i="2"/>
  <c r="DD6" i="2" s="1"/>
  <c r="Y9" i="2"/>
  <c r="BO9" i="2"/>
  <c r="DE9" i="2" s="1"/>
  <c r="Z12" i="2"/>
  <c r="BP12" i="2"/>
  <c r="DF12" i="2" s="1"/>
  <c r="AA4" i="2"/>
  <c r="BQ4" i="2"/>
  <c r="DG4" i="2" s="1"/>
  <c r="BQ3" i="2"/>
  <c r="DG3" i="2" s="1"/>
  <c r="AA7" i="2"/>
  <c r="BQ7" i="2"/>
  <c r="DG7" i="2" s="1"/>
  <c r="AB10" i="2"/>
  <c r="BR10" i="2"/>
  <c r="DH10" i="2" s="1"/>
  <c r="AC13" i="2"/>
  <c r="BS13" i="2"/>
  <c r="DI13" i="2" s="1"/>
  <c r="AC5" i="2"/>
  <c r="BS5" i="2"/>
  <c r="DI5" i="2" s="1"/>
  <c r="AD8" i="2"/>
  <c r="BT8" i="2"/>
  <c r="DJ8" i="2" s="1"/>
  <c r="AE11" i="2"/>
  <c r="BU11" i="2"/>
  <c r="DK11" i="2" s="1"/>
  <c r="BV14" i="2"/>
  <c r="AF6" i="2"/>
  <c r="BV6" i="2"/>
  <c r="DL6" i="2" s="1"/>
  <c r="AG9" i="2"/>
  <c r="BW9" i="2"/>
  <c r="DM9" i="2" s="1"/>
  <c r="AH12" i="2"/>
  <c r="BX12" i="2"/>
  <c r="DN12" i="2" s="1"/>
  <c r="AI4" i="2"/>
  <c r="BY4" i="2"/>
  <c r="DO4" i="2" s="1"/>
  <c r="BY3" i="2"/>
  <c r="DO3" i="2" s="1"/>
  <c r="AI7" i="2"/>
  <c r="BY7" i="2"/>
  <c r="DO7" i="2" s="1"/>
  <c r="AJ10" i="2"/>
  <c r="BZ10" i="2"/>
  <c r="DP10" i="2" s="1"/>
  <c r="AK13" i="2"/>
  <c r="CA13" i="2"/>
  <c r="DQ13" i="2" s="1"/>
  <c r="AK5" i="2"/>
  <c r="CA5" i="2"/>
  <c r="DQ5" i="2" s="1"/>
  <c r="W11" i="2"/>
  <c r="BM11" i="2"/>
  <c r="DC11" i="2" s="1"/>
  <c r="X13" i="2"/>
  <c r="BN13" i="2"/>
  <c r="DD13" i="2" s="1"/>
  <c r="X5" i="2"/>
  <c r="BN5" i="2"/>
  <c r="DD5" i="2" s="1"/>
  <c r="Y8" i="2"/>
  <c r="BO8" i="2"/>
  <c r="DE8" i="2" s="1"/>
  <c r="Z11" i="2"/>
  <c r="BP11" i="2"/>
  <c r="DF11" i="2" s="1"/>
  <c r="BQ14" i="2"/>
  <c r="AA6" i="2"/>
  <c r="BQ6" i="2"/>
  <c r="DG6" i="2" s="1"/>
  <c r="AB9" i="2"/>
  <c r="BR9" i="2"/>
  <c r="DH9" i="2" s="1"/>
  <c r="AC12" i="2"/>
  <c r="BS12" i="2"/>
  <c r="DI12" i="2" s="1"/>
  <c r="AD4" i="2"/>
  <c r="BT4" i="2"/>
  <c r="DJ4" i="2" s="1"/>
  <c r="BT3" i="2"/>
  <c r="DJ3" i="2" s="1"/>
  <c r="AD7" i="2"/>
  <c r="BT7" i="2"/>
  <c r="DJ7" i="2" s="1"/>
  <c r="AE10" i="2"/>
  <c r="BU10" i="2"/>
  <c r="DK10" i="2" s="1"/>
  <c r="AF13" i="2"/>
  <c r="BV13" i="2"/>
  <c r="DL13" i="2" s="1"/>
  <c r="AF5" i="2"/>
  <c r="BV5" i="2"/>
  <c r="DL5" i="2" s="1"/>
  <c r="AG8" i="2"/>
  <c r="BW8" i="2"/>
  <c r="DM8" i="2" s="1"/>
  <c r="AH11" i="2"/>
  <c r="BX11" i="2"/>
  <c r="DN11" i="2" s="1"/>
  <c r="BY14" i="2"/>
  <c r="AI6" i="2"/>
  <c r="BY6" i="2"/>
  <c r="DO6" i="2" s="1"/>
  <c r="AJ9" i="2"/>
  <c r="BZ9" i="2"/>
  <c r="DP9" i="2" s="1"/>
  <c r="AK12" i="2"/>
  <c r="CA12" i="2"/>
  <c r="DQ12" i="2" s="1"/>
  <c r="X4" i="2"/>
  <c r="BN4" i="2"/>
  <c r="DD4" i="2" s="1"/>
  <c r="BN3" i="2"/>
  <c r="DD3" i="2" s="1"/>
  <c r="Z13" i="2"/>
  <c r="BP13" i="2"/>
  <c r="DF13" i="2" s="1"/>
  <c r="BS14" i="2"/>
  <c r="AD9" i="2"/>
  <c r="BT9" i="2"/>
  <c r="DJ9" i="2" s="1"/>
  <c r="AE12" i="2"/>
  <c r="BU12" i="2"/>
  <c r="DK12" i="2" s="1"/>
  <c r="AF4" i="2"/>
  <c r="BV4" i="2"/>
  <c r="DL4" i="2" s="1"/>
  <c r="BV3" i="2"/>
  <c r="DL3" i="2" s="1"/>
  <c r="AF7" i="2"/>
  <c r="BV7" i="2"/>
  <c r="DL7" i="2" s="1"/>
  <c r="AG10" i="2"/>
  <c r="BW10" i="2"/>
  <c r="DM10" i="2" s="1"/>
  <c r="AH13" i="2"/>
  <c r="BX13" i="2"/>
  <c r="DN13" i="2" s="1"/>
  <c r="AH5" i="2"/>
  <c r="BX5" i="2"/>
  <c r="DN5" i="2" s="1"/>
  <c r="AI8" i="2"/>
  <c r="BY8" i="2"/>
  <c r="DO8" i="2" s="1"/>
  <c r="AJ11" i="2"/>
  <c r="BZ11" i="2"/>
  <c r="DP11" i="2" s="1"/>
  <c r="CA14" i="2"/>
  <c r="AK6" i="2"/>
  <c r="CA6" i="2"/>
  <c r="DQ6" i="2" s="1"/>
  <c r="W10" i="2"/>
  <c r="BM10" i="2"/>
  <c r="DC10" i="2" s="1"/>
  <c r="X12" i="2"/>
  <c r="BN12" i="2"/>
  <c r="DD12" i="2" s="1"/>
  <c r="Y4" i="2"/>
  <c r="BO4" i="2"/>
  <c r="DE4" i="2" s="1"/>
  <c r="BO3" i="2"/>
  <c r="DE3" i="2" s="1"/>
  <c r="Y7" i="2"/>
  <c r="BO7" i="2"/>
  <c r="DE7" i="2" s="1"/>
  <c r="Z10" i="2"/>
  <c r="BP10" i="2"/>
  <c r="DF10" i="2" s="1"/>
  <c r="AA13" i="2"/>
  <c r="BQ13" i="2"/>
  <c r="DG13" i="2" s="1"/>
  <c r="AA5" i="2"/>
  <c r="BQ5" i="2"/>
  <c r="DG5" i="2" s="1"/>
  <c r="AB8" i="2"/>
  <c r="BR8" i="2"/>
  <c r="DH8" i="2" s="1"/>
  <c r="AC11" i="2"/>
  <c r="BS11" i="2"/>
  <c r="DI11" i="2" s="1"/>
  <c r="BT14" i="2"/>
  <c r="AD6" i="2"/>
  <c r="BT6" i="2"/>
  <c r="DJ6" i="2" s="1"/>
  <c r="AE9" i="2"/>
  <c r="BU9" i="2"/>
  <c r="DK9" i="2" s="1"/>
  <c r="AF12" i="2"/>
  <c r="BV12" i="2"/>
  <c r="DL12" i="2" s="1"/>
  <c r="AG4" i="2"/>
  <c r="BW4" i="2"/>
  <c r="DM4" i="2" s="1"/>
  <c r="BW3" i="2"/>
  <c r="DM3" i="2" s="1"/>
  <c r="AG7" i="2"/>
  <c r="BW7" i="2"/>
  <c r="DM7" i="2" s="1"/>
  <c r="AH10" i="2"/>
  <c r="BX10" i="2"/>
  <c r="DN10" i="2" s="1"/>
  <c r="AI13" i="2"/>
  <c r="BY13" i="2"/>
  <c r="DO13" i="2" s="1"/>
  <c r="AI5" i="2"/>
  <c r="BY5" i="2"/>
  <c r="DO5" i="2" s="1"/>
  <c r="AJ8" i="2"/>
  <c r="BZ8" i="2"/>
  <c r="DP8" i="2" s="1"/>
  <c r="AK11" i="2"/>
  <c r="CA11" i="2"/>
  <c r="DQ11" i="2" s="1"/>
  <c r="X8" i="2"/>
  <c r="BN8" i="2"/>
  <c r="DD8" i="2" s="1"/>
  <c r="BP14" i="2"/>
  <c r="AA9" i="2"/>
  <c r="BQ9" i="2"/>
  <c r="DG9" i="2" s="1"/>
  <c r="AC4" i="2"/>
  <c r="BS4" i="2"/>
  <c r="DI4" i="2" s="1"/>
  <c r="BS3" i="2"/>
  <c r="DI3" i="2" s="1"/>
  <c r="AC7" i="2"/>
  <c r="BS7" i="2"/>
  <c r="DI7" i="2" s="1"/>
  <c r="AE13" i="2"/>
  <c r="BU13" i="2"/>
  <c r="DK13" i="2" s="1"/>
  <c r="AE5" i="2"/>
  <c r="BU5" i="2"/>
  <c r="DK5" i="2" s="1"/>
  <c r="AF8" i="2"/>
  <c r="BV8" i="2"/>
  <c r="DL8" i="2" s="1"/>
  <c r="AH6" i="2"/>
  <c r="BX6" i="2"/>
  <c r="DN6" i="2" s="1"/>
  <c r="AI9" i="2"/>
  <c r="BY9" i="2"/>
  <c r="DO9" i="2" s="1"/>
  <c r="AK4" i="2"/>
  <c r="CA4" i="2"/>
  <c r="DQ4" i="2" s="1"/>
  <c r="CA3" i="2"/>
  <c r="DQ3" i="2" s="1"/>
  <c r="BM13" i="2"/>
  <c r="DC13" i="2" s="1"/>
  <c r="Y10" i="2"/>
  <c r="BO10" i="2"/>
  <c r="DE10" i="2" s="1"/>
  <c r="BO14" i="2"/>
  <c r="Z9" i="2"/>
  <c r="BP9" i="2"/>
  <c r="DF9" i="2" s="1"/>
  <c r="AB4" i="2"/>
  <c r="BR4" i="2"/>
  <c r="DH4" i="2" s="1"/>
  <c r="BR3" i="2"/>
  <c r="DH3" i="2" s="1"/>
  <c r="AB7" i="2"/>
  <c r="BR7" i="2"/>
  <c r="DH7" i="2" s="1"/>
  <c r="AD13" i="2"/>
  <c r="BT13" i="2"/>
  <c r="DJ13" i="2" s="1"/>
  <c r="AD5" i="2"/>
  <c r="BT5" i="2"/>
  <c r="DJ5" i="2" s="1"/>
  <c r="AE8" i="2"/>
  <c r="BU8" i="2"/>
  <c r="DK8" i="2" s="1"/>
  <c r="AF11" i="2"/>
  <c r="BV11" i="2"/>
  <c r="DL11" i="2" s="1"/>
  <c r="AG6" i="2"/>
  <c r="BW6" i="2"/>
  <c r="DM6" i="2" s="1"/>
  <c r="AH9" i="2"/>
  <c r="BX9" i="2"/>
  <c r="DN9" i="2" s="1"/>
  <c r="AJ4" i="2"/>
  <c r="BZ4" i="2"/>
  <c r="DP4" i="2" s="1"/>
  <c r="BZ3" i="2"/>
  <c r="DP3" i="2" s="1"/>
  <c r="AJ7" i="2"/>
  <c r="BZ7" i="2"/>
  <c r="DP7" i="2" s="1"/>
  <c r="AK10" i="2"/>
  <c r="CA10" i="2"/>
  <c r="DQ10" i="2" s="1"/>
  <c r="X10" i="2"/>
  <c r="BN10" i="2"/>
  <c r="DD10" i="2" s="1"/>
  <c r="Y5" i="2"/>
  <c r="BO5" i="2"/>
  <c r="DE5" i="2" s="1"/>
  <c r="AA11" i="2"/>
  <c r="BQ11" i="2"/>
  <c r="DG11" i="2" s="1"/>
  <c r="AB6" i="2"/>
  <c r="BR6" i="2"/>
  <c r="DH6" i="2" s="1"/>
  <c r="AE7" i="2"/>
  <c r="BU7" i="2"/>
  <c r="DK7" i="2" s="1"/>
  <c r="AI11" i="2"/>
  <c r="BY11" i="2"/>
  <c r="DO11" i="2" s="1"/>
  <c r="W5" i="2"/>
  <c r="BM5" i="2"/>
  <c r="DC5" i="2" s="1"/>
  <c r="Y11" i="2"/>
  <c r="BO11" i="2"/>
  <c r="DE11" i="2" s="1"/>
  <c r="AJ12" i="2"/>
  <c r="BZ12" i="2"/>
  <c r="DP12" i="2" s="1"/>
  <c r="X7" i="2"/>
  <c r="BN7" i="2"/>
  <c r="DD7" i="2" s="1"/>
  <c r="Z5" i="2"/>
  <c r="BP5" i="2"/>
  <c r="DF5" i="2" s="1"/>
  <c r="AA8" i="2"/>
  <c r="BQ8" i="2"/>
  <c r="DG8" i="2" s="1"/>
  <c r="AB11" i="2"/>
  <c r="BR11" i="2"/>
  <c r="DH11" i="2" s="1"/>
  <c r="AC6" i="2"/>
  <c r="BS6" i="2"/>
  <c r="DI6" i="2" s="1"/>
  <c r="W9" i="2"/>
  <c r="BM9" i="2"/>
  <c r="DC9" i="2" s="1"/>
  <c r="X11" i="2"/>
  <c r="BN11" i="2"/>
  <c r="DD11" i="2" s="1"/>
  <c r="Y6" i="2"/>
  <c r="BO6" i="2"/>
  <c r="DE6" i="2" s="1"/>
  <c r="AA12" i="2"/>
  <c r="BQ12" i="2"/>
  <c r="DG12" i="2" s="1"/>
  <c r="AC10" i="2"/>
  <c r="BS10" i="2"/>
  <c r="DI10" i="2" s="1"/>
  <c r="BW14" i="2"/>
  <c r="AI12" i="2"/>
  <c r="BY12" i="2"/>
  <c r="DO12" i="2" s="1"/>
  <c r="W8" i="2"/>
  <c r="BM8" i="2"/>
  <c r="DC8" i="2" s="1"/>
  <c r="Y13" i="2"/>
  <c r="BO13" i="2"/>
  <c r="DE13" i="2" s="1"/>
  <c r="Z8" i="2"/>
  <c r="BP8" i="2"/>
  <c r="DF8" i="2" s="1"/>
  <c r="BR14" i="2"/>
  <c r="AC9" i="2"/>
  <c r="BS9" i="2"/>
  <c r="DI9" i="2" s="1"/>
  <c r="AD12" i="2"/>
  <c r="BT12" i="2"/>
  <c r="DJ12" i="2" s="1"/>
  <c r="AE4" i="2"/>
  <c r="BU4" i="2"/>
  <c r="DK4" i="2" s="1"/>
  <c r="BU3" i="2"/>
  <c r="DK3" i="2" s="1"/>
  <c r="AF10" i="2"/>
  <c r="BV10" i="2"/>
  <c r="DL10" i="2" s="1"/>
  <c r="AG13" i="2"/>
  <c r="BW13" i="2"/>
  <c r="DM13" i="2" s="1"/>
  <c r="AG5" i="2"/>
  <c r="BW5" i="2"/>
  <c r="DM5" i="2" s="1"/>
  <c r="AH8" i="2"/>
  <c r="BX8" i="2"/>
  <c r="DN8" i="2" s="1"/>
  <c r="BZ14" i="2"/>
  <c r="AJ6" i="2"/>
  <c r="BZ6" i="2"/>
  <c r="DP6" i="2" s="1"/>
  <c r="AK9" i="2"/>
  <c r="CA9" i="2"/>
  <c r="DQ9" i="2" s="1"/>
  <c r="W4" i="2"/>
  <c r="BM4" i="2"/>
  <c r="DC4" i="2" s="1"/>
  <c r="BM7" i="2"/>
  <c r="DC7" i="2" s="1"/>
  <c r="BM3" i="2"/>
  <c r="DC3" i="2" s="1"/>
  <c r="W6" i="2"/>
  <c r="BM6" i="2"/>
  <c r="DC6" i="2" s="1"/>
  <c r="X9" i="2"/>
  <c r="BN9" i="2"/>
  <c r="DD9" i="2" s="1"/>
  <c r="Y12" i="2"/>
  <c r="BO12" i="2"/>
  <c r="DE12" i="2" s="1"/>
  <c r="Z4" i="2"/>
  <c r="BP4" i="2"/>
  <c r="DF4" i="2" s="1"/>
  <c r="BP3" i="2"/>
  <c r="DF3" i="2" s="1"/>
  <c r="Z7" i="2"/>
  <c r="BP7" i="2"/>
  <c r="DF7" i="2" s="1"/>
  <c r="AA10" i="2"/>
  <c r="BQ10" i="2"/>
  <c r="DG10" i="2" s="1"/>
  <c r="AB13" i="2"/>
  <c r="BR13" i="2"/>
  <c r="DH13" i="2" s="1"/>
  <c r="AB5" i="2"/>
  <c r="BR5" i="2"/>
  <c r="DH5" i="2" s="1"/>
  <c r="AC8" i="2"/>
  <c r="BS8" i="2"/>
  <c r="DI8" i="2" s="1"/>
  <c r="AD11" i="2"/>
  <c r="BT11" i="2"/>
  <c r="DJ11" i="2" s="1"/>
  <c r="BU14" i="2"/>
  <c r="AE6" i="2"/>
  <c r="BU6" i="2"/>
  <c r="DK6" i="2" s="1"/>
  <c r="AF9" i="2"/>
  <c r="BV9" i="2"/>
  <c r="DL9" i="2" s="1"/>
  <c r="AG12" i="2"/>
  <c r="BW12" i="2"/>
  <c r="DM12" i="2" s="1"/>
  <c r="AH4" i="2"/>
  <c r="BX4" i="2"/>
  <c r="DN4" i="2" s="1"/>
  <c r="BX3" i="2"/>
  <c r="DN3" i="2" s="1"/>
  <c r="AH7" i="2"/>
  <c r="BX7" i="2"/>
  <c r="DN7" i="2" s="1"/>
  <c r="AI10" i="2"/>
  <c r="BY10" i="2"/>
  <c r="DO10" i="2" s="1"/>
  <c r="AJ13" i="2"/>
  <c r="BZ13" i="2"/>
  <c r="DP13" i="2" s="1"/>
  <c r="AJ5" i="2"/>
  <c r="BZ5" i="2"/>
  <c r="DP5" i="2" s="1"/>
  <c r="AK8" i="2"/>
  <c r="CA8" i="2"/>
  <c r="DQ8" i="2" s="1"/>
  <c r="JP7" i="2"/>
  <c r="JR13" i="2"/>
  <c r="JS8" i="2"/>
  <c r="JT12" i="2"/>
  <c r="JU7" i="2"/>
  <c r="JV10" i="2"/>
  <c r="JW13" i="2"/>
  <c r="JX8" i="2"/>
  <c r="JP13" i="2"/>
  <c r="JP5" i="2"/>
  <c r="JQ8" i="2"/>
  <c r="JR11" i="2"/>
  <c r="JS6" i="2"/>
  <c r="JT10" i="2"/>
  <c r="JU13" i="2"/>
  <c r="JU5" i="2"/>
  <c r="JV8" i="2"/>
  <c r="JW11" i="2"/>
  <c r="JX6" i="2"/>
  <c r="DC12" i="2"/>
  <c r="JP12" i="2"/>
  <c r="JP4" i="2"/>
  <c r="JQ7" i="2"/>
  <c r="JR10" i="2"/>
  <c r="JS13" i="2"/>
  <c r="JS5" i="2"/>
  <c r="JT9" i="2"/>
  <c r="JU12" i="2"/>
  <c r="JU4" i="2"/>
  <c r="JV7" i="2"/>
  <c r="JW10" i="2"/>
  <c r="JX13" i="2"/>
  <c r="JX5" i="2"/>
  <c r="JT8" i="2"/>
  <c r="JW5" i="2"/>
  <c r="JP11" i="2"/>
  <c r="JR9" i="2"/>
  <c r="JP10" i="2"/>
  <c r="JQ13" i="2"/>
  <c r="JQ5" i="2"/>
  <c r="JR8" i="2"/>
  <c r="JS11" i="2"/>
  <c r="JT7" i="2"/>
  <c r="JU10" i="2"/>
  <c r="JV13" i="2"/>
  <c r="JV5" i="2"/>
  <c r="JW8" i="2"/>
  <c r="JX11" i="2"/>
  <c r="JP8" i="2"/>
  <c r="JQ10" i="2"/>
  <c r="JR5" i="2"/>
  <c r="JT4" i="2"/>
  <c r="JQ6" i="2"/>
  <c r="JS12" i="2"/>
  <c r="JS4" i="2"/>
  <c r="JU11" i="2"/>
  <c r="JV6" i="2"/>
  <c r="JW9" i="2"/>
  <c r="JX12" i="2"/>
  <c r="JX4" i="2"/>
  <c r="JP9" i="2"/>
  <c r="JQ12" i="2"/>
  <c r="JQ4" i="2"/>
  <c r="JR7" i="2"/>
  <c r="JS10" i="2"/>
  <c r="JT6" i="2"/>
  <c r="JU9" i="2"/>
  <c r="JV12" i="2"/>
  <c r="JV4" i="2"/>
  <c r="JW7" i="2"/>
  <c r="JX10" i="2"/>
  <c r="JQ11" i="2"/>
  <c r="JR6" i="2"/>
  <c r="JS9" i="2"/>
  <c r="JT13" i="2"/>
  <c r="JT5" i="2"/>
  <c r="JU8" i="2"/>
  <c r="JV11" i="2"/>
  <c r="JW6" i="2"/>
  <c r="JX9" i="2"/>
  <c r="JP6" i="2"/>
  <c r="JQ9" i="2"/>
  <c r="JR12" i="2"/>
  <c r="JR4" i="2"/>
  <c r="JS7" i="2"/>
  <c r="JT11" i="2"/>
  <c r="JU6" i="2"/>
  <c r="JV9" i="2"/>
  <c r="JW12" i="2"/>
  <c r="JW4" i="2"/>
  <c r="JX7" i="2"/>
  <c r="CN5" i="2" l="1"/>
  <c r="CL5" i="2"/>
  <c r="CP10" i="2"/>
  <c r="CN8" i="2"/>
  <c r="KB11" i="2"/>
  <c r="CV3" i="2"/>
  <c r="CH10" i="2"/>
  <c r="CP8" i="2"/>
  <c r="CV6" i="2"/>
  <c r="CL9" i="2"/>
  <c r="KB6" i="2"/>
  <c r="CQ7" i="2"/>
  <c r="KC12" i="2"/>
  <c r="CK5" i="2"/>
  <c r="KD12" i="2"/>
  <c r="KB8" i="2"/>
  <c r="KI4" i="2"/>
  <c r="CU5" i="2"/>
  <c r="CS4" i="2"/>
  <c r="CK8" i="2"/>
  <c r="CI11" i="2"/>
  <c r="KC3" i="2"/>
  <c r="CV11" i="2"/>
  <c r="KH3" i="2"/>
  <c r="KE3" i="2"/>
  <c r="KH8" i="2"/>
  <c r="KF9" i="2"/>
  <c r="KE5" i="2"/>
  <c r="KB13" i="2"/>
  <c r="CJ5" i="2"/>
  <c r="CI3" i="2"/>
  <c r="CO9" i="2"/>
  <c r="CT7" i="2"/>
  <c r="KJ4" i="2"/>
  <c r="KG5" i="2"/>
  <c r="KK3" i="2"/>
  <c r="KC5" i="2"/>
  <c r="CM7" i="2"/>
  <c r="KD3" i="2"/>
  <c r="KK12" i="2"/>
  <c r="CT10" i="2"/>
  <c r="CN11" i="2"/>
  <c r="CH8" i="2"/>
  <c r="KD13" i="2"/>
  <c r="KG11" i="2"/>
  <c r="KE12" i="2"/>
  <c r="KJ9" i="2"/>
  <c r="KI13" i="2"/>
  <c r="KC11" i="2"/>
  <c r="KK5" i="2"/>
  <c r="KH12" i="2"/>
  <c r="KF5" i="2"/>
  <c r="KI8" i="2"/>
  <c r="KF6" i="2"/>
  <c r="KC13" i="2"/>
  <c r="KI10" i="2"/>
  <c r="KC7" i="2"/>
  <c r="KI5" i="2"/>
  <c r="KJ11" i="2"/>
  <c r="KJ12" i="2"/>
  <c r="KK9" i="2"/>
  <c r="KE6" i="2"/>
  <c r="KC9" i="2"/>
  <c r="KC8" i="2"/>
  <c r="KJ5" i="2"/>
  <c r="KF13" i="2"/>
  <c r="CK9" i="2"/>
  <c r="CT11" i="2"/>
  <c r="CK11" i="2"/>
  <c r="CR12" i="2"/>
  <c r="CU13" i="2"/>
  <c r="CP9" i="2"/>
  <c r="CH13" i="2"/>
  <c r="CQ12" i="2"/>
  <c r="CU9" i="2"/>
  <c r="CL12" i="2"/>
  <c r="CS12" i="2"/>
  <c r="CJ9" i="2"/>
  <c r="KJ3" i="2"/>
  <c r="KI12" i="2"/>
  <c r="KF4" i="2"/>
  <c r="KC10" i="2"/>
  <c r="KK13" i="2"/>
  <c r="CK10" i="2"/>
  <c r="KD9" i="2"/>
  <c r="KJ6" i="2"/>
  <c r="KG13" i="2"/>
  <c r="KH9" i="2"/>
  <c r="KF10" i="2"/>
  <c r="KI6" i="2"/>
  <c r="KG4" i="2"/>
  <c r="KH10" i="2"/>
  <c r="KF11" i="2"/>
  <c r="KG9" i="2"/>
  <c r="KE10" i="2"/>
  <c r="KH5" i="2"/>
  <c r="KH7" i="2"/>
  <c r="CI9" i="2"/>
  <c r="KB4" i="2"/>
  <c r="KB5" i="2"/>
  <c r="KI9" i="2"/>
  <c r="KE7" i="2"/>
  <c r="KK11" i="2"/>
  <c r="KG8" i="2"/>
  <c r="KJ10" i="2"/>
  <c r="KH13" i="2"/>
  <c r="KE11" i="2"/>
  <c r="CS8" i="2"/>
  <c r="CV13" i="2"/>
  <c r="CS6" i="2"/>
  <c r="CM8" i="2"/>
  <c r="CQ13" i="2"/>
  <c r="KB9" i="2"/>
  <c r="KB12" i="2"/>
  <c r="KD11" i="2"/>
  <c r="KF12" i="2"/>
  <c r="KF7" i="2"/>
  <c r="KC6" i="2"/>
  <c r="KK10" i="2"/>
  <c r="KG6" i="2"/>
  <c r="KG7" i="2"/>
  <c r="KE8" i="2"/>
  <c r="KD7" i="2"/>
  <c r="KG10" i="2"/>
  <c r="KG12" i="2"/>
  <c r="CJ4" i="2"/>
  <c r="CN9" i="2"/>
  <c r="CS11" i="2"/>
  <c r="KH6" i="2"/>
  <c r="KD4" i="2"/>
  <c r="KH11" i="2"/>
  <c r="KD6" i="2"/>
  <c r="KJ8" i="2"/>
  <c r="KK6" i="2"/>
  <c r="KF8" i="2"/>
  <c r="CM13" i="2"/>
  <c r="CR3" i="2"/>
  <c r="CO13" i="2"/>
  <c r="CO12" i="2"/>
  <c r="CJ12" i="2"/>
  <c r="CP12" i="2"/>
  <c r="CI10" i="2"/>
  <c r="KF3" i="2"/>
  <c r="KB7" i="2"/>
  <c r="KG3" i="2"/>
  <c r="KI3" i="2"/>
  <c r="KK7" i="2"/>
  <c r="KI11" i="2"/>
  <c r="KK4" i="2"/>
  <c r="KI7" i="2"/>
  <c r="KD8" i="2"/>
  <c r="KK8" i="2"/>
  <c r="KE4" i="2"/>
  <c r="KJ7" i="2"/>
  <c r="KD10" i="2"/>
  <c r="KD5" i="2"/>
  <c r="KE9" i="2"/>
  <c r="KH4" i="2"/>
  <c r="KC4" i="2"/>
  <c r="KJ13" i="2"/>
  <c r="KE13" i="2"/>
  <c r="CI6" i="2"/>
  <c r="CQ8" i="2"/>
  <c r="CV10" i="2"/>
  <c r="CJ8" i="2"/>
  <c r="KB10" i="2"/>
  <c r="KB3" i="2"/>
  <c r="CT4" i="2"/>
  <c r="CN13" i="2"/>
  <c r="CH12" i="2"/>
  <c r="CQ3" i="2"/>
  <c r="CK13" i="2"/>
  <c r="CV7" i="2"/>
  <c r="CP5" i="2"/>
  <c r="CK6" i="2"/>
  <c r="CS7" i="2"/>
  <c r="CM5" i="2"/>
  <c r="CH6" i="2"/>
  <c r="CR5" i="2"/>
  <c r="CM6" i="2"/>
  <c r="CU7" i="2"/>
  <c r="CO5" i="2"/>
  <c r="CJ6" i="2"/>
  <c r="CV12" i="2"/>
  <c r="CO7" i="2"/>
  <c r="CI5" i="2"/>
  <c r="CI13" i="2"/>
  <c r="CT3" i="2"/>
  <c r="CM10" i="2"/>
  <c r="CQ4" i="2"/>
  <c r="CJ10" i="2"/>
  <c r="CJ11" i="2"/>
  <c r="CR13" i="2"/>
  <c r="CL11" i="2"/>
  <c r="CU4" i="2"/>
  <c r="CO3" i="2"/>
  <c r="CJ7" i="2"/>
  <c r="CP13" i="2"/>
  <c r="CL7" i="2"/>
  <c r="CU11" i="2"/>
  <c r="CI7" i="2"/>
  <c r="CV4" i="2"/>
  <c r="CO10" i="2"/>
  <c r="CI8" i="2"/>
  <c r="CS3" i="2"/>
  <c r="CL10" i="2"/>
  <c r="CH4" i="2"/>
  <c r="CQ10" i="2"/>
  <c r="CU3" i="2"/>
  <c r="CN10" i="2"/>
  <c r="CH9" i="2"/>
  <c r="CT6" i="2"/>
  <c r="CO4" i="2"/>
  <c r="CI12" i="2"/>
  <c r="CU8" i="2"/>
  <c r="CH11" i="2"/>
  <c r="CR9" i="2"/>
  <c r="CL13" i="2"/>
  <c r="CU12" i="2"/>
  <c r="CH7" i="2"/>
  <c r="CT13" i="2"/>
  <c r="CV5" i="2"/>
  <c r="CQ6" i="2"/>
  <c r="CL3" i="2"/>
  <c r="CS5" i="2"/>
  <c r="CN6" i="2"/>
  <c r="CI4" i="2"/>
  <c r="CT9" i="2"/>
  <c r="CN4" i="2"/>
  <c r="CV8" i="2"/>
  <c r="CQ9" i="2"/>
  <c r="CK4" i="2"/>
  <c r="CV9" i="2"/>
  <c r="CP3" i="2"/>
  <c r="CJ13" i="2"/>
  <c r="CS9" i="2"/>
  <c r="CM4" i="2"/>
  <c r="CR7" i="2"/>
  <c r="CR8" i="2"/>
  <c r="CM9" i="2"/>
  <c r="CS10" i="2"/>
  <c r="CL4" i="2"/>
  <c r="CH5" i="2"/>
  <c r="CK7" i="2"/>
  <c r="CP7" i="2"/>
  <c r="CT12" i="2"/>
  <c r="CT5" i="2"/>
  <c r="CN12" i="2"/>
  <c r="CP11" i="2"/>
  <c r="CK12" i="2"/>
  <c r="CS13" i="2"/>
  <c r="CM11" i="2"/>
  <c r="CN3" i="2"/>
  <c r="CP6" i="2"/>
  <c r="CK3" i="2"/>
  <c r="CU6" i="2"/>
  <c r="CP4" i="2"/>
  <c r="CR6" i="2"/>
  <c r="CM3" i="2"/>
  <c r="CR4" i="2"/>
  <c r="CQ5" i="2"/>
  <c r="CL6" i="2"/>
  <c r="CO6" i="2"/>
  <c r="CT8" i="2"/>
  <c r="CN7" i="2"/>
  <c r="CU10" i="2"/>
  <c r="CO8" i="2"/>
  <c r="CR10" i="2"/>
  <c r="CL8" i="2"/>
  <c r="CJ3" i="2"/>
  <c r="CR11" i="2"/>
  <c r="CM12" i="2"/>
  <c r="CO11" i="2"/>
  <c r="CQ1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<sst xmlns="http://schemas.openxmlformats.org/spreadsheetml/2006/main" count="909" uniqueCount="271">
  <si>
    <t>Date</t>
  </si>
  <si>
    <t>MAGDHIY</t>
  </si>
  <si>
    <t>MACPIYOY</t>
  </si>
  <si>
    <t>KLIB3M</t>
  </si>
  <si>
    <t>USDMYR</t>
  </si>
  <si>
    <t>MAEPMUN%</t>
  </si>
  <si>
    <t>FBMKLCI</t>
  </si>
  <si>
    <t>FBMEMAS</t>
  </si>
  <si>
    <t>MAGDEXPY</t>
  </si>
  <si>
    <t>MAGDIMPY</t>
  </si>
  <si>
    <t>MAGDGFCY</t>
  </si>
  <si>
    <t>MAEDDSR</t>
  </si>
  <si>
    <t>MAOPRATE</t>
  </si>
  <si>
    <t>XAUUSD</t>
  </si>
  <si>
    <t>MIERCSI</t>
  </si>
  <si>
    <t>MYEILI</t>
  </si>
  <si>
    <t>&lt;YoY% NSA&gt; AGGR</t>
  </si>
  <si>
    <t xml:space="preserve"> AGGR</t>
  </si>
  <si>
    <t>&lt;NSA&gt; AGGR</t>
  </si>
  <si>
    <t>Malaysia GDP Constant Prices YoY</t>
  </si>
  <si>
    <t>Malaysia CPI YoY 2010=100</t>
  </si>
  <si>
    <t>Bank Negara Malaysia Klibor Interbank Offered Rate Fixing 3 Month</t>
  </si>
  <si>
    <t>US DOLLAR/MALAYSIAN RINGGIT</t>
  </si>
  <si>
    <t>Malaysia Monthly Unemployment Rate</t>
  </si>
  <si>
    <t>FTSE Bursa Malaysia KLCI Index - Kuala Lumpur Composite Index</t>
  </si>
  <si>
    <t>FTSE Bursa Malaysia EMAS Index</t>
  </si>
  <si>
    <t>Malaysia GDP Goods &amp; Services Exports Constant Prices YoY</t>
  </si>
  <si>
    <t>Malaysia GDP Goods &amp; Services Imports Constant Prices YoY</t>
  </si>
  <si>
    <t>Malaysia GDP Gross Fixed Capital Formation Constant Prices YoY</t>
  </si>
  <si>
    <t>Malaysia External Debt Service Ratio</t>
  </si>
  <si>
    <t>Malaysia Overnight Policy Rate</t>
  </si>
  <si>
    <t>Gold/US DOLLAR</t>
  </si>
  <si>
    <t>MIER Malaysia Consumer Sentiments Index</t>
  </si>
  <si>
    <t>Malaysia Economic Indicator - Leading Index 2005=100</t>
  </si>
  <si>
    <t>Q/Y</t>
  </si>
  <si>
    <t>Q4 2011</t>
  </si>
  <si>
    <t>Q4 2012</t>
  </si>
  <si>
    <t>Q4 2013</t>
  </si>
  <si>
    <t>Q4 2014</t>
  </si>
  <si>
    <t>Q4 2015</t>
  </si>
  <si>
    <t>Q4 2016</t>
  </si>
  <si>
    <t>Q4 2017</t>
  </si>
  <si>
    <t>Q4 2018</t>
  </si>
  <si>
    <t>Q4 2019</t>
  </si>
  <si>
    <t>Q4 2020</t>
  </si>
  <si>
    <t>Q4 2021</t>
  </si>
  <si>
    <t>KLIBOR3M</t>
  </si>
  <si>
    <t>UNEMPLOYMENT</t>
  </si>
  <si>
    <t>KLCI</t>
  </si>
  <si>
    <t>EMAS</t>
  </si>
  <si>
    <t>EXPORT_YOY</t>
  </si>
  <si>
    <t>IMPORT_YOY</t>
  </si>
  <si>
    <t>FIXED_INVESTMENT_YOY</t>
  </si>
  <si>
    <t>GDP_YOY</t>
  </si>
  <si>
    <t>CPI_YOY</t>
  </si>
  <si>
    <t>DEBT_SERVICE_RATIO</t>
  </si>
  <si>
    <t>OPR</t>
  </si>
  <si>
    <t>GOLD</t>
  </si>
  <si>
    <t>CSI</t>
  </si>
  <si>
    <t>CO1 Comdty</t>
  </si>
  <si>
    <t>Last Px</t>
  </si>
  <si>
    <t>BRENTUSD</t>
  </si>
  <si>
    <t>PrivCsum</t>
  </si>
  <si>
    <t>PubCsum</t>
  </si>
  <si>
    <t>IPI</t>
  </si>
  <si>
    <t>Private Consumption YoY</t>
  </si>
  <si>
    <t>Public Consumption YoY</t>
  </si>
  <si>
    <t xml:space="preserve">Industrial Production Index YoY </t>
  </si>
  <si>
    <t>Q1 2011</t>
  </si>
  <si>
    <t>Q2 2011</t>
  </si>
  <si>
    <t>Q3 2011</t>
  </si>
  <si>
    <t>Q1 2012</t>
  </si>
  <si>
    <t>Q2 2012</t>
  </si>
  <si>
    <t>Q3 2012</t>
  </si>
  <si>
    <t>Q1 2013</t>
  </si>
  <si>
    <t>Q2 2013</t>
  </si>
  <si>
    <t>Q3 2013</t>
  </si>
  <si>
    <t>Q1 2014</t>
  </si>
  <si>
    <t>Q2 2014</t>
  </si>
  <si>
    <t>Q3 2014</t>
  </si>
  <si>
    <t>Q1 2015</t>
  </si>
  <si>
    <t>Q2 2015</t>
  </si>
  <si>
    <t>Q3 2015</t>
  </si>
  <si>
    <t>Q1 2016</t>
  </si>
  <si>
    <t>Q2 2016</t>
  </si>
  <si>
    <t>Q3 2016</t>
  </si>
  <si>
    <t>Q1 2017</t>
  </si>
  <si>
    <t>Q2 2017</t>
  </si>
  <si>
    <t>Q3 2017</t>
  </si>
  <si>
    <t>Q1 2018</t>
  </si>
  <si>
    <t>Q2 2018</t>
  </si>
  <si>
    <t>Q3 2018</t>
  </si>
  <si>
    <t>Q1 2019</t>
  </si>
  <si>
    <t>Q2 2019</t>
  </si>
  <si>
    <t>Q3 2019</t>
  </si>
  <si>
    <t>Q1 2020</t>
  </si>
  <si>
    <t>Q2 2020</t>
  </si>
  <si>
    <t>Q3 2020</t>
  </si>
  <si>
    <t>Q1 2021</t>
  </si>
  <si>
    <t>Q2 2021</t>
  </si>
  <si>
    <t>Brent</t>
  </si>
  <si>
    <t>&lt;YoY% NSA&gt;</t>
  </si>
  <si>
    <t>&lt;NSA&gt;</t>
  </si>
  <si>
    <t>Q3 2021</t>
  </si>
  <si>
    <t>PRIVCSUM_YOY</t>
  </si>
  <si>
    <t>PUBCSUM_YOY</t>
  </si>
  <si>
    <t>IPI_YOY</t>
  </si>
  <si>
    <t>Annual Lag (1Y)</t>
  </si>
  <si>
    <t>Z-Score Normalisation</t>
  </si>
  <si>
    <t>Z-Score Normalisation + Annual Lag (1Y)</t>
  </si>
  <si>
    <t>Annual Lag (1Y) + Z-Score Normalisation</t>
  </si>
  <si>
    <t>AVERAGE</t>
  </si>
  <si>
    <t>RAW AVERAGE</t>
  </si>
  <si>
    <t>Yearly Average + Z-Score Normalisation</t>
  </si>
  <si>
    <t>Yearly Average + Z-Score Normalisation + Annual Lag (1Y)</t>
  </si>
  <si>
    <t>Yearly Average + Annual Lag (1Y) + Z-Score Normalisation</t>
  </si>
  <si>
    <t>Yearly Average + Annual Lag (1Y)</t>
  </si>
  <si>
    <t>Year-on-Year Change</t>
  </si>
  <si>
    <t>Year-on-Year Change + Z-Score Normalisation</t>
  </si>
  <si>
    <t>Q4 2010</t>
  </si>
  <si>
    <t>Z_LAG_GDP_YOY</t>
  </si>
  <si>
    <t>Z_LAG_CPI_YOY</t>
  </si>
  <si>
    <t>Z_LAG_KLIBOR3M</t>
  </si>
  <si>
    <t>Q1 2010</t>
  </si>
  <si>
    <t>Q2 2010</t>
  </si>
  <si>
    <t>Q3 2010</t>
  </si>
  <si>
    <t>Log Mod</t>
  </si>
  <si>
    <t>QLag1</t>
  </si>
  <si>
    <t>QLag2</t>
  </si>
  <si>
    <t>QLag3</t>
  </si>
  <si>
    <t>QLag4</t>
  </si>
  <si>
    <t>Z_GDP_YOY</t>
  </si>
  <si>
    <t>Z_CPI_YOY</t>
  </si>
  <si>
    <t>Z_KLIBOR3M</t>
  </si>
  <si>
    <t>Z_USDMYR</t>
  </si>
  <si>
    <t>Z_UNEMPLOYMENT</t>
  </si>
  <si>
    <t>Z_KLCI</t>
  </si>
  <si>
    <t>Z_EMAS</t>
  </si>
  <si>
    <t>Z_EXPORT_YOY</t>
  </si>
  <si>
    <t>Z_IMPORT_YOY</t>
  </si>
  <si>
    <t>Z_FIXED_INVESTMENT_YOY</t>
  </si>
  <si>
    <t>Z_DEBT_SERVICE_RATIO</t>
  </si>
  <si>
    <t>Z_OPR</t>
  </si>
  <si>
    <t>Z_GOLD</t>
  </si>
  <si>
    <t>Z_CSI</t>
  </si>
  <si>
    <t>Z_MYEILI</t>
  </si>
  <si>
    <t>Z_BRENTUSD</t>
  </si>
  <si>
    <t>Z_PRIVCSUM_YOY</t>
  </si>
  <si>
    <t>Z_PUBCSUM_YOY</t>
  </si>
  <si>
    <t>Z_IPI_YOY</t>
  </si>
  <si>
    <t>Z_LAG_USDMYR</t>
  </si>
  <si>
    <t>Z_LAG_UNEMPLOYMENT</t>
  </si>
  <si>
    <t>Z_LAG_KLCI</t>
  </si>
  <si>
    <t>Z_LAG_EMAS</t>
  </si>
  <si>
    <t>Z_LAG_EXPORT_YOY</t>
  </si>
  <si>
    <t>Z_LAG_IMPORT_YOY</t>
  </si>
  <si>
    <t>Z_LAG_FIXED_INVESTMENT_YOY</t>
  </si>
  <si>
    <t>Z_LAG_DEBT_SERVICE_RATIO</t>
  </si>
  <si>
    <t>Z_LAG_OPR</t>
  </si>
  <si>
    <t>Z_LAG_GOLD</t>
  </si>
  <si>
    <t>Z_LAG_MYEILI</t>
  </si>
  <si>
    <t>Z_LAG_BRENTUSD</t>
  </si>
  <si>
    <t>Z_LAG_PRIVCSUM_YOY</t>
  </si>
  <si>
    <t>Z_LAG_PUBCSUM_YOY</t>
  </si>
  <si>
    <t>Z_LAG_IPI_YOY</t>
  </si>
  <si>
    <t>LAG_Z_GDP_YOY</t>
  </si>
  <si>
    <t>LAG_Z_CPI_YOY</t>
  </si>
  <si>
    <t>LAG_Z_KLIBOR3M</t>
  </si>
  <si>
    <t>LAG_Z_USDMYR</t>
  </si>
  <si>
    <t>LAG_Z_UNEMPLOYMENT</t>
  </si>
  <si>
    <t>LAG_Z_KLCI</t>
  </si>
  <si>
    <t>LAG_Z_EMAS</t>
  </si>
  <si>
    <t>LAG_Z_EXPORT_YOY</t>
  </si>
  <si>
    <t>LAG_Z_IMPORT_YOY</t>
  </si>
  <si>
    <t>LAG_Z_FIXED_INVESTMENT_YOY</t>
  </si>
  <si>
    <t>LAG_Z_DEBT_SERVICE_RATIO</t>
  </si>
  <si>
    <t>LAG_Z_OPR</t>
  </si>
  <si>
    <t>LAG_Z_GOLD</t>
  </si>
  <si>
    <t>LAG_Z_MYEILI</t>
  </si>
  <si>
    <t>LAG_Z_BRENTUSD</t>
  </si>
  <si>
    <t>LAG_Z_PRIVCSUM_YOY</t>
  </si>
  <si>
    <t>LAG_Z_PUBCSUM_YOY</t>
  </si>
  <si>
    <t>LAG_Z_IPI_YOY</t>
  </si>
  <si>
    <t>Z_AVG_GDP_YOY</t>
  </si>
  <si>
    <t>Z_AVG_CPI_YOY</t>
  </si>
  <si>
    <t>Z_AVG_KLIBOR3M</t>
  </si>
  <si>
    <t>Z_AVG_USDMYR</t>
  </si>
  <si>
    <t>Z_AVG_UNEMPLOYMENT</t>
  </si>
  <si>
    <t>Z_AVG_KLCI</t>
  </si>
  <si>
    <t>Z_AVG_EMAS</t>
  </si>
  <si>
    <t>Z_AVG_EXPORT_YOY</t>
  </si>
  <si>
    <t>Z_AVG_IMPORT_YOY</t>
  </si>
  <si>
    <t>Z_AVG_FIXED_INVESTMENT_YOY</t>
  </si>
  <si>
    <t>Z_AVG_DEBT_SERVICE_RATIO</t>
  </si>
  <si>
    <t>Z_AVG_OPR</t>
  </si>
  <si>
    <t>Z_AVG_GOLD</t>
  </si>
  <si>
    <t>Z_AVG_CSI</t>
  </si>
  <si>
    <t>Z_AVG_MYEILI</t>
  </si>
  <si>
    <t>Z_AVG_BRENTUSD</t>
  </si>
  <si>
    <t>Z_AVG_PRIVCSUM_YOY</t>
  </si>
  <si>
    <t>Z_AVG_PUBCSUM_YOY</t>
  </si>
  <si>
    <t>Z_AVG_IPI_YOY</t>
  </si>
  <si>
    <t>LAG_Z_AVG_GDP_YOY</t>
  </si>
  <si>
    <t>LAG_Z_AVG_CPI_YOY</t>
  </si>
  <si>
    <t>LAG_Z_AVG_KLIBOR3M</t>
  </si>
  <si>
    <t>LAG_Z_AVG_USDMYR</t>
  </si>
  <si>
    <t>LAG_Z_AVG_UNEMPLOYMENT</t>
  </si>
  <si>
    <t>LAG_Z_AVG_KLCI</t>
  </si>
  <si>
    <t>LAG_Z_AVG_EMAS</t>
  </si>
  <si>
    <t>LAG_Z_AVG_EXPORT_YOY</t>
  </si>
  <si>
    <t>LAG_Z_AVG_IMPORT_YOY</t>
  </si>
  <si>
    <t>LAG_Z_AVG_FIXED_INVESTMENT_YOY</t>
  </si>
  <si>
    <t>LAG_Z_AVG_DEBT_SERVICE_RATIO</t>
  </si>
  <si>
    <t>LAG_Z_AVG_OPR</t>
  </si>
  <si>
    <t>LAG_Z_AVG_GOLD</t>
  </si>
  <si>
    <t>LAG_Z_AVG_MYEILI</t>
  </si>
  <si>
    <t>LAG_Z_AVG_BRENTUSD</t>
  </si>
  <si>
    <t>LAG_Z_AVG_PRIVCSUM_YOY</t>
  </si>
  <si>
    <t>LAG_Z_AVG_PUBCSUM_YOY</t>
  </si>
  <si>
    <t>LAG_Z_AVG_IPI_YOY</t>
  </si>
  <si>
    <t>Z_LAG_AVG_GDP_YOY</t>
  </si>
  <si>
    <t>Z_LAG_AVG_CPI_YOY</t>
  </si>
  <si>
    <t>Z_LAG_AVG_KLIBOR3M</t>
  </si>
  <si>
    <t>Z_LAG_AVG_USDMYR</t>
  </si>
  <si>
    <t>Z_LAG_AVG_UNEMPLOYMENT</t>
  </si>
  <si>
    <t>Z_LAG_AVG_KLCI</t>
  </si>
  <si>
    <t>Z_LAG_AVG_EMAS</t>
  </si>
  <si>
    <t>Z_LAG_AVG_EXPORT_YOY</t>
  </si>
  <si>
    <t>Z_LAG_AVG_IMPORT_YOY</t>
  </si>
  <si>
    <t>Z_LAG_AVG_FIXED_INVESTMENT_YOY</t>
  </si>
  <si>
    <t>Z_LAG_AVG_DEBT_SERVICE_RATIO</t>
  </si>
  <si>
    <t>Z_LAG_AVG_OPR</t>
  </si>
  <si>
    <t>Z_LAG_AVG_GOLD</t>
  </si>
  <si>
    <t>Z_LAG_AVG_MYEILI</t>
  </si>
  <si>
    <t>Z_LAG_AVG_BRENTUSD</t>
  </si>
  <si>
    <t>Z_LAG_AVG_PRIVCSUM_YOY</t>
  </si>
  <si>
    <t>Z_LAG_AVG_PUBCSUM_YOY</t>
  </si>
  <si>
    <t>Z_LAG_AVG_IPI_YOY</t>
  </si>
  <si>
    <t>Z_YYC_KLIBOR3M</t>
  </si>
  <si>
    <t>Z_YYC_USDMYR</t>
  </si>
  <si>
    <t>Z_YYC_UNEMPLOYMENT</t>
  </si>
  <si>
    <t>Z_YYC_KLCI</t>
  </si>
  <si>
    <t>Z_YYC_EMAS</t>
  </si>
  <si>
    <t>Z_YYC_DEBT_SERVICE_RATIO</t>
  </si>
  <si>
    <t>Z_YYC_OPR</t>
  </si>
  <si>
    <t>Z_YYC_GOLD</t>
  </si>
  <si>
    <t>Z_YYC_MYEILI</t>
  </si>
  <si>
    <t>Z_YYC_BRENTUSD</t>
  </si>
  <si>
    <t>Z-score</t>
  </si>
  <si>
    <t>Z-Score Normalisation for Annual Lag (1Y)</t>
  </si>
  <si>
    <t>AVERAGE for Annual Lag (1Y)</t>
  </si>
  <si>
    <t>AVG_GDP_YOY</t>
  </si>
  <si>
    <t>AVG_CPI_YOY</t>
  </si>
  <si>
    <t>AVG_KLIBOR3M</t>
  </si>
  <si>
    <t>AVG_USDMYR</t>
  </si>
  <si>
    <t>AVG_UNEMPLOYMENT</t>
  </si>
  <si>
    <t>AVG_KLCI</t>
  </si>
  <si>
    <t>AVG_EMAS</t>
  </si>
  <si>
    <t>AVG_EXPORT_YOY</t>
  </si>
  <si>
    <t>AVG_IMPORT_YOY</t>
  </si>
  <si>
    <t>AVG_FIXED_INVESTMENT_YOY</t>
  </si>
  <si>
    <t>AVG_DEBT_SERVICE_RATIO</t>
  </si>
  <si>
    <t>AVG_OPR</t>
  </si>
  <si>
    <t>AVG_GOLD</t>
  </si>
  <si>
    <t>AVG_CSI</t>
  </si>
  <si>
    <t>AVG_MYEILI</t>
  </si>
  <si>
    <t>AVG_BRENTUSD</t>
  </si>
  <si>
    <t>AVG_PRIVCSUM_YOY</t>
  </si>
  <si>
    <t>AVG_PUBCSUM_YOY</t>
  </si>
  <si>
    <t>AVG_IPI_YOY</t>
  </si>
  <si>
    <t>AVERAGE for Annual Lag (1Y) + Z-Score Normalisation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</si>
</sst>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2" fillId="0" borderId="0"/>
  </cellStyleXfs>
  <cellXfs count="7">
    <xf numFmtId="0" fontId="0" fillId="0" borderId="0" xfId="0"/>
    <xf numFmtId="22" fontId="2" fillId="0" borderId="0" xfId="1"/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Font="1"/>
  </cellXfs>
  <cellStyles count="2">
    <cellStyle name="blp_datetime" xfId="1" xr:uid="{58381304-4225-43C6-80EE-7320DD3D973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D088-A795-4EB1-878E-F58B001D57B5}">
  <dimension ref="A1:Q30"/>
  <sheetViews>
    <sheetView workbookViewId="0">
      <selection activeCell="D19" sqref="D19"/>
    </sheetView>
  </sheetViews>
  <sheetFormatPr defaultRowHeight="14.5" x14ac:dyDescent="0.35"/>
  <cols>
    <col min="1" max="1" width="14.453125" bestFit="1" customWidth="1"/>
    <col min="2" max="3" width="17.54296875" bestFit="1" customWidth="1"/>
    <col min="4" max="4" width="11" customWidth="1"/>
    <col min="5" max="5" width="8.453125" bestFit="1" customWidth="1"/>
    <col min="6" max="6" width="12.1796875" bestFit="1" customWidth="1"/>
    <col min="7" max="7" width="8.54296875" bestFit="1" customWidth="1"/>
    <col min="8" max="8" width="9.81640625" bestFit="1" customWidth="1"/>
    <col min="9" max="11" width="17.54296875" bestFit="1" customWidth="1"/>
    <col min="12" max="13" width="12.1796875" bestFit="1" customWidth="1"/>
    <col min="14" max="14" width="8.26953125" bestFit="1" customWidth="1"/>
    <col min="15" max="16" width="12.1796875" bestFit="1" customWidth="1"/>
    <col min="17" max="17" width="11.8164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59</v>
      </c>
    </row>
    <row r="2" spans="1:17" x14ac:dyDescent="0.35">
      <c r="B2" t="s">
        <v>16</v>
      </c>
      <c r="C2" t="s">
        <v>16</v>
      </c>
      <c r="D2" t="s">
        <v>17</v>
      </c>
      <c r="E2" t="s">
        <v>17</v>
      </c>
      <c r="F2" t="s">
        <v>18</v>
      </c>
      <c r="G2" t="s">
        <v>17</v>
      </c>
      <c r="H2" t="s">
        <v>17</v>
      </c>
      <c r="I2" t="s">
        <v>16</v>
      </c>
      <c r="J2" t="s">
        <v>16</v>
      </c>
      <c r="K2" t="s">
        <v>16</v>
      </c>
      <c r="L2" t="s">
        <v>18</v>
      </c>
      <c r="M2" t="s">
        <v>18</v>
      </c>
      <c r="N2" t="s">
        <v>17</v>
      </c>
      <c r="O2" t="s">
        <v>18</v>
      </c>
      <c r="P2" t="s">
        <v>18</v>
      </c>
      <c r="Q2" s="2" t="s">
        <v>60</v>
      </c>
    </row>
    <row r="3" spans="1:17" x14ac:dyDescent="0.35">
      <c r="A3" t="s">
        <v>34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s="2" t="s">
        <v>100</v>
      </c>
    </row>
    <row r="4" spans="1:17" x14ac:dyDescent="0.35">
      <c r="A4" s="1">
        <v>44561</v>
      </c>
      <c r="B4">
        <v>3.6</v>
      </c>
      <c r="C4">
        <v>3.2</v>
      </c>
      <c r="D4">
        <v>2.0499999999999998</v>
      </c>
      <c r="E4">
        <v>4.1660000000000004</v>
      </c>
      <c r="F4">
        <v>4.3</v>
      </c>
      <c r="G4">
        <v>1567.53</v>
      </c>
      <c r="H4">
        <v>11308.79</v>
      </c>
      <c r="I4">
        <v>13</v>
      </c>
      <c r="J4">
        <v>14.5</v>
      </c>
      <c r="K4">
        <v>-3</v>
      </c>
      <c r="L4">
        <v>11</v>
      </c>
      <c r="M4">
        <v>1.8</v>
      </c>
      <c r="N4">
        <v>1829.2</v>
      </c>
      <c r="O4" t="e">
        <v>#N/A</v>
      </c>
      <c r="P4">
        <v>111.4</v>
      </c>
      <c r="Q4" s="2">
        <v>77.78</v>
      </c>
    </row>
    <row r="5" spans="1:17" x14ac:dyDescent="0.35">
      <c r="A5" s="1">
        <v>44196</v>
      </c>
      <c r="B5">
        <v>-3.3</v>
      </c>
      <c r="C5">
        <v>-1.4</v>
      </c>
      <c r="D5">
        <v>1.94</v>
      </c>
      <c r="E5">
        <v>4.0202999999999998</v>
      </c>
      <c r="F5">
        <v>4.8</v>
      </c>
      <c r="G5">
        <v>1627.21</v>
      </c>
      <c r="H5">
        <v>11761.93</v>
      </c>
      <c r="I5">
        <v>-1.9</v>
      </c>
      <c r="J5">
        <v>-3.4</v>
      </c>
      <c r="K5">
        <v>-11.7</v>
      </c>
      <c r="L5">
        <v>17.2</v>
      </c>
      <c r="M5">
        <v>1.8</v>
      </c>
      <c r="N5">
        <v>1898.36</v>
      </c>
      <c r="O5" t="e">
        <v>#N/A</v>
      </c>
      <c r="P5">
        <v>109.2</v>
      </c>
      <c r="Q5" s="2">
        <v>51.8</v>
      </c>
    </row>
    <row r="6" spans="1:17" x14ac:dyDescent="0.35">
      <c r="A6" s="1">
        <v>43830</v>
      </c>
      <c r="B6">
        <v>3.6</v>
      </c>
      <c r="C6">
        <v>1</v>
      </c>
      <c r="D6">
        <v>3.35</v>
      </c>
      <c r="E6">
        <v>4.0910000000000002</v>
      </c>
      <c r="F6">
        <v>3.3</v>
      </c>
      <c r="G6">
        <v>1588.76</v>
      </c>
      <c r="H6">
        <v>11323.49</v>
      </c>
      <c r="I6">
        <v>-3.3</v>
      </c>
      <c r="J6">
        <v>-2.2999999999999998</v>
      </c>
      <c r="K6">
        <v>-0.7</v>
      </c>
      <c r="L6">
        <v>14.7</v>
      </c>
      <c r="M6">
        <v>3</v>
      </c>
      <c r="N6">
        <v>1517.27</v>
      </c>
      <c r="O6">
        <v>84</v>
      </c>
      <c r="P6">
        <v>101.6</v>
      </c>
      <c r="Q6" s="2">
        <v>66</v>
      </c>
    </row>
    <row r="7" spans="1:17" x14ac:dyDescent="0.35">
      <c r="A7" s="1">
        <v>43465</v>
      </c>
      <c r="B7">
        <v>4.8</v>
      </c>
      <c r="C7">
        <v>0.2</v>
      </c>
      <c r="D7">
        <v>3.69</v>
      </c>
      <c r="E7">
        <v>4.1334999999999997</v>
      </c>
      <c r="F7">
        <v>3.3</v>
      </c>
      <c r="G7">
        <v>1690.58</v>
      </c>
      <c r="H7">
        <v>11527.51</v>
      </c>
      <c r="I7">
        <v>2.9</v>
      </c>
      <c r="J7">
        <v>2</v>
      </c>
      <c r="K7">
        <v>0.6</v>
      </c>
      <c r="L7">
        <v>10.1</v>
      </c>
      <c r="M7">
        <v>3.3</v>
      </c>
      <c r="N7">
        <v>1282.49</v>
      </c>
      <c r="O7">
        <v>96.8</v>
      </c>
      <c r="P7">
        <v>99.3</v>
      </c>
      <c r="Q7" s="2">
        <v>53.8</v>
      </c>
    </row>
    <row r="8" spans="1:17" x14ac:dyDescent="0.35">
      <c r="A8" s="1">
        <v>43100</v>
      </c>
      <c r="B8">
        <v>5.8</v>
      </c>
      <c r="C8">
        <v>3.5</v>
      </c>
      <c r="D8">
        <v>3.44</v>
      </c>
      <c r="E8">
        <v>4.0465</v>
      </c>
      <c r="F8">
        <v>3.3</v>
      </c>
      <c r="G8">
        <v>1796.81</v>
      </c>
      <c r="H8">
        <v>12942.57</v>
      </c>
      <c r="I8">
        <v>5.0999999999999996</v>
      </c>
      <c r="J8">
        <v>6.2</v>
      </c>
      <c r="K8">
        <v>4.4000000000000004</v>
      </c>
      <c r="L8">
        <v>12.1</v>
      </c>
      <c r="M8">
        <v>3</v>
      </c>
      <c r="N8">
        <v>1302.8</v>
      </c>
      <c r="O8">
        <v>82.6</v>
      </c>
      <c r="P8">
        <v>101.4</v>
      </c>
      <c r="Q8" s="2">
        <v>66.87</v>
      </c>
    </row>
    <row r="9" spans="1:17" x14ac:dyDescent="0.35">
      <c r="A9" s="1">
        <v>42735</v>
      </c>
      <c r="B9">
        <v>4.8</v>
      </c>
      <c r="C9">
        <v>1.7</v>
      </c>
      <c r="D9">
        <v>3.41</v>
      </c>
      <c r="E9">
        <v>4.4862000000000002</v>
      </c>
      <c r="F9">
        <v>3.5</v>
      </c>
      <c r="G9">
        <v>1641.73</v>
      </c>
      <c r="H9">
        <v>11466.54</v>
      </c>
      <c r="I9">
        <v>2.4</v>
      </c>
      <c r="J9">
        <v>2.1</v>
      </c>
      <c r="K9">
        <v>2.1</v>
      </c>
      <c r="L9">
        <v>19.5</v>
      </c>
      <c r="M9">
        <v>3</v>
      </c>
      <c r="N9">
        <v>1147.5</v>
      </c>
      <c r="O9">
        <v>69.8</v>
      </c>
      <c r="P9">
        <v>99.5</v>
      </c>
      <c r="Q9" s="2">
        <v>56.82</v>
      </c>
    </row>
    <row r="10" spans="1:17" x14ac:dyDescent="0.35">
      <c r="A10" s="1">
        <v>42369</v>
      </c>
      <c r="B10">
        <v>4.7</v>
      </c>
      <c r="C10">
        <v>2.7</v>
      </c>
      <c r="D10">
        <v>3.84</v>
      </c>
      <c r="E10">
        <v>4.2925000000000004</v>
      </c>
      <c r="F10">
        <v>3.4</v>
      </c>
      <c r="G10">
        <v>1692.51</v>
      </c>
      <c r="H10">
        <v>11793.65</v>
      </c>
      <c r="I10">
        <v>3.8</v>
      </c>
      <c r="J10">
        <v>3.7</v>
      </c>
      <c r="K10">
        <v>2.6</v>
      </c>
      <c r="L10">
        <v>20.399999999999999</v>
      </c>
      <c r="M10">
        <v>3.3</v>
      </c>
      <c r="N10">
        <v>1061.0999999999999</v>
      </c>
      <c r="O10">
        <v>63.8</v>
      </c>
      <c r="P10">
        <v>99.8</v>
      </c>
      <c r="Q10" s="2">
        <v>37.28</v>
      </c>
    </row>
    <row r="11" spans="1:17" x14ac:dyDescent="0.35">
      <c r="A11" s="1">
        <v>42004</v>
      </c>
      <c r="B11">
        <v>5.7</v>
      </c>
      <c r="C11">
        <v>2.7</v>
      </c>
      <c r="D11">
        <v>3.86</v>
      </c>
      <c r="E11">
        <v>3.4965000000000002</v>
      </c>
      <c r="F11">
        <v>3</v>
      </c>
      <c r="G11">
        <v>1761.25</v>
      </c>
      <c r="H11">
        <v>12066.28</v>
      </c>
      <c r="I11">
        <v>1.6</v>
      </c>
      <c r="J11">
        <v>2.2999999999999998</v>
      </c>
      <c r="K11">
        <v>4.3</v>
      </c>
      <c r="L11">
        <v>14.7</v>
      </c>
      <c r="M11">
        <v>3.3</v>
      </c>
      <c r="N11">
        <v>1184.3699999999999</v>
      </c>
      <c r="O11">
        <v>83</v>
      </c>
      <c r="P11">
        <v>101</v>
      </c>
      <c r="Q11" s="2">
        <v>57.33</v>
      </c>
    </row>
    <row r="12" spans="1:17" x14ac:dyDescent="0.35">
      <c r="A12" s="1">
        <v>41639</v>
      </c>
      <c r="B12">
        <v>5</v>
      </c>
      <c r="C12">
        <v>3.2</v>
      </c>
      <c r="D12">
        <v>3.32</v>
      </c>
      <c r="E12">
        <v>3.2755000000000001</v>
      </c>
      <c r="F12">
        <v>3</v>
      </c>
      <c r="G12">
        <v>1866.96</v>
      </c>
      <c r="H12">
        <v>12853.63</v>
      </c>
      <c r="I12">
        <v>5.0999999999999996</v>
      </c>
      <c r="J12">
        <v>6.9</v>
      </c>
      <c r="K12">
        <v>6.1</v>
      </c>
      <c r="L12">
        <v>13.6</v>
      </c>
      <c r="M12">
        <v>3</v>
      </c>
      <c r="N12">
        <v>1201.6400000000001</v>
      </c>
      <c r="O12">
        <v>82.4</v>
      </c>
      <c r="P12">
        <v>97.8</v>
      </c>
      <c r="Q12" s="2">
        <v>110.8</v>
      </c>
    </row>
    <row r="13" spans="1:17" x14ac:dyDescent="0.35">
      <c r="A13" s="1">
        <v>41274</v>
      </c>
      <c r="B13">
        <v>6.5</v>
      </c>
      <c r="C13">
        <v>1.2</v>
      </c>
      <c r="D13">
        <v>3.21</v>
      </c>
      <c r="E13">
        <v>3.0585</v>
      </c>
      <c r="F13">
        <v>3.3</v>
      </c>
      <c r="G13">
        <v>1688.95</v>
      </c>
      <c r="H13">
        <v>11438.14</v>
      </c>
      <c r="I13">
        <v>-4</v>
      </c>
      <c r="J13">
        <v>-3.3</v>
      </c>
      <c r="K13">
        <v>15.5</v>
      </c>
      <c r="L13">
        <v>15</v>
      </c>
      <c r="M13">
        <v>3</v>
      </c>
      <c r="N13">
        <v>1675.35</v>
      </c>
      <c r="O13">
        <v>118.7</v>
      </c>
      <c r="P13">
        <v>95.5</v>
      </c>
      <c r="Q13" s="2">
        <v>111.11</v>
      </c>
    </row>
    <row r="14" spans="1:17" x14ac:dyDescent="0.35">
      <c r="A14" s="1">
        <v>40908</v>
      </c>
      <c r="B14">
        <v>5.5</v>
      </c>
      <c r="C14">
        <v>3</v>
      </c>
      <c r="D14">
        <v>3.22</v>
      </c>
      <c r="E14">
        <v>3.1682000000000001</v>
      </c>
      <c r="F14">
        <v>3.1</v>
      </c>
      <c r="G14">
        <v>1530.73</v>
      </c>
      <c r="H14">
        <v>10489.07</v>
      </c>
      <c r="I14">
        <v>5.6</v>
      </c>
      <c r="J14">
        <v>7.4</v>
      </c>
      <c r="K14">
        <v>6.4</v>
      </c>
      <c r="L14">
        <v>13</v>
      </c>
      <c r="M14">
        <v>3</v>
      </c>
      <c r="N14">
        <v>1564.91</v>
      </c>
      <c r="O14">
        <v>106.3</v>
      </c>
      <c r="P14">
        <v>94</v>
      </c>
      <c r="Q14" s="2">
        <v>107.38</v>
      </c>
    </row>
    <row r="15" spans="1:17" x14ac:dyDescent="0.35">
      <c r="A15" s="1">
        <v>40543</v>
      </c>
      <c r="B15">
        <v>5</v>
      </c>
      <c r="C15">
        <v>2.2000000000000002</v>
      </c>
      <c r="D15">
        <v>2.98</v>
      </c>
      <c r="E15">
        <v>3.0834999999999999</v>
      </c>
      <c r="F15">
        <v>3.1</v>
      </c>
      <c r="G15">
        <v>1518.91</v>
      </c>
      <c r="H15">
        <v>10374.98</v>
      </c>
      <c r="I15">
        <v>2.4</v>
      </c>
      <c r="J15">
        <v>4.3</v>
      </c>
      <c r="K15" s="5">
        <v>13</v>
      </c>
      <c r="L15">
        <v>9</v>
      </c>
      <c r="M15">
        <v>2.8</v>
      </c>
      <c r="N15">
        <v>1421.4</v>
      </c>
      <c r="O15">
        <v>117.2</v>
      </c>
      <c r="P15">
        <v>94.1</v>
      </c>
      <c r="Q15">
        <v>94.75</v>
      </c>
    </row>
    <row r="17" spans="1:4" x14ac:dyDescent="0.35">
      <c r="A17" s="3"/>
      <c r="B17" s="3" t="s">
        <v>62</v>
      </c>
      <c r="C17" s="3" t="s">
        <v>63</v>
      </c>
      <c r="D17" s="3" t="s">
        <v>64</v>
      </c>
    </row>
    <row r="18" spans="1:4" x14ac:dyDescent="0.35">
      <c r="A18" s="3" t="s">
        <v>34</v>
      </c>
      <c r="B18" s="3" t="s">
        <v>65</v>
      </c>
      <c r="C18" s="3" t="s">
        <v>66</v>
      </c>
      <c r="D18" s="3" t="s">
        <v>67</v>
      </c>
    </row>
    <row r="19" spans="1:4" x14ac:dyDescent="0.35">
      <c r="A19" s="3" t="s">
        <v>119</v>
      </c>
      <c r="B19" s="6">
        <v>6.6833104481338168</v>
      </c>
      <c r="C19" s="6">
        <v>3.0989543870283409</v>
      </c>
      <c r="D19" s="6">
        <v>3.7325177491846828</v>
      </c>
    </row>
    <row r="20" spans="1:4" x14ac:dyDescent="0.35">
      <c r="A20" s="3" t="s">
        <v>35</v>
      </c>
      <c r="B20">
        <v>7.1719281728402251</v>
      </c>
      <c r="C20">
        <v>21.00789137750958</v>
      </c>
      <c r="D20">
        <v>3.3645805608782275</v>
      </c>
    </row>
    <row r="21" spans="1:4" x14ac:dyDescent="0.35">
      <c r="A21" s="3" t="s">
        <v>36</v>
      </c>
      <c r="B21">
        <v>6.7651903367496269</v>
      </c>
      <c r="C21">
        <v>0.75523268359347639</v>
      </c>
      <c r="D21">
        <v>6.5515411565639114</v>
      </c>
    </row>
    <row r="22" spans="1:4" x14ac:dyDescent="0.35">
      <c r="A22" s="3" t="s">
        <v>37</v>
      </c>
      <c r="B22">
        <v>7.5844454158202845</v>
      </c>
      <c r="C22">
        <v>5.4397487150199986</v>
      </c>
      <c r="D22">
        <v>2.9495024696621908</v>
      </c>
    </row>
    <row r="23" spans="1:4" x14ac:dyDescent="0.35">
      <c r="A23" s="3" t="s">
        <v>38</v>
      </c>
      <c r="B23">
        <v>7.6209748091967899</v>
      </c>
      <c r="C23">
        <v>2.4734822839088233</v>
      </c>
      <c r="D23">
        <v>5.8758787017487935</v>
      </c>
    </row>
    <row r="24" spans="1:4" x14ac:dyDescent="0.35">
      <c r="A24" s="3" t="s">
        <v>39</v>
      </c>
      <c r="B24">
        <v>4.8931067156224195</v>
      </c>
      <c r="C24">
        <v>3.4973351539444142</v>
      </c>
      <c r="D24">
        <v>3.1428169767552916</v>
      </c>
    </row>
    <row r="25" spans="1:4" x14ac:dyDescent="0.35">
      <c r="A25" s="3" t="s">
        <v>40</v>
      </c>
      <c r="B25">
        <v>6.0155216987227256</v>
      </c>
      <c r="C25">
        <v>-4.0579836463746854</v>
      </c>
      <c r="D25">
        <v>5.4607497440730679</v>
      </c>
    </row>
    <row r="26" spans="1:4" x14ac:dyDescent="0.35">
      <c r="A26" s="3" t="s">
        <v>41</v>
      </c>
      <c r="B26">
        <v>6.9159531582834166</v>
      </c>
      <c r="C26">
        <v>6.9659165722519845</v>
      </c>
      <c r="D26">
        <v>3.7783352028301298</v>
      </c>
    </row>
    <row r="27" spans="1:4" x14ac:dyDescent="0.35">
      <c r="A27" s="3" t="s">
        <v>42</v>
      </c>
      <c r="B27">
        <v>8.4012231617442978</v>
      </c>
      <c r="C27">
        <v>4.2108925236052697</v>
      </c>
      <c r="D27">
        <v>3.2835563843465421</v>
      </c>
    </row>
    <row r="28" spans="1:4" x14ac:dyDescent="0.35">
      <c r="A28" s="3" t="s">
        <v>43</v>
      </c>
      <c r="B28">
        <v>8.1470646419487878</v>
      </c>
      <c r="C28">
        <v>0.57641198475015809</v>
      </c>
      <c r="D28">
        <v>1.3072590684449326</v>
      </c>
    </row>
    <row r="29" spans="1:4" x14ac:dyDescent="0.35">
      <c r="A29" s="3" t="s">
        <v>44</v>
      </c>
      <c r="B29">
        <v>-3.3299324545936426</v>
      </c>
      <c r="C29">
        <v>5.419226577077918</v>
      </c>
      <c r="D29">
        <v>-0.21996228313194699</v>
      </c>
    </row>
    <row r="30" spans="1:4" x14ac:dyDescent="0.35">
      <c r="A30" s="3" t="s">
        <v>45</v>
      </c>
      <c r="B30">
        <v>3.6702078823249495</v>
      </c>
      <c r="C30">
        <v>1.5872969223999389</v>
      </c>
      <c r="D30">
        <v>6.8345026604946346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44EF-CB93-40A8-8DB1-EB6BD4CB2C7F}">
  <dimension ref="A1:Q102"/>
  <sheetViews>
    <sheetView topLeftCell="A3" workbookViewId="0">
      <pane ySplit="1" topLeftCell="A4" activePane="bottomLeft" state="frozen"/>
      <selection activeCell="A3" sqref="A3"/>
      <selection pane="bottomLeft" activeCell="B55" sqref="B55:D58"/>
    </sheetView>
  </sheetViews>
  <sheetFormatPr defaultRowHeight="14.5" x14ac:dyDescent="0.35"/>
  <cols>
    <col min="1" max="1" width="14.453125" bestFit="1" customWidth="1"/>
  </cols>
  <sheetData>
    <row r="1" spans="1:17" hidden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hidden="1" x14ac:dyDescent="0.35">
      <c r="B2" t="s">
        <v>101</v>
      </c>
      <c r="C2" t="s">
        <v>16</v>
      </c>
      <c r="D2" t="s">
        <v>17</v>
      </c>
      <c r="E2" t="s">
        <v>17</v>
      </c>
      <c r="F2" t="s">
        <v>18</v>
      </c>
      <c r="G2" t="s">
        <v>17</v>
      </c>
      <c r="H2" t="s">
        <v>17</v>
      </c>
      <c r="I2" t="s">
        <v>101</v>
      </c>
      <c r="J2" t="s">
        <v>101</v>
      </c>
      <c r="K2" t="s">
        <v>101</v>
      </c>
      <c r="L2" t="s">
        <v>102</v>
      </c>
      <c r="M2" t="s">
        <v>18</v>
      </c>
      <c r="N2" t="s">
        <v>17</v>
      </c>
      <c r="O2" t="s">
        <v>102</v>
      </c>
      <c r="P2" t="s">
        <v>18</v>
      </c>
    </row>
    <row r="3" spans="1:17" x14ac:dyDescent="0.35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100</v>
      </c>
    </row>
    <row r="4" spans="1:17" x14ac:dyDescent="0.35">
      <c r="A4" s="1">
        <v>44561</v>
      </c>
      <c r="B4">
        <f>3.6</f>
        <v>3.6</v>
      </c>
      <c r="C4">
        <f>3.2</f>
        <v>3.2</v>
      </c>
      <c r="D4">
        <f>2.05</f>
        <v>2.0499999999999998</v>
      </c>
      <c r="E4">
        <f>4.166</f>
        <v>4.1660000000000004</v>
      </c>
      <c r="F4">
        <f>4.3</f>
        <v>4.3</v>
      </c>
      <c r="G4">
        <f>1567.53</f>
        <v>1567.53</v>
      </c>
      <c r="H4">
        <f>11308.79</f>
        <v>11308.79</v>
      </c>
      <c r="I4">
        <f>13</f>
        <v>13</v>
      </c>
      <c r="J4">
        <f>14.5</f>
        <v>14.5</v>
      </c>
      <c r="K4">
        <f>-3</f>
        <v>-3</v>
      </c>
      <c r="L4">
        <f>11</f>
        <v>11</v>
      </c>
      <c r="M4">
        <f t="shared" ref="M4:M9" si="0">1.8</f>
        <v>1.8</v>
      </c>
      <c r="N4">
        <f>1829.2</f>
        <v>1829.2</v>
      </c>
      <c r="O4" t="e">
        <f>NA()</f>
        <v>#N/A</v>
      </c>
      <c r="P4">
        <f>111.4</f>
        <v>111.4</v>
      </c>
      <c r="Q4">
        <v>77.78</v>
      </c>
    </row>
    <row r="5" spans="1:17" x14ac:dyDescent="0.35">
      <c r="A5" s="1">
        <v>44469</v>
      </c>
      <c r="B5">
        <f>-4.5</f>
        <v>-4.5</v>
      </c>
      <c r="C5">
        <f>2.2</f>
        <v>2.2000000000000002</v>
      </c>
      <c r="D5">
        <f>1.93</f>
        <v>1.93</v>
      </c>
      <c r="E5">
        <f>4.1862</f>
        <v>4.1862000000000004</v>
      </c>
      <c r="F5">
        <f>4.5</f>
        <v>4.5</v>
      </c>
      <c r="G5">
        <f>1537.8</f>
        <v>1537.8</v>
      </c>
      <c r="H5">
        <f>11311.08</f>
        <v>11311.08</v>
      </c>
      <c r="I5">
        <f>4.2</f>
        <v>4.2</v>
      </c>
      <c r="J5">
        <f>11.4</f>
        <v>11.4</v>
      </c>
      <c r="K5">
        <f>-10.8</f>
        <v>-10.8</v>
      </c>
      <c r="L5">
        <f>14</f>
        <v>14</v>
      </c>
      <c r="M5">
        <f t="shared" si="0"/>
        <v>1.8</v>
      </c>
      <c r="N5">
        <f>1756.95</f>
        <v>1756.95</v>
      </c>
      <c r="O5" t="e">
        <f>NA()</f>
        <v>#N/A</v>
      </c>
      <c r="P5">
        <f>109.6</f>
        <v>109.6</v>
      </c>
      <c r="Q5">
        <v>78.52</v>
      </c>
    </row>
    <row r="6" spans="1:17" x14ac:dyDescent="0.35">
      <c r="A6" s="1">
        <v>44377</v>
      </c>
      <c r="B6">
        <f>15.9</f>
        <v>15.9</v>
      </c>
      <c r="C6">
        <f>3.4</f>
        <v>3.4</v>
      </c>
      <c r="D6">
        <f>1.94</f>
        <v>1.94</v>
      </c>
      <c r="E6">
        <f>4.149</f>
        <v>4.149</v>
      </c>
      <c r="F6">
        <f>4.8</f>
        <v>4.8</v>
      </c>
      <c r="G6">
        <f>1532.63</f>
        <v>1532.63</v>
      </c>
      <c r="H6">
        <f>11156.22</f>
        <v>11156.22</v>
      </c>
      <c r="I6">
        <f>37.1</f>
        <v>37.1</v>
      </c>
      <c r="J6">
        <f>35.5</f>
        <v>35.5</v>
      </c>
      <c r="K6">
        <f>16.4</f>
        <v>16.399999999999999</v>
      </c>
      <c r="L6">
        <f>8.4</f>
        <v>8.4</v>
      </c>
      <c r="M6">
        <f t="shared" si="0"/>
        <v>1.8</v>
      </c>
      <c r="N6">
        <f>1770.11</f>
        <v>1770.11</v>
      </c>
      <c r="O6" t="e">
        <f>NA()</f>
        <v>#N/A</v>
      </c>
      <c r="P6">
        <f>106.1</f>
        <v>106.1</v>
      </c>
      <c r="Q6">
        <v>75.13</v>
      </c>
    </row>
    <row r="7" spans="1:17" x14ac:dyDescent="0.35">
      <c r="A7" s="1">
        <v>44286</v>
      </c>
      <c r="B7">
        <f>-0.5</f>
        <v>-0.5</v>
      </c>
      <c r="C7">
        <f>1.7</f>
        <v>1.7</v>
      </c>
      <c r="D7">
        <f>1.94</f>
        <v>1.94</v>
      </c>
      <c r="E7">
        <f>4.145</f>
        <v>4.1449999999999996</v>
      </c>
      <c r="F7">
        <f>4.7</f>
        <v>4.7</v>
      </c>
      <c r="G7">
        <f>1573.51</f>
        <v>1573.51</v>
      </c>
      <c r="H7">
        <f>11614.56</f>
        <v>11614.56</v>
      </c>
      <c r="I7">
        <f>11.7</f>
        <v>11.7</v>
      </c>
      <c r="J7">
        <f>12.2</f>
        <v>12.2</v>
      </c>
      <c r="K7">
        <f>-3.3</f>
        <v>-3.3</v>
      </c>
      <c r="L7">
        <f>10.8</f>
        <v>10.8</v>
      </c>
      <c r="M7">
        <f t="shared" si="0"/>
        <v>1.8</v>
      </c>
      <c r="N7">
        <f>1707.71</f>
        <v>1707.71</v>
      </c>
      <c r="O7" t="e">
        <f>NA()</f>
        <v>#N/A</v>
      </c>
      <c r="P7">
        <f>113</f>
        <v>113</v>
      </c>
      <c r="Q7">
        <v>63.54</v>
      </c>
    </row>
    <row r="8" spans="1:17" x14ac:dyDescent="0.35">
      <c r="A8" s="1">
        <v>44196</v>
      </c>
      <c r="B8">
        <f>-3.3</f>
        <v>-3.3</v>
      </c>
      <c r="C8">
        <f>-1.4</f>
        <v>-1.4</v>
      </c>
      <c r="D8">
        <f>1.94</f>
        <v>1.94</v>
      </c>
      <c r="E8">
        <f>4.0203</f>
        <v>4.0202999999999998</v>
      </c>
      <c r="F8">
        <f>4.8</f>
        <v>4.8</v>
      </c>
      <c r="G8">
        <f>1627.21</f>
        <v>1627.21</v>
      </c>
      <c r="H8">
        <f>11761.93</f>
        <v>11761.93</v>
      </c>
      <c r="I8">
        <f>-1.9</f>
        <v>-1.9</v>
      </c>
      <c r="J8">
        <f>-3.4</f>
        <v>-3.4</v>
      </c>
      <c r="K8">
        <f>-11.7</f>
        <v>-11.7</v>
      </c>
      <c r="L8">
        <f>17.2</f>
        <v>17.2</v>
      </c>
      <c r="M8">
        <f t="shared" si="0"/>
        <v>1.8</v>
      </c>
      <c r="N8">
        <f>1898.36</f>
        <v>1898.36</v>
      </c>
      <c r="O8" t="e">
        <f>NA()</f>
        <v>#N/A</v>
      </c>
      <c r="P8">
        <f>109.2</f>
        <v>109.2</v>
      </c>
      <c r="Q8">
        <v>51.8</v>
      </c>
    </row>
    <row r="9" spans="1:17" x14ac:dyDescent="0.35">
      <c r="A9" s="1">
        <v>44104</v>
      </c>
      <c r="B9">
        <f>-2.5</f>
        <v>-2.5</v>
      </c>
      <c r="C9">
        <f>-1.4</f>
        <v>-1.4</v>
      </c>
      <c r="D9">
        <f>1.97</f>
        <v>1.97</v>
      </c>
      <c r="E9">
        <f>4.1565</f>
        <v>4.1565000000000003</v>
      </c>
      <c r="F9">
        <f>4.6</f>
        <v>4.5999999999999996</v>
      </c>
      <c r="G9">
        <f>1504.82</f>
        <v>1504.82</v>
      </c>
      <c r="H9">
        <f>10831.56</f>
        <v>10831.56</v>
      </c>
      <c r="I9">
        <f>-4.2</f>
        <v>-4.2</v>
      </c>
      <c r="J9">
        <f>-7.8</f>
        <v>-7.8</v>
      </c>
      <c r="K9">
        <f>-11.4</f>
        <v>-11.4</v>
      </c>
      <c r="L9">
        <f>11.2</f>
        <v>11.2</v>
      </c>
      <c r="M9">
        <f t="shared" si="0"/>
        <v>1.8</v>
      </c>
      <c r="N9">
        <f>1885.82</f>
        <v>1885.82</v>
      </c>
      <c r="O9" t="e">
        <f>NA()</f>
        <v>#N/A</v>
      </c>
      <c r="P9">
        <f>109.2</f>
        <v>109.2</v>
      </c>
      <c r="Q9">
        <v>40.950000000000003</v>
      </c>
    </row>
    <row r="10" spans="1:17" x14ac:dyDescent="0.35">
      <c r="A10" s="1">
        <v>44012</v>
      </c>
      <c r="B10">
        <f>-17.1</f>
        <v>-17.100000000000001</v>
      </c>
      <c r="C10">
        <f>-1.9</f>
        <v>-1.9</v>
      </c>
      <c r="D10">
        <f>2.28</f>
        <v>2.2799999999999998</v>
      </c>
      <c r="E10">
        <f>4.2863</f>
        <v>4.2862999999999998</v>
      </c>
      <c r="F10">
        <f>4.9</f>
        <v>4.9000000000000004</v>
      </c>
      <c r="G10">
        <f>1500.97</f>
        <v>1500.97</v>
      </c>
      <c r="H10">
        <f>10551.98</f>
        <v>10551.98</v>
      </c>
      <c r="I10">
        <f>-21.5</f>
        <v>-21.5</v>
      </c>
      <c r="J10">
        <f>-18.5</f>
        <v>-18.5</v>
      </c>
      <c r="K10">
        <f>-29</f>
        <v>-29</v>
      </c>
      <c r="L10">
        <f>12.4</f>
        <v>12.4</v>
      </c>
      <c r="M10">
        <f>2</f>
        <v>2</v>
      </c>
      <c r="N10">
        <f>1780.96</f>
        <v>1780.96</v>
      </c>
      <c r="O10" t="e">
        <f>NA()</f>
        <v>#N/A</v>
      </c>
      <c r="P10">
        <f>105.6</f>
        <v>105.6</v>
      </c>
      <c r="Q10">
        <v>41.15</v>
      </c>
    </row>
    <row r="11" spans="1:17" x14ac:dyDescent="0.35">
      <c r="A11" s="1">
        <v>43921</v>
      </c>
      <c r="B11">
        <f>0.7</f>
        <v>0.7</v>
      </c>
      <c r="C11">
        <f>-0.2</f>
        <v>-0.2</v>
      </c>
      <c r="D11">
        <f>2.8</f>
        <v>2.8</v>
      </c>
      <c r="E11">
        <f>4.3212</f>
        <v>4.3212000000000002</v>
      </c>
      <c r="F11">
        <f>3.9</f>
        <v>3.9</v>
      </c>
      <c r="G11">
        <f>1350.89</f>
        <v>1350.89</v>
      </c>
      <c r="H11">
        <f>9239.81</f>
        <v>9239.81</v>
      </c>
      <c r="I11">
        <f>-7</f>
        <v>-7</v>
      </c>
      <c r="J11">
        <f>-1.9</f>
        <v>-1.9</v>
      </c>
      <c r="K11">
        <f>-4.4</f>
        <v>-4.4000000000000004</v>
      </c>
      <c r="L11">
        <f>14.1</f>
        <v>14.1</v>
      </c>
      <c r="M11">
        <f>2.5</f>
        <v>2.5</v>
      </c>
      <c r="N11">
        <f>1577.18</f>
        <v>1577.18</v>
      </c>
      <c r="O11" t="e">
        <f>NA()</f>
        <v>#N/A</v>
      </c>
      <c r="P11">
        <f>96.5</f>
        <v>96.5</v>
      </c>
      <c r="Q11">
        <v>22.74</v>
      </c>
    </row>
    <row r="12" spans="1:17" x14ac:dyDescent="0.35">
      <c r="A12" s="1">
        <v>43830</v>
      </c>
      <c r="B12">
        <f>3.6</f>
        <v>3.6</v>
      </c>
      <c r="C12">
        <f>1</f>
        <v>1</v>
      </c>
      <c r="D12">
        <f>3.35</f>
        <v>3.35</v>
      </c>
      <c r="E12">
        <f>4.091</f>
        <v>4.0910000000000002</v>
      </c>
      <c r="F12">
        <f>3.3</f>
        <v>3.3</v>
      </c>
      <c r="G12">
        <f>1588.76</f>
        <v>1588.76</v>
      </c>
      <c r="H12">
        <f>11323.49</f>
        <v>11323.49</v>
      </c>
      <c r="I12">
        <f>-3.3</f>
        <v>-3.3</v>
      </c>
      <c r="J12">
        <f>-2.3</f>
        <v>-2.2999999999999998</v>
      </c>
      <c r="K12">
        <f>-0.7</f>
        <v>-0.7</v>
      </c>
      <c r="L12">
        <f>14.7</f>
        <v>14.7</v>
      </c>
      <c r="M12">
        <f>3</f>
        <v>3</v>
      </c>
      <c r="N12">
        <f>1517.27</f>
        <v>1517.27</v>
      </c>
      <c r="O12" t="e">
        <f>NA()</f>
        <v>#N/A</v>
      </c>
      <c r="P12">
        <f>101.6</f>
        <v>101.6</v>
      </c>
      <c r="Q12">
        <v>66</v>
      </c>
    </row>
    <row r="13" spans="1:17" x14ac:dyDescent="0.35">
      <c r="A13" s="1">
        <v>43738</v>
      </c>
      <c r="B13">
        <f>4.5</f>
        <v>4.5</v>
      </c>
      <c r="C13">
        <f>1.1</f>
        <v>1.1000000000000001</v>
      </c>
      <c r="D13">
        <f>3.38</f>
        <v>3.38</v>
      </c>
      <c r="E13">
        <f>4.1877</f>
        <v>4.1877000000000004</v>
      </c>
      <c r="F13">
        <f>3.3</f>
        <v>3.3</v>
      </c>
      <c r="G13">
        <f>1583.91</f>
        <v>1583.91</v>
      </c>
      <c r="H13">
        <f>11203.71</f>
        <v>11203.71</v>
      </c>
      <c r="I13">
        <f>-1.6</f>
        <v>-1.6</v>
      </c>
      <c r="J13">
        <f>-3.3</f>
        <v>-3.3</v>
      </c>
      <c r="K13">
        <f>-3.7</f>
        <v>-3.7</v>
      </c>
      <c r="L13">
        <f>15.1</f>
        <v>15.1</v>
      </c>
      <c r="M13">
        <f>3</f>
        <v>3</v>
      </c>
      <c r="N13">
        <f>1472.49</f>
        <v>1472.49</v>
      </c>
      <c r="O13">
        <f>84</f>
        <v>84</v>
      </c>
      <c r="P13">
        <f>100.2</f>
        <v>100.2</v>
      </c>
      <c r="Q13">
        <v>60.78</v>
      </c>
    </row>
    <row r="14" spans="1:17" x14ac:dyDescent="0.35">
      <c r="A14" s="1">
        <v>43646</v>
      </c>
      <c r="B14">
        <f>4.9</f>
        <v>4.9000000000000004</v>
      </c>
      <c r="C14">
        <f>1.5</f>
        <v>1.5</v>
      </c>
      <c r="D14">
        <f>3.46</f>
        <v>3.46</v>
      </c>
      <c r="E14">
        <f>4.132</f>
        <v>4.1319999999999997</v>
      </c>
      <c r="F14">
        <f>3.3</f>
        <v>3.3</v>
      </c>
      <c r="G14">
        <f>1672.13</f>
        <v>1672.13</v>
      </c>
      <c r="H14">
        <f>11781.58</f>
        <v>11781.58</v>
      </c>
      <c r="I14">
        <f>0.6</f>
        <v>0.6</v>
      </c>
      <c r="J14">
        <f>-2.3</f>
        <v>-2.2999999999999998</v>
      </c>
      <c r="K14">
        <f>-0.6</f>
        <v>-0.6</v>
      </c>
      <c r="L14">
        <f>10.2</f>
        <v>10.199999999999999</v>
      </c>
      <c r="M14">
        <f>3</f>
        <v>3</v>
      </c>
      <c r="N14">
        <f>1409.55</f>
        <v>1409.55</v>
      </c>
      <c r="O14">
        <f>93</f>
        <v>93</v>
      </c>
      <c r="P14">
        <f>100.5</f>
        <v>100.5</v>
      </c>
      <c r="Q14">
        <v>66.55</v>
      </c>
    </row>
    <row r="15" spans="1:17" x14ac:dyDescent="0.35">
      <c r="A15" s="1">
        <v>43555</v>
      </c>
      <c r="B15">
        <f>4.7</f>
        <v>4.7</v>
      </c>
      <c r="C15">
        <f>0.2</f>
        <v>0.2</v>
      </c>
      <c r="D15">
        <f>3.69</f>
        <v>3.69</v>
      </c>
      <c r="E15">
        <f>4.082</f>
        <v>4.0819999999999999</v>
      </c>
      <c r="F15">
        <f>3.4</f>
        <v>3.4</v>
      </c>
      <c r="G15">
        <f>1643.63</f>
        <v>1643.63</v>
      </c>
      <c r="H15">
        <f>11553.84</f>
        <v>11553.84</v>
      </c>
      <c r="I15">
        <f>0.3</f>
        <v>0.3</v>
      </c>
      <c r="J15">
        <f>-1.6</f>
        <v>-1.6</v>
      </c>
      <c r="K15">
        <f>-3.4</f>
        <v>-3.4</v>
      </c>
      <c r="L15">
        <f>10</f>
        <v>10</v>
      </c>
      <c r="M15">
        <f>3.3</f>
        <v>3.3</v>
      </c>
      <c r="N15">
        <f>1292.38</f>
        <v>1292.3800000000001</v>
      </c>
      <c r="O15">
        <f>85.6</f>
        <v>85.6</v>
      </c>
      <c r="P15">
        <f>100.2</f>
        <v>100.2</v>
      </c>
      <c r="Q15">
        <v>68.39</v>
      </c>
    </row>
    <row r="16" spans="1:17" x14ac:dyDescent="0.35">
      <c r="A16" s="1">
        <v>43465</v>
      </c>
      <c r="B16">
        <f>4.8</f>
        <v>4.8</v>
      </c>
      <c r="C16">
        <f>0.2</f>
        <v>0.2</v>
      </c>
      <c r="D16">
        <f>3.69</f>
        <v>3.69</v>
      </c>
      <c r="E16">
        <f>4.1335</f>
        <v>4.1334999999999997</v>
      </c>
      <c r="F16">
        <f>3.3</f>
        <v>3.3</v>
      </c>
      <c r="G16">
        <f>1690.58</f>
        <v>1690.58</v>
      </c>
      <c r="H16">
        <f>11527.51</f>
        <v>11527.51</v>
      </c>
      <c r="I16">
        <f>2.9</f>
        <v>2.9</v>
      </c>
      <c r="J16">
        <f>2</f>
        <v>2</v>
      </c>
      <c r="K16">
        <f>0.6</f>
        <v>0.6</v>
      </c>
      <c r="L16">
        <f>10.1</f>
        <v>10.1</v>
      </c>
      <c r="M16">
        <f>3.3</f>
        <v>3.3</v>
      </c>
      <c r="N16">
        <f>1282.49</f>
        <v>1282.49</v>
      </c>
      <c r="O16">
        <f>96.8</f>
        <v>96.8</v>
      </c>
      <c r="P16">
        <f>99.3</f>
        <v>99.3</v>
      </c>
      <c r="Q16">
        <v>53.8</v>
      </c>
    </row>
    <row r="17" spans="1:17" x14ac:dyDescent="0.35">
      <c r="A17" s="1">
        <v>43373</v>
      </c>
      <c r="B17">
        <f>4.5</f>
        <v>4.5</v>
      </c>
      <c r="C17">
        <f>0.3</f>
        <v>0.3</v>
      </c>
      <c r="D17">
        <f>3.69</f>
        <v>3.69</v>
      </c>
      <c r="E17">
        <f>4.1383</f>
        <v>4.1383000000000001</v>
      </c>
      <c r="F17">
        <f>3.3</f>
        <v>3.3</v>
      </c>
      <c r="G17">
        <f>1793.15</f>
        <v>1793.15</v>
      </c>
      <c r="H17">
        <f>12533.22</f>
        <v>12533.22</v>
      </c>
      <c r="I17">
        <f>0.5</f>
        <v>0.5</v>
      </c>
      <c r="J17">
        <f>2.3</f>
        <v>2.2999999999999998</v>
      </c>
      <c r="K17">
        <f>2.8</f>
        <v>2.8</v>
      </c>
      <c r="L17">
        <f>11.4</f>
        <v>11.4</v>
      </c>
      <c r="M17">
        <f>3.3</f>
        <v>3.3</v>
      </c>
      <c r="N17">
        <f>1190.88</f>
        <v>1190.8800000000001</v>
      </c>
      <c r="O17">
        <f>107.5</f>
        <v>107.5</v>
      </c>
      <c r="P17">
        <f>100</f>
        <v>100</v>
      </c>
      <c r="Q17">
        <v>82.72</v>
      </c>
    </row>
    <row r="18" spans="1:17" x14ac:dyDescent="0.35">
      <c r="A18" s="1">
        <v>43281</v>
      </c>
      <c r="B18">
        <f>4.8</f>
        <v>4.8</v>
      </c>
      <c r="C18">
        <f>0.8</f>
        <v>0.8</v>
      </c>
      <c r="D18">
        <f>3.69</f>
        <v>3.69</v>
      </c>
      <c r="E18">
        <f>4.0385</f>
        <v>4.0385</v>
      </c>
      <c r="F18">
        <f>3.4</f>
        <v>3.4</v>
      </c>
      <c r="G18">
        <f>1691.5</f>
        <v>1691.5</v>
      </c>
      <c r="H18">
        <f>11960.93</f>
        <v>11960.93</v>
      </c>
      <c r="I18">
        <f>2</f>
        <v>2</v>
      </c>
      <c r="J18">
        <f>3.7</f>
        <v>3.7</v>
      </c>
      <c r="K18">
        <f>1.7</f>
        <v>1.7</v>
      </c>
      <c r="L18">
        <f>12.4</f>
        <v>12.4</v>
      </c>
      <c r="M18">
        <f>3.3</f>
        <v>3.3</v>
      </c>
      <c r="N18">
        <f>1252.6</f>
        <v>1252.5999999999999</v>
      </c>
      <c r="O18">
        <f>132.9</f>
        <v>132.9</v>
      </c>
      <c r="P18">
        <f>100.8</f>
        <v>100.8</v>
      </c>
      <c r="Q18">
        <v>79.44</v>
      </c>
    </row>
    <row r="19" spans="1:17" x14ac:dyDescent="0.35">
      <c r="A19" s="1">
        <v>43190</v>
      </c>
      <c r="B19">
        <f>5.3</f>
        <v>5.3</v>
      </c>
      <c r="C19">
        <f>1.3</f>
        <v>1.3</v>
      </c>
      <c r="D19">
        <f>3.69</f>
        <v>3.69</v>
      </c>
      <c r="E19">
        <f>3.8635</f>
        <v>3.8635000000000002</v>
      </c>
      <c r="F19">
        <f>3.3</f>
        <v>3.3</v>
      </c>
      <c r="G19">
        <f>1863.46</f>
        <v>1863.46</v>
      </c>
      <c r="H19">
        <f>13045.59</f>
        <v>13045.59</v>
      </c>
      <c r="I19">
        <f>2.3</f>
        <v>2.2999999999999998</v>
      </c>
      <c r="J19">
        <f>-2</f>
        <v>-2</v>
      </c>
      <c r="K19">
        <f>0.2</f>
        <v>0.2</v>
      </c>
      <c r="L19">
        <f>12.8</f>
        <v>12.8</v>
      </c>
      <c r="M19">
        <f>3.3</f>
        <v>3.3</v>
      </c>
      <c r="N19">
        <f>1325.48</f>
        <v>1325.48</v>
      </c>
      <c r="O19">
        <f>91</f>
        <v>91</v>
      </c>
      <c r="P19">
        <f>102.2</f>
        <v>102.2</v>
      </c>
      <c r="Q19">
        <v>70.27</v>
      </c>
    </row>
    <row r="20" spans="1:17" x14ac:dyDescent="0.35">
      <c r="A20" s="1">
        <v>43100</v>
      </c>
      <c r="B20">
        <f>5.8</f>
        <v>5.8</v>
      </c>
      <c r="C20">
        <f>3.5</f>
        <v>3.5</v>
      </c>
      <c r="D20">
        <f>3.44</f>
        <v>3.44</v>
      </c>
      <c r="E20">
        <f>4.0465</f>
        <v>4.0465</v>
      </c>
      <c r="F20">
        <f>3.3</f>
        <v>3.3</v>
      </c>
      <c r="G20">
        <f>1796.81</f>
        <v>1796.81</v>
      </c>
      <c r="H20">
        <f>12942.57</f>
        <v>12942.57</v>
      </c>
      <c r="I20">
        <f>5.1</f>
        <v>5.0999999999999996</v>
      </c>
      <c r="J20">
        <f>6.2</f>
        <v>6.2</v>
      </c>
      <c r="K20">
        <f>4.4</f>
        <v>4.4000000000000004</v>
      </c>
      <c r="L20">
        <f>12.1</f>
        <v>12.1</v>
      </c>
      <c r="M20">
        <f>3</f>
        <v>3</v>
      </c>
      <c r="N20">
        <f>1302.8</f>
        <v>1302.8</v>
      </c>
      <c r="O20">
        <f>82.6</f>
        <v>82.6</v>
      </c>
      <c r="P20">
        <f>101.4</f>
        <v>101.4</v>
      </c>
      <c r="Q20">
        <v>66.87</v>
      </c>
    </row>
    <row r="21" spans="1:17" x14ac:dyDescent="0.35">
      <c r="A21" s="1">
        <v>43008</v>
      </c>
      <c r="B21">
        <f>6.1</f>
        <v>6.1</v>
      </c>
      <c r="C21">
        <f>4.2</f>
        <v>4.2</v>
      </c>
      <c r="D21">
        <f>3.43</f>
        <v>3.43</v>
      </c>
      <c r="E21">
        <f>4.2205</f>
        <v>4.2205000000000004</v>
      </c>
      <c r="F21">
        <f>3.4</f>
        <v>3.4</v>
      </c>
      <c r="G21">
        <f>1755.58</f>
        <v>1755.58</v>
      </c>
      <c r="H21">
        <f>12531.29</f>
        <v>12531.29</v>
      </c>
      <c r="I21">
        <f>10.6</f>
        <v>10.6</v>
      </c>
      <c r="J21">
        <f>12.2</f>
        <v>12.2</v>
      </c>
      <c r="K21">
        <f>6.6</f>
        <v>6.6</v>
      </c>
      <c r="L21">
        <f>15.5</f>
        <v>15.5</v>
      </c>
      <c r="M21">
        <f>3</f>
        <v>3</v>
      </c>
      <c r="N21">
        <f>1279.75</f>
        <v>1279.75</v>
      </c>
      <c r="O21">
        <f>77.1</f>
        <v>77.099999999999994</v>
      </c>
      <c r="P21">
        <f>102.1</f>
        <v>102.1</v>
      </c>
      <c r="Q21">
        <v>57.54</v>
      </c>
    </row>
    <row r="22" spans="1:17" x14ac:dyDescent="0.35">
      <c r="A22" s="1">
        <v>42916</v>
      </c>
      <c r="B22">
        <f>5.7</f>
        <v>5.7</v>
      </c>
      <c r="C22">
        <f>3.4</f>
        <v>3.4</v>
      </c>
      <c r="D22">
        <f>3.43</f>
        <v>3.43</v>
      </c>
      <c r="E22">
        <f>4.2933</f>
        <v>4.2933000000000003</v>
      </c>
      <c r="F22">
        <f>3.4</f>
        <v>3.4</v>
      </c>
      <c r="G22">
        <f>1763.67</f>
        <v>1763.67</v>
      </c>
      <c r="H22">
        <f>12598.94</f>
        <v>12598.94</v>
      </c>
      <c r="I22">
        <f>9.3</f>
        <v>9.3000000000000007</v>
      </c>
      <c r="J22">
        <f>9.6</f>
        <v>9.6</v>
      </c>
      <c r="K22">
        <f>3.9</f>
        <v>3.9</v>
      </c>
      <c r="L22">
        <f>9.6</f>
        <v>9.6</v>
      </c>
      <c r="M22">
        <f>3</f>
        <v>3</v>
      </c>
      <c r="N22">
        <f>1241.61</f>
        <v>1241.6099999999999</v>
      </c>
      <c r="O22">
        <f>80.7</f>
        <v>80.7</v>
      </c>
      <c r="P22">
        <f>100.2</f>
        <v>100.2</v>
      </c>
      <c r="Q22">
        <v>47.92</v>
      </c>
    </row>
    <row r="23" spans="1:17" x14ac:dyDescent="0.35">
      <c r="A23" s="1">
        <v>42825</v>
      </c>
      <c r="B23">
        <f>5.6</f>
        <v>5.6</v>
      </c>
      <c r="C23">
        <f>4.9</f>
        <v>4.9000000000000004</v>
      </c>
      <c r="D23">
        <f>3.43</f>
        <v>3.43</v>
      </c>
      <c r="E23">
        <f>4.4255</f>
        <v>4.4255000000000004</v>
      </c>
      <c r="F23">
        <f>3.4</f>
        <v>3.4</v>
      </c>
      <c r="G23">
        <f>1740.09</f>
        <v>1740.09</v>
      </c>
      <c r="H23">
        <f>12361.69</f>
        <v>12361.69</v>
      </c>
      <c r="I23">
        <f>9.9</f>
        <v>9.9</v>
      </c>
      <c r="J23">
        <f>13</f>
        <v>13</v>
      </c>
      <c r="K23">
        <f>9.5</f>
        <v>9.5</v>
      </c>
      <c r="L23">
        <f>13.8</f>
        <v>13.8</v>
      </c>
      <c r="M23">
        <f>3</f>
        <v>3</v>
      </c>
      <c r="N23">
        <f>1249.2</f>
        <v>1249.2</v>
      </c>
      <c r="O23">
        <f>76.6</f>
        <v>76.599999999999994</v>
      </c>
      <c r="P23">
        <f>100.9</f>
        <v>100.9</v>
      </c>
      <c r="Q23">
        <v>52.83</v>
      </c>
    </row>
    <row r="24" spans="1:17" x14ac:dyDescent="0.35">
      <c r="A24" s="1">
        <v>42735</v>
      </c>
      <c r="B24">
        <f>4.8</f>
        <v>4.8</v>
      </c>
      <c r="C24">
        <f>1.7</f>
        <v>1.7</v>
      </c>
      <c r="D24">
        <f>3.41</f>
        <v>3.41</v>
      </c>
      <c r="E24">
        <f>4.4862</f>
        <v>4.4862000000000002</v>
      </c>
      <c r="F24">
        <f>3.5</f>
        <v>3.5</v>
      </c>
      <c r="G24">
        <f>1641.73</f>
        <v>1641.73</v>
      </c>
      <c r="H24">
        <f>11466.54</f>
        <v>11466.54</v>
      </c>
      <c r="I24">
        <f>2.4</f>
        <v>2.4</v>
      </c>
      <c r="J24">
        <f>2.1</f>
        <v>2.1</v>
      </c>
      <c r="K24">
        <f>2.1</f>
        <v>2.1</v>
      </c>
      <c r="L24">
        <f>19.5</f>
        <v>19.5</v>
      </c>
      <c r="M24">
        <f>3</f>
        <v>3</v>
      </c>
      <c r="N24">
        <f>1147.5</f>
        <v>1147.5</v>
      </c>
      <c r="O24">
        <f>69.8</f>
        <v>69.8</v>
      </c>
      <c r="P24">
        <f>99.5</f>
        <v>99.5</v>
      </c>
      <c r="Q24">
        <v>56.82</v>
      </c>
    </row>
    <row r="25" spans="1:17" x14ac:dyDescent="0.35">
      <c r="A25" s="1">
        <v>42643</v>
      </c>
      <c r="B25">
        <f>4.5</f>
        <v>4.5</v>
      </c>
      <c r="C25">
        <f>1.5</f>
        <v>1.5</v>
      </c>
      <c r="D25">
        <f>3.4</f>
        <v>3.4</v>
      </c>
      <c r="E25">
        <f>4.1357</f>
        <v>4.1356999999999999</v>
      </c>
      <c r="F25">
        <f>3.5</f>
        <v>3.5</v>
      </c>
      <c r="G25">
        <f>1652.55</f>
        <v>1652.55</v>
      </c>
      <c r="H25">
        <f>11687.58</f>
        <v>11687.58</v>
      </c>
      <c r="I25">
        <f>-0.2</f>
        <v>-0.2</v>
      </c>
      <c r="J25">
        <f>-1.4</f>
        <v>-1.4</v>
      </c>
      <c r="K25">
        <f>1.9</f>
        <v>1.9</v>
      </c>
      <c r="L25">
        <f>30.8</f>
        <v>30.8</v>
      </c>
      <c r="M25">
        <f>3</f>
        <v>3</v>
      </c>
      <c r="N25">
        <f>1315.87</f>
        <v>1315.87</v>
      </c>
      <c r="O25">
        <f>73.6</f>
        <v>73.599999999999994</v>
      </c>
      <c r="P25">
        <f>99.3</f>
        <v>99.3</v>
      </c>
      <c r="Q25">
        <v>49.06</v>
      </c>
    </row>
    <row r="26" spans="1:17" x14ac:dyDescent="0.35">
      <c r="A26" s="1">
        <v>42551</v>
      </c>
      <c r="B26">
        <f>4.2</f>
        <v>4.2</v>
      </c>
      <c r="C26">
        <f>1.6</f>
        <v>1.6</v>
      </c>
      <c r="D26">
        <f>3.65</f>
        <v>3.65</v>
      </c>
      <c r="E26">
        <f>4.0315</f>
        <v>4.0315000000000003</v>
      </c>
      <c r="F26">
        <f>3.4</f>
        <v>3.4</v>
      </c>
      <c r="G26">
        <f>1654.08</f>
        <v>1654.08</v>
      </c>
      <c r="H26">
        <f>11530.21</f>
        <v>11530.21</v>
      </c>
      <c r="I26">
        <f>2.1</f>
        <v>2.1</v>
      </c>
      <c r="J26">
        <f>2.8</f>
        <v>2.8</v>
      </c>
      <c r="K26">
        <f>6.1</f>
        <v>6.1</v>
      </c>
      <c r="L26">
        <f>17.4</f>
        <v>17.399999999999999</v>
      </c>
      <c r="M26">
        <f t="shared" ref="M26:M33" si="1">3.3</f>
        <v>3.3</v>
      </c>
      <c r="N26">
        <f>1321.9</f>
        <v>1321.9</v>
      </c>
      <c r="O26">
        <f>78.5</f>
        <v>78.5</v>
      </c>
      <c r="P26">
        <f>99.5</f>
        <v>99.5</v>
      </c>
      <c r="Q26">
        <v>49.68</v>
      </c>
    </row>
    <row r="27" spans="1:17" x14ac:dyDescent="0.35">
      <c r="A27" s="1">
        <v>42460</v>
      </c>
      <c r="B27">
        <f>4.3</f>
        <v>4.3</v>
      </c>
      <c r="C27">
        <f>2.6</f>
        <v>2.6</v>
      </c>
      <c r="D27">
        <f>3.71</f>
        <v>3.71</v>
      </c>
      <c r="E27">
        <f>3.8995</f>
        <v>3.8995000000000002</v>
      </c>
      <c r="F27">
        <f>3.5</f>
        <v>3.5</v>
      </c>
      <c r="G27">
        <f>1717.58</f>
        <v>1717.58</v>
      </c>
      <c r="H27">
        <f>11920.78</f>
        <v>11920.78</v>
      </c>
      <c r="I27">
        <f>1</f>
        <v>1</v>
      </c>
      <c r="J27">
        <f>2.4</f>
        <v>2.4</v>
      </c>
      <c r="K27">
        <f>0.1</f>
        <v>0.1</v>
      </c>
      <c r="L27">
        <f>22.4</f>
        <v>22.4</v>
      </c>
      <c r="M27">
        <f t="shared" si="1"/>
        <v>3.3</v>
      </c>
      <c r="N27">
        <f>1232.75</f>
        <v>1232.75</v>
      </c>
      <c r="O27">
        <f>72.9</f>
        <v>72.900000000000006</v>
      </c>
      <c r="P27">
        <f>99</f>
        <v>99</v>
      </c>
      <c r="Q27">
        <v>39.6</v>
      </c>
    </row>
    <row r="28" spans="1:17" x14ac:dyDescent="0.35">
      <c r="A28" s="1">
        <v>42369</v>
      </c>
      <c r="B28">
        <f>4.7</f>
        <v>4.7</v>
      </c>
      <c r="C28">
        <f>2.7</f>
        <v>2.7</v>
      </c>
      <c r="D28">
        <f>3.84</f>
        <v>3.84</v>
      </c>
      <c r="E28">
        <f>4.2925</f>
        <v>4.2925000000000004</v>
      </c>
      <c r="F28">
        <f>3.4</f>
        <v>3.4</v>
      </c>
      <c r="G28">
        <f>1692.51</f>
        <v>1692.51</v>
      </c>
      <c r="H28">
        <f>11793.65</f>
        <v>11793.65</v>
      </c>
      <c r="I28">
        <f>3.8</f>
        <v>3.8</v>
      </c>
      <c r="J28">
        <f>3.7</f>
        <v>3.7</v>
      </c>
      <c r="K28">
        <f>2.6</f>
        <v>2.6</v>
      </c>
      <c r="L28">
        <f>20.4</f>
        <v>20.399999999999999</v>
      </c>
      <c r="M28">
        <f t="shared" si="1"/>
        <v>3.3</v>
      </c>
      <c r="N28">
        <f>1061.1</f>
        <v>1061.0999999999999</v>
      </c>
      <c r="O28">
        <f>63.8</f>
        <v>63.8</v>
      </c>
      <c r="P28">
        <f>99.8</f>
        <v>99.8</v>
      </c>
      <c r="Q28">
        <v>37.28</v>
      </c>
    </row>
    <row r="29" spans="1:17" x14ac:dyDescent="0.35">
      <c r="A29" s="1">
        <v>42277</v>
      </c>
      <c r="B29">
        <f>4.8</f>
        <v>4.8</v>
      </c>
      <c r="C29">
        <f>2.6</f>
        <v>2.6</v>
      </c>
      <c r="D29">
        <f>3.74</f>
        <v>3.74</v>
      </c>
      <c r="E29">
        <f>4.3955</f>
        <v>4.3955000000000002</v>
      </c>
      <c r="F29">
        <f>3.2</f>
        <v>3.2</v>
      </c>
      <c r="G29">
        <f>1621.04</f>
        <v>1621.04</v>
      </c>
      <c r="H29">
        <f>11201.63</f>
        <v>11201.63</v>
      </c>
      <c r="I29">
        <f>3.2</f>
        <v>3.2</v>
      </c>
      <c r="J29">
        <f>2.9</f>
        <v>2.9</v>
      </c>
      <c r="K29">
        <f>4.1</f>
        <v>4.0999999999999996</v>
      </c>
      <c r="L29">
        <f>26.5</f>
        <v>26.5</v>
      </c>
      <c r="M29">
        <f t="shared" si="1"/>
        <v>3.3</v>
      </c>
      <c r="N29">
        <f>1115.09</f>
        <v>1115.0899999999999</v>
      </c>
      <c r="O29">
        <f>70.2</f>
        <v>70.2</v>
      </c>
      <c r="P29">
        <f>100</f>
        <v>100</v>
      </c>
      <c r="Q29">
        <v>48.37</v>
      </c>
    </row>
    <row r="30" spans="1:17" x14ac:dyDescent="0.35">
      <c r="A30" s="1">
        <v>42185</v>
      </c>
      <c r="B30">
        <f>5</f>
        <v>5</v>
      </c>
      <c r="C30">
        <f>2.5</f>
        <v>2.5</v>
      </c>
      <c r="D30">
        <f>3.69</f>
        <v>3.69</v>
      </c>
      <c r="E30">
        <f>3.773</f>
        <v>3.7730000000000001</v>
      </c>
      <c r="F30">
        <f>3.1</f>
        <v>3.1</v>
      </c>
      <c r="G30">
        <f>1706.64</f>
        <v>1706.64</v>
      </c>
      <c r="H30">
        <f>11771.94</f>
        <v>11771.94</v>
      </c>
      <c r="I30">
        <f>-4.3</f>
        <v>-4.3</v>
      </c>
      <c r="J30">
        <f>-3.3</f>
        <v>-3.3</v>
      </c>
      <c r="K30">
        <f>0.3</f>
        <v>0.3</v>
      </c>
      <c r="L30">
        <f>21.1</f>
        <v>21.1</v>
      </c>
      <c r="M30">
        <f t="shared" si="1"/>
        <v>3.3</v>
      </c>
      <c r="N30">
        <f>1172.35</f>
        <v>1172.3499999999999</v>
      </c>
      <c r="O30">
        <f>71.7</f>
        <v>71.7</v>
      </c>
      <c r="P30">
        <f>99.8</f>
        <v>99.8</v>
      </c>
      <c r="Q30">
        <v>63.59</v>
      </c>
    </row>
    <row r="31" spans="1:17" x14ac:dyDescent="0.35">
      <c r="A31" s="1">
        <v>42094</v>
      </c>
      <c r="B31">
        <f>5.9</f>
        <v>5.9</v>
      </c>
      <c r="C31">
        <f>0.9</f>
        <v>0.9</v>
      </c>
      <c r="D31">
        <f>3.73</f>
        <v>3.73</v>
      </c>
      <c r="E31">
        <f>3.7035</f>
        <v>3.7035</v>
      </c>
      <c r="F31">
        <f>3</f>
        <v>3</v>
      </c>
      <c r="G31">
        <f>1830.78</f>
        <v>1830.78</v>
      </c>
      <c r="H31">
        <f>12563.38</f>
        <v>12563.38</v>
      </c>
      <c r="I31">
        <f>-1.7</f>
        <v>-1.7</v>
      </c>
      <c r="J31">
        <f>-0.2</f>
        <v>-0.2</v>
      </c>
      <c r="K31">
        <f>7.8</f>
        <v>7.8</v>
      </c>
      <c r="L31">
        <f>22.5</f>
        <v>22.5</v>
      </c>
      <c r="M31">
        <f t="shared" si="1"/>
        <v>3.3</v>
      </c>
      <c r="N31">
        <f>1183.57</f>
        <v>1183.57</v>
      </c>
      <c r="O31">
        <f>72.6</f>
        <v>72.599999999999994</v>
      </c>
      <c r="P31">
        <f>101.1</f>
        <v>101.1</v>
      </c>
      <c r="Q31">
        <v>55.11</v>
      </c>
    </row>
    <row r="32" spans="1:17" x14ac:dyDescent="0.35">
      <c r="A32" s="1">
        <v>42004</v>
      </c>
      <c r="B32">
        <f>5.7</f>
        <v>5.7</v>
      </c>
      <c r="C32">
        <f>2.7</f>
        <v>2.7</v>
      </c>
      <c r="D32">
        <f>3.86</f>
        <v>3.86</v>
      </c>
      <c r="E32">
        <f>3.4965</f>
        <v>3.4965000000000002</v>
      </c>
      <c r="F32">
        <f>3</f>
        <v>3</v>
      </c>
      <c r="G32">
        <f>1761.25</f>
        <v>1761.25</v>
      </c>
      <c r="H32">
        <f>12066.28</f>
        <v>12066.28</v>
      </c>
      <c r="I32">
        <f>1.6</f>
        <v>1.6</v>
      </c>
      <c r="J32">
        <f>2.3</f>
        <v>2.2999999999999998</v>
      </c>
      <c r="K32">
        <f>4.3</f>
        <v>4.3</v>
      </c>
      <c r="L32">
        <f>14.7</f>
        <v>14.7</v>
      </c>
      <c r="M32">
        <f t="shared" si="1"/>
        <v>3.3</v>
      </c>
      <c r="N32">
        <f>1184.37</f>
        <v>1184.3699999999999</v>
      </c>
      <c r="O32">
        <f>83</f>
        <v>83</v>
      </c>
      <c r="P32">
        <f>101</f>
        <v>101</v>
      </c>
      <c r="Q32">
        <v>57.33</v>
      </c>
    </row>
    <row r="33" spans="1:17" x14ac:dyDescent="0.35">
      <c r="A33" s="1">
        <v>41912</v>
      </c>
      <c r="B33">
        <f>5.6</f>
        <v>5.6</v>
      </c>
      <c r="C33">
        <f>2.6</f>
        <v>2.6</v>
      </c>
      <c r="D33">
        <f>3.74</f>
        <v>3.74</v>
      </c>
      <c r="E33">
        <f>3.2805</f>
        <v>3.2805</v>
      </c>
      <c r="F33">
        <f>2.7</f>
        <v>2.7</v>
      </c>
      <c r="G33">
        <f>1846.31</f>
        <v>1846.31</v>
      </c>
      <c r="H33">
        <f>12924.67</f>
        <v>12924.67</v>
      </c>
      <c r="I33">
        <f>2.6</f>
        <v>2.6</v>
      </c>
      <c r="J33">
        <f>2.1</f>
        <v>2.1</v>
      </c>
      <c r="K33">
        <f>1.3</f>
        <v>1.3</v>
      </c>
      <c r="L33">
        <f>25.3</f>
        <v>25.3</v>
      </c>
      <c r="M33">
        <f t="shared" si="1"/>
        <v>3.3</v>
      </c>
      <c r="N33">
        <f>1208.15</f>
        <v>1208.1500000000001</v>
      </c>
      <c r="O33">
        <f>98</f>
        <v>98</v>
      </c>
      <c r="P33">
        <f>100.4</f>
        <v>100.4</v>
      </c>
      <c r="Q33">
        <v>94.67</v>
      </c>
    </row>
    <row r="34" spans="1:17" x14ac:dyDescent="0.35">
      <c r="A34" s="1">
        <v>41820</v>
      </c>
      <c r="B34">
        <f>6.5</f>
        <v>6.5</v>
      </c>
      <c r="C34">
        <f>3.3</f>
        <v>3.3</v>
      </c>
      <c r="D34">
        <f>3.55</f>
        <v>3.55</v>
      </c>
      <c r="E34">
        <f>3.211</f>
        <v>3.2109999999999999</v>
      </c>
      <c r="F34">
        <f>2.8</f>
        <v>2.8</v>
      </c>
      <c r="G34">
        <f>1882.71</f>
        <v>1882.71</v>
      </c>
      <c r="H34">
        <f>13049.79</f>
        <v>13049.79</v>
      </c>
      <c r="I34">
        <f>8.6</f>
        <v>8.6</v>
      </c>
      <c r="J34">
        <f>4.4</f>
        <v>4.4000000000000004</v>
      </c>
      <c r="K34">
        <f>6.9</f>
        <v>6.9</v>
      </c>
      <c r="L34">
        <f>17.6</f>
        <v>17.600000000000001</v>
      </c>
      <c r="M34">
        <f>3</f>
        <v>3</v>
      </c>
      <c r="N34">
        <f>1327.33</f>
        <v>1327.33</v>
      </c>
      <c r="O34">
        <f>100.1</f>
        <v>100.1</v>
      </c>
      <c r="P34">
        <f>98.9</f>
        <v>98.9</v>
      </c>
      <c r="Q34">
        <v>112.36</v>
      </c>
    </row>
    <row r="35" spans="1:17" x14ac:dyDescent="0.35">
      <c r="A35" s="1">
        <v>41729</v>
      </c>
      <c r="B35">
        <f>6.3</f>
        <v>6.3</v>
      </c>
      <c r="C35">
        <f>3.5</f>
        <v>3.5</v>
      </c>
      <c r="D35">
        <f>3.33</f>
        <v>3.33</v>
      </c>
      <c r="E35">
        <f>3.2655</f>
        <v>3.2654999999999998</v>
      </c>
      <c r="F35">
        <f>3</f>
        <v>3</v>
      </c>
      <c r="G35">
        <f>1849.21</f>
        <v>1849.21</v>
      </c>
      <c r="H35">
        <f>12797.64</f>
        <v>12797.64</v>
      </c>
      <c r="I35">
        <f>7.8</f>
        <v>7.8</v>
      </c>
      <c r="J35">
        <f>7.5</f>
        <v>7.5</v>
      </c>
      <c r="K35">
        <f>6.7</f>
        <v>6.7</v>
      </c>
      <c r="L35">
        <f>14.8</f>
        <v>14.8</v>
      </c>
      <c r="M35">
        <f>3</f>
        <v>3</v>
      </c>
      <c r="N35">
        <f>1284.01</f>
        <v>1284.01</v>
      </c>
      <c r="O35">
        <f>96.8</f>
        <v>96.8</v>
      </c>
      <c r="P35">
        <f>98.2</f>
        <v>98.2</v>
      </c>
      <c r="Q35">
        <v>107.76</v>
      </c>
    </row>
    <row r="36" spans="1:17" x14ac:dyDescent="0.35">
      <c r="A36" s="1">
        <v>41639</v>
      </c>
      <c r="B36">
        <f>5</f>
        <v>5</v>
      </c>
      <c r="C36">
        <f>3.2</f>
        <v>3.2</v>
      </c>
      <c r="D36">
        <f>3.32</f>
        <v>3.32</v>
      </c>
      <c r="E36">
        <f>3.2755</f>
        <v>3.2755000000000001</v>
      </c>
      <c r="F36">
        <f>3</f>
        <v>3</v>
      </c>
      <c r="G36">
        <f>1866.96</f>
        <v>1866.96</v>
      </c>
      <c r="H36">
        <f>12853.63</f>
        <v>12853.63</v>
      </c>
      <c r="I36">
        <f>5.1</f>
        <v>5.0999999999999996</v>
      </c>
      <c r="J36">
        <f>6.9</f>
        <v>6.9</v>
      </c>
      <c r="K36">
        <f>6.1</f>
        <v>6.1</v>
      </c>
      <c r="L36">
        <f>13.6</f>
        <v>13.6</v>
      </c>
      <c r="M36">
        <f>3</f>
        <v>3</v>
      </c>
      <c r="N36">
        <f>1201.64</f>
        <v>1201.6400000000001</v>
      </c>
      <c r="O36">
        <f>82.4</f>
        <v>82.4</v>
      </c>
      <c r="P36">
        <f>97.8</f>
        <v>97.8</v>
      </c>
      <c r="Q36">
        <v>110.8</v>
      </c>
    </row>
    <row r="37" spans="1:17" x14ac:dyDescent="0.35">
      <c r="A37" s="1">
        <v>41547</v>
      </c>
      <c r="B37">
        <f>4.9</f>
        <v>4.9000000000000004</v>
      </c>
      <c r="C37">
        <f>2.6</f>
        <v>2.6</v>
      </c>
      <c r="D37">
        <f>3.21</f>
        <v>3.21</v>
      </c>
      <c r="E37">
        <f>3.2595</f>
        <v>3.2595000000000001</v>
      </c>
      <c r="F37">
        <f>3.1</f>
        <v>3.1</v>
      </c>
      <c r="G37">
        <f>1768.62</f>
        <v>1768.62</v>
      </c>
      <c r="H37">
        <f>12289.65</f>
        <v>12289.65</v>
      </c>
      <c r="I37">
        <f>4.2</f>
        <v>4.2</v>
      </c>
      <c r="J37">
        <f>3.8</f>
        <v>3.8</v>
      </c>
      <c r="K37">
        <f>8.8</f>
        <v>8.8000000000000007</v>
      </c>
      <c r="L37">
        <f>17.4</f>
        <v>17.399999999999999</v>
      </c>
      <c r="M37">
        <f>3</f>
        <v>3</v>
      </c>
      <c r="N37">
        <f>1329.03</f>
        <v>1329.03</v>
      </c>
      <c r="O37">
        <f>102</f>
        <v>102</v>
      </c>
      <c r="P37">
        <f>98.8</f>
        <v>98.8</v>
      </c>
      <c r="Q37">
        <v>108.37</v>
      </c>
    </row>
    <row r="38" spans="1:17" x14ac:dyDescent="0.35">
      <c r="A38" s="1">
        <v>41455</v>
      </c>
      <c r="B38">
        <f>4.6</f>
        <v>4.5999999999999996</v>
      </c>
      <c r="C38">
        <f>1.8</f>
        <v>1.8</v>
      </c>
      <c r="D38">
        <f>3.2</f>
        <v>3.2</v>
      </c>
      <c r="E38">
        <f>3.1605</f>
        <v>3.1604999999999999</v>
      </c>
      <c r="F38">
        <f>2.8</f>
        <v>2.8</v>
      </c>
      <c r="G38">
        <f>1773.54</f>
        <v>1773.54</v>
      </c>
      <c r="H38">
        <f>12304.91</f>
        <v>12304.91</v>
      </c>
      <c r="I38">
        <f>-4.6</f>
        <v>-4.5999999999999996</v>
      </c>
      <c r="J38">
        <f>-1.4</f>
        <v>-1.4</v>
      </c>
      <c r="K38">
        <f>5.8</f>
        <v>5.8</v>
      </c>
      <c r="L38">
        <f>18.7</f>
        <v>18.7</v>
      </c>
      <c r="M38">
        <f>3</f>
        <v>3</v>
      </c>
      <c r="N38">
        <f>1234.53</f>
        <v>1234.53</v>
      </c>
      <c r="O38">
        <f>109.7</f>
        <v>109.7</v>
      </c>
      <c r="P38">
        <f>97.9</f>
        <v>97.9</v>
      </c>
      <c r="Q38">
        <v>102.16</v>
      </c>
    </row>
    <row r="39" spans="1:17" x14ac:dyDescent="0.35">
      <c r="A39" s="1">
        <v>41364</v>
      </c>
      <c r="B39">
        <f>4.3</f>
        <v>4.3</v>
      </c>
      <c r="C39">
        <f>1.6</f>
        <v>1.6</v>
      </c>
      <c r="D39">
        <f>3.21</f>
        <v>3.21</v>
      </c>
      <c r="E39">
        <f>3.0938</f>
        <v>3.0937999999999999</v>
      </c>
      <c r="F39">
        <f>3.3</f>
        <v>3.3</v>
      </c>
      <c r="G39">
        <f>1671.63</f>
        <v>1671.63</v>
      </c>
      <c r="H39">
        <f>11420.49</f>
        <v>11420.49</v>
      </c>
      <c r="I39">
        <f>-3.5</f>
        <v>-3.5</v>
      </c>
      <c r="J39">
        <f>-2.4</f>
        <v>-2.4</v>
      </c>
      <c r="K39">
        <f>12.5</f>
        <v>12.5</v>
      </c>
      <c r="L39">
        <f>19.8</f>
        <v>19.8</v>
      </c>
      <c r="M39">
        <f>3</f>
        <v>3</v>
      </c>
      <c r="N39">
        <f>1597.5</f>
        <v>1597.5</v>
      </c>
      <c r="O39">
        <f>122.9</f>
        <v>122.9</v>
      </c>
      <c r="P39">
        <f>98</f>
        <v>98</v>
      </c>
      <c r="Q39">
        <v>110.02</v>
      </c>
    </row>
    <row r="40" spans="1:17" x14ac:dyDescent="0.35">
      <c r="A40" s="1">
        <v>41274</v>
      </c>
      <c r="B40">
        <f>6.5</f>
        <v>6.5</v>
      </c>
      <c r="C40">
        <f>1.2</f>
        <v>1.2</v>
      </c>
      <c r="D40">
        <f>3.21</f>
        <v>3.21</v>
      </c>
      <c r="E40">
        <f>3.0585</f>
        <v>3.0585</v>
      </c>
      <c r="F40">
        <f>3.3</f>
        <v>3.3</v>
      </c>
      <c r="G40">
        <f>1688.95</f>
        <v>1688.95</v>
      </c>
      <c r="H40">
        <f>11438.14</f>
        <v>11438.14</v>
      </c>
      <c r="I40">
        <f>-4</f>
        <v>-4</v>
      </c>
      <c r="J40">
        <f>-3.3</f>
        <v>-3.3</v>
      </c>
      <c r="K40">
        <f>15.5</f>
        <v>15.5</v>
      </c>
      <c r="L40">
        <f>15</f>
        <v>15</v>
      </c>
      <c r="M40">
        <f>3</f>
        <v>3</v>
      </c>
      <c r="N40">
        <f>1675.35</f>
        <v>1675.35</v>
      </c>
      <c r="O40">
        <f>118.7</f>
        <v>118.7</v>
      </c>
      <c r="P40">
        <f>95.5</f>
        <v>95.5</v>
      </c>
      <c r="Q40">
        <v>111.11</v>
      </c>
    </row>
    <row r="41" spans="1:17" x14ac:dyDescent="0.35">
      <c r="A41" s="1">
        <v>41182</v>
      </c>
      <c r="B41">
        <f>5</f>
        <v>5</v>
      </c>
      <c r="C41">
        <f>1.3</f>
        <v>1.3</v>
      </c>
      <c r="D41">
        <f>3.2</f>
        <v>3.2</v>
      </c>
      <c r="E41">
        <f>3.0585</f>
        <v>3.0585</v>
      </c>
      <c r="F41">
        <f>3.2</f>
        <v>3.2</v>
      </c>
      <c r="G41">
        <f>1636.66</f>
        <v>1636.66</v>
      </c>
      <c r="H41">
        <f>11106.56</f>
        <v>11106.56</v>
      </c>
      <c r="I41">
        <f>-4.7</f>
        <v>-4.7</v>
      </c>
      <c r="J41">
        <f>1.9</f>
        <v>1.9</v>
      </c>
      <c r="K41">
        <f>21.4</f>
        <v>21.4</v>
      </c>
      <c r="L41">
        <f>20.6</f>
        <v>20.6</v>
      </c>
      <c r="M41">
        <f>3</f>
        <v>3</v>
      </c>
      <c r="N41">
        <f>1772.25</f>
        <v>1772.25</v>
      </c>
      <c r="O41">
        <f>118.3</f>
        <v>118.3</v>
      </c>
      <c r="P41">
        <f>94.7</f>
        <v>94.7</v>
      </c>
      <c r="Q41">
        <v>112.39</v>
      </c>
    </row>
    <row r="42" spans="1:17" x14ac:dyDescent="0.35">
      <c r="A42" s="1">
        <v>41090</v>
      </c>
      <c r="B42">
        <f>5.2</f>
        <v>5.2</v>
      </c>
      <c r="C42">
        <f>1.6</f>
        <v>1.6</v>
      </c>
      <c r="D42">
        <f>3.19</f>
        <v>3.19</v>
      </c>
      <c r="E42">
        <f>3.179</f>
        <v>3.1789999999999998</v>
      </c>
      <c r="F42">
        <f>3</f>
        <v>3</v>
      </c>
      <c r="G42">
        <f>1599.15</f>
        <v>1599.15</v>
      </c>
      <c r="H42">
        <f>10917.64</f>
        <v>10917.64</v>
      </c>
      <c r="I42">
        <f>0.5</f>
        <v>0.5</v>
      </c>
      <c r="J42">
        <f>7.9</f>
        <v>7.9</v>
      </c>
      <c r="K42">
        <f>25.2</f>
        <v>25.2</v>
      </c>
      <c r="L42">
        <f>22.1</f>
        <v>22.1</v>
      </c>
      <c r="M42">
        <f>3</f>
        <v>3</v>
      </c>
      <c r="N42">
        <f>1597.45</f>
        <v>1597.45</v>
      </c>
      <c r="O42">
        <f>114.9</f>
        <v>114.9</v>
      </c>
      <c r="P42">
        <f>95.6</f>
        <v>95.6</v>
      </c>
      <c r="Q42">
        <v>97.8</v>
      </c>
    </row>
    <row r="43" spans="1:17" x14ac:dyDescent="0.35">
      <c r="A43" s="1">
        <v>40999</v>
      </c>
      <c r="B43">
        <f>5.1</f>
        <v>5.0999999999999996</v>
      </c>
      <c r="C43">
        <f>2.1</f>
        <v>2.1</v>
      </c>
      <c r="D43">
        <f>3.19</f>
        <v>3.19</v>
      </c>
      <c r="E43">
        <f>3.0635</f>
        <v>3.0634999999999999</v>
      </c>
      <c r="F43">
        <f>2.9</f>
        <v>2.9</v>
      </c>
      <c r="G43">
        <f>1596.33</f>
        <v>1596.33</v>
      </c>
      <c r="H43">
        <f>10939.63</f>
        <v>10939.63</v>
      </c>
      <c r="I43">
        <f>1.4</f>
        <v>1.4</v>
      </c>
      <c r="J43">
        <f>5.8</f>
        <v>5.8</v>
      </c>
      <c r="K43">
        <f>13.6</f>
        <v>13.6</v>
      </c>
      <c r="L43">
        <f>13.6</f>
        <v>13.6</v>
      </c>
      <c r="M43">
        <f>3</f>
        <v>3</v>
      </c>
      <c r="N43">
        <f>1668.15</f>
        <v>1668.15</v>
      </c>
      <c r="O43">
        <f>114.3</f>
        <v>114.3</v>
      </c>
      <c r="P43">
        <f>95.2</f>
        <v>95.2</v>
      </c>
      <c r="Q43">
        <v>122.88</v>
      </c>
    </row>
    <row r="44" spans="1:17" x14ac:dyDescent="0.35">
      <c r="A44" s="1">
        <v>40908</v>
      </c>
      <c r="B44">
        <f>5.5</f>
        <v>5.5</v>
      </c>
      <c r="C44">
        <f>3</f>
        <v>3</v>
      </c>
      <c r="D44">
        <f>3.22</f>
        <v>3.22</v>
      </c>
      <c r="E44">
        <f>3.1682</f>
        <v>3.1682000000000001</v>
      </c>
      <c r="F44">
        <f>3.1</f>
        <v>3.1</v>
      </c>
      <c r="G44">
        <f>1530.73</f>
        <v>1530.73</v>
      </c>
      <c r="H44">
        <f>10489.07</f>
        <v>10489.07</v>
      </c>
      <c r="I44">
        <f>5.6</f>
        <v>5.6</v>
      </c>
      <c r="J44">
        <f>7.4</f>
        <v>7.4</v>
      </c>
      <c r="K44">
        <f>6.4</f>
        <v>6.4</v>
      </c>
      <c r="L44">
        <f>13</f>
        <v>13</v>
      </c>
      <c r="M44">
        <f>3</f>
        <v>3</v>
      </c>
      <c r="N44">
        <f>1564.91</f>
        <v>1564.91</v>
      </c>
      <c r="O44">
        <f>106.3</f>
        <v>106.3</v>
      </c>
      <c r="P44">
        <f>94</f>
        <v>94</v>
      </c>
      <c r="Q44">
        <v>107.38</v>
      </c>
    </row>
    <row r="45" spans="1:17" x14ac:dyDescent="0.35">
      <c r="A45" s="1">
        <v>40816</v>
      </c>
      <c r="B45">
        <f>6</f>
        <v>6</v>
      </c>
      <c r="C45">
        <f>3.4</f>
        <v>3.4</v>
      </c>
      <c r="D45">
        <f>3.26</f>
        <v>3.26</v>
      </c>
      <c r="E45">
        <f>3.189</f>
        <v>3.1890000000000001</v>
      </c>
      <c r="F45">
        <f>3.3</f>
        <v>3.3</v>
      </c>
      <c r="G45">
        <f>1387.13</f>
        <v>1387.13</v>
      </c>
      <c r="H45">
        <f>9397.57</f>
        <v>9397.57</v>
      </c>
      <c r="I45">
        <f>4.3</f>
        <v>4.3</v>
      </c>
      <c r="J45">
        <f>3.9</f>
        <v>3.9</v>
      </c>
      <c r="K45">
        <f>5.7</f>
        <v>5.7</v>
      </c>
      <c r="L45">
        <f>20.3</f>
        <v>20.3</v>
      </c>
      <c r="M45">
        <f>3</f>
        <v>3</v>
      </c>
      <c r="N45">
        <f>1623.79</f>
        <v>1623.79</v>
      </c>
      <c r="O45">
        <f>108.7</f>
        <v>108.7</v>
      </c>
      <c r="P45">
        <f>93.5</f>
        <v>93.5</v>
      </c>
      <c r="Q45">
        <v>102.76</v>
      </c>
    </row>
    <row r="46" spans="1:17" x14ac:dyDescent="0.35">
      <c r="A46" s="1">
        <v>40724</v>
      </c>
      <c r="B46">
        <f>4.6</f>
        <v>4.5999999999999996</v>
      </c>
      <c r="C46">
        <f>3.5</f>
        <v>3.5</v>
      </c>
      <c r="D46">
        <f>3.29</f>
        <v>3.29</v>
      </c>
      <c r="E46">
        <f>3.0195</f>
        <v>3.0194999999999999</v>
      </c>
      <c r="F46">
        <f>3.2</f>
        <v>3.2</v>
      </c>
      <c r="G46">
        <f>1579.07</f>
        <v>1579.07</v>
      </c>
      <c r="H46">
        <f>10842.25</f>
        <v>10842.25</v>
      </c>
      <c r="I46">
        <f>5.3</f>
        <v>5.3</v>
      </c>
      <c r="J46">
        <f>4.3</f>
        <v>4.3</v>
      </c>
      <c r="K46">
        <f>3</f>
        <v>3</v>
      </c>
      <c r="L46">
        <f>15.7</f>
        <v>15.7</v>
      </c>
      <c r="M46">
        <f>3</f>
        <v>3</v>
      </c>
      <c r="N46">
        <f>1500.18</f>
        <v>1500.18</v>
      </c>
      <c r="O46">
        <f>107.9</f>
        <v>107.9</v>
      </c>
      <c r="P46">
        <f>93.3</f>
        <v>93.3</v>
      </c>
      <c r="Q46">
        <v>112.48</v>
      </c>
    </row>
    <row r="47" spans="1:17" x14ac:dyDescent="0.35">
      <c r="A47" s="1">
        <v>40633</v>
      </c>
      <c r="B47">
        <f>5</f>
        <v>5</v>
      </c>
      <c r="C47">
        <f>3</f>
        <v>3</v>
      </c>
      <c r="D47">
        <f>3.04</f>
        <v>3.04</v>
      </c>
      <c r="E47">
        <f>3.0255</f>
        <v>3.0255000000000001</v>
      </c>
      <c r="F47">
        <f>3</f>
        <v>3</v>
      </c>
      <c r="G47">
        <f>1545.13</f>
        <v>1545.13</v>
      </c>
      <c r="H47">
        <f>10612.46</f>
        <v>10612.46</v>
      </c>
      <c r="I47">
        <f>1.5</f>
        <v>1.5</v>
      </c>
      <c r="J47">
        <f>10</f>
        <v>10</v>
      </c>
      <c r="K47">
        <f>10.9</f>
        <v>10.9</v>
      </c>
      <c r="L47">
        <f>12.5</f>
        <v>12.5</v>
      </c>
      <c r="M47">
        <f>2.8</f>
        <v>2.8</v>
      </c>
      <c r="N47">
        <f>1432.2</f>
        <v>1432.2</v>
      </c>
      <c r="O47">
        <f>108.2</f>
        <v>108.2</v>
      </c>
      <c r="P47">
        <f>93</f>
        <v>93</v>
      </c>
      <c r="Q47">
        <v>117.36</v>
      </c>
    </row>
    <row r="48" spans="1:17" x14ac:dyDescent="0.35">
      <c r="A48" s="1">
        <v>40543</v>
      </c>
      <c r="B48">
        <f>5</f>
        <v>5</v>
      </c>
      <c r="C48">
        <f>2.2</f>
        <v>2.2000000000000002</v>
      </c>
      <c r="D48">
        <f>2.98</f>
        <v>2.98</v>
      </c>
      <c r="E48">
        <f>3.0835</f>
        <v>3.0834999999999999</v>
      </c>
      <c r="F48">
        <f>3.1</f>
        <v>3.1</v>
      </c>
      <c r="G48">
        <f>1518.91</f>
        <v>1518.91</v>
      </c>
      <c r="H48">
        <f>10374.98</f>
        <v>10374.98</v>
      </c>
      <c r="I48">
        <v>2.4</v>
      </c>
      <c r="J48">
        <v>4.3</v>
      </c>
      <c r="K48">
        <v>13</v>
      </c>
      <c r="L48">
        <f>9</f>
        <v>9</v>
      </c>
      <c r="M48">
        <f>2.8</f>
        <v>2.8</v>
      </c>
      <c r="N48">
        <f>1421.4</f>
        <v>1421.4</v>
      </c>
      <c r="O48">
        <f>117.2</f>
        <v>117.2</v>
      </c>
      <c r="P48">
        <f>94.1</f>
        <v>94.1</v>
      </c>
      <c r="Q48">
        <v>94.75</v>
      </c>
    </row>
    <row r="49" spans="1:17" x14ac:dyDescent="0.35">
      <c r="A49" s="1">
        <v>40451</v>
      </c>
      <c r="B49">
        <f>5.5</f>
        <v>5.5</v>
      </c>
      <c r="C49">
        <f>1.8</f>
        <v>1.8</v>
      </c>
      <c r="D49">
        <f>2.93</f>
        <v>2.93</v>
      </c>
      <c r="E49">
        <f>3.0873</f>
        <v>3.0872999999999999</v>
      </c>
      <c r="F49">
        <f>3</f>
        <v>3</v>
      </c>
      <c r="G49">
        <f>1463.5</f>
        <v>1463.5</v>
      </c>
      <c r="H49">
        <f>9811.64</f>
        <v>9811.64</v>
      </c>
      <c r="I49">
        <v>7.9</v>
      </c>
      <c r="J49">
        <v>11.7</v>
      </c>
      <c r="K49">
        <v>13.2</v>
      </c>
      <c r="L49">
        <f>12.1</f>
        <v>12.1</v>
      </c>
      <c r="M49">
        <f>2.8</f>
        <v>2.8</v>
      </c>
      <c r="N49">
        <f>1308.54</f>
        <v>1308.54</v>
      </c>
      <c r="O49">
        <f>115.8</f>
        <v>115.8</v>
      </c>
      <c r="P49">
        <f>92.5</f>
        <v>92.5</v>
      </c>
      <c r="Q49">
        <v>82.31</v>
      </c>
    </row>
    <row r="50" spans="1:17" x14ac:dyDescent="0.35">
      <c r="A50" s="1">
        <v>40359</v>
      </c>
      <c r="B50">
        <f>9.4</f>
        <v>9.4</v>
      </c>
      <c r="C50">
        <f>1.7</f>
        <v>1.7</v>
      </c>
      <c r="D50">
        <f>2.72</f>
        <v>2.72</v>
      </c>
      <c r="E50">
        <f>3.2365</f>
        <v>3.2364999999999999</v>
      </c>
      <c r="F50">
        <f>3.6</f>
        <v>3.6</v>
      </c>
      <c r="G50">
        <f>1314.02</f>
        <v>1314.02</v>
      </c>
      <c r="H50">
        <f>8863.39</f>
        <v>8863.39</v>
      </c>
      <c r="I50">
        <v>15.5</v>
      </c>
      <c r="J50">
        <v>23.1</v>
      </c>
      <c r="K50">
        <v>13.5</v>
      </c>
      <c r="L50">
        <f>11.9</f>
        <v>11.9</v>
      </c>
      <c r="M50">
        <f>2.5</f>
        <v>2.5</v>
      </c>
      <c r="N50">
        <f>1242.38</f>
        <v>1242.3800000000001</v>
      </c>
      <c r="O50">
        <f>110.4</f>
        <v>110.4</v>
      </c>
      <c r="P50">
        <f>91.6</f>
        <v>91.6</v>
      </c>
      <c r="Q50">
        <v>75.010000000000005</v>
      </c>
    </row>
    <row r="51" spans="1:17" x14ac:dyDescent="0.35">
      <c r="A51" s="1">
        <v>40268</v>
      </c>
      <c r="B51">
        <f>10.3</f>
        <v>10.3</v>
      </c>
      <c r="C51">
        <f>1.3</f>
        <v>1.3</v>
      </c>
      <c r="D51">
        <f>2.52</f>
        <v>2.52</v>
      </c>
      <c r="E51">
        <f>3.2638</f>
        <v>3.2637999999999998</v>
      </c>
      <c r="F51">
        <f>3.5</f>
        <v>3.5</v>
      </c>
      <c r="G51">
        <f>1320.57</f>
        <v>1320.57</v>
      </c>
      <c r="H51">
        <f>8957.24</f>
        <v>8957.24</v>
      </c>
      <c r="I51">
        <v>21</v>
      </c>
      <c r="J51">
        <v>28.2</v>
      </c>
      <c r="K51">
        <v>7.4</v>
      </c>
      <c r="L51">
        <f>9.7</f>
        <v>9.6999999999999993</v>
      </c>
      <c r="M51">
        <f>2.3</f>
        <v>2.2999999999999998</v>
      </c>
      <c r="N51">
        <f>1113.25</f>
        <v>1113.25</v>
      </c>
      <c r="O51">
        <f>114.2</f>
        <v>114.2</v>
      </c>
      <c r="P51">
        <f>92.5</f>
        <v>92.5</v>
      </c>
      <c r="Q51">
        <v>82.7</v>
      </c>
    </row>
    <row r="53" spans="1:17" x14ac:dyDescent="0.35">
      <c r="A53" s="3"/>
      <c r="B53" s="3" t="s">
        <v>62</v>
      </c>
      <c r="C53" s="3" t="s">
        <v>63</v>
      </c>
      <c r="D53" s="3" t="s">
        <v>64</v>
      </c>
    </row>
    <row r="54" spans="1:17" x14ac:dyDescent="0.35">
      <c r="A54" s="3" t="s">
        <v>34</v>
      </c>
      <c r="B54" s="3" t="s">
        <v>65</v>
      </c>
      <c r="C54" s="3" t="s">
        <v>66</v>
      </c>
      <c r="D54" s="3" t="s">
        <v>67</v>
      </c>
    </row>
    <row r="55" spans="1:17" x14ac:dyDescent="0.35">
      <c r="A55" s="3" t="s">
        <v>123</v>
      </c>
      <c r="B55" s="6">
        <v>5.5250977096589216</v>
      </c>
      <c r="C55" s="6">
        <v>9.9214846538187018</v>
      </c>
      <c r="D55" s="6">
        <v>10.741031684006996</v>
      </c>
    </row>
    <row r="56" spans="1:17" x14ac:dyDescent="0.35">
      <c r="A56" s="3" t="s">
        <v>124</v>
      </c>
      <c r="B56" s="6">
        <v>8.2365178860909882</v>
      </c>
      <c r="C56" s="6">
        <v>10.461357625624457</v>
      </c>
      <c r="D56" s="6">
        <v>10.588993247436518</v>
      </c>
    </row>
    <row r="57" spans="1:17" x14ac:dyDescent="0.35">
      <c r="A57" s="3" t="s">
        <v>125</v>
      </c>
      <c r="B57" s="6">
        <v>7.0214440045460735</v>
      </c>
      <c r="C57" s="6">
        <v>-7.1475343776759122</v>
      </c>
      <c r="D57" s="6">
        <v>4.2203419140863119</v>
      </c>
    </row>
    <row r="58" spans="1:17" x14ac:dyDescent="0.35">
      <c r="A58" s="3" t="s">
        <v>119</v>
      </c>
      <c r="B58" s="6">
        <v>6.6833104481338168</v>
      </c>
      <c r="C58" s="6">
        <v>3.0989543870283409</v>
      </c>
      <c r="D58" s="6">
        <v>3.7325177491846828</v>
      </c>
    </row>
    <row r="59" spans="1:17" x14ac:dyDescent="0.35">
      <c r="A59" s="3" t="s">
        <v>68</v>
      </c>
      <c r="B59">
        <v>6.7201266156686978</v>
      </c>
      <c r="C59">
        <v>8.9494343107827223</v>
      </c>
      <c r="D59">
        <v>1.9614044022763455</v>
      </c>
    </row>
    <row r="60" spans="1:17" x14ac:dyDescent="0.35">
      <c r="A60" s="3" t="s">
        <v>69</v>
      </c>
      <c r="B60">
        <v>6.2240101718585628</v>
      </c>
      <c r="C60">
        <v>4.0509843513377053</v>
      </c>
      <c r="D60">
        <v>0.21321521715123026</v>
      </c>
    </row>
    <row r="61" spans="1:17" x14ac:dyDescent="0.35">
      <c r="A61" s="3" t="s">
        <v>70</v>
      </c>
      <c r="B61">
        <v>7.291910445432559</v>
      </c>
      <c r="C61">
        <v>19.163361903543553</v>
      </c>
      <c r="D61">
        <v>4.0114804955203143</v>
      </c>
    </row>
    <row r="62" spans="1:17" x14ac:dyDescent="0.35">
      <c r="A62" s="3" t="s">
        <v>35</v>
      </c>
      <c r="B62">
        <v>7.1719281728402251</v>
      </c>
      <c r="C62">
        <v>21.00789137750958</v>
      </c>
      <c r="D62">
        <v>3.3645805608782275</v>
      </c>
    </row>
    <row r="63" spans="1:17" x14ac:dyDescent="0.35">
      <c r="A63" s="3" t="s">
        <v>71</v>
      </c>
      <c r="B63">
        <v>8.0884679269160884</v>
      </c>
      <c r="C63">
        <v>10.490399694824726</v>
      </c>
      <c r="D63">
        <v>4.8172348907659757</v>
      </c>
    </row>
    <row r="64" spans="1:17" x14ac:dyDescent="0.35">
      <c r="A64" s="3" t="s">
        <v>72</v>
      </c>
      <c r="B64">
        <v>9.3315542124937423</v>
      </c>
      <c r="C64">
        <v>11.190620578128163</v>
      </c>
      <c r="D64">
        <v>3.7566060289698333</v>
      </c>
    </row>
    <row r="65" spans="1:4" x14ac:dyDescent="0.35">
      <c r="A65" s="3" t="s">
        <v>73</v>
      </c>
      <c r="B65">
        <v>9.2365718440425404</v>
      </c>
      <c r="C65">
        <v>3.041689032027195</v>
      </c>
      <c r="D65">
        <v>1.6557614996659309</v>
      </c>
    </row>
    <row r="66" spans="1:4" x14ac:dyDescent="0.35">
      <c r="A66" s="3" t="s">
        <v>36</v>
      </c>
      <c r="B66">
        <v>6.7651903367496269</v>
      </c>
      <c r="C66">
        <v>0.75523268359347639</v>
      </c>
      <c r="D66">
        <v>6.5515411565639114</v>
      </c>
    </row>
    <row r="67" spans="1:4" x14ac:dyDescent="0.35">
      <c r="A67" s="3" t="s">
        <v>74</v>
      </c>
      <c r="B67">
        <v>6.4084152755545354</v>
      </c>
      <c r="C67">
        <v>0.17646156206843067</v>
      </c>
      <c r="D67">
        <v>4.049777670815935E-2</v>
      </c>
    </row>
    <row r="68" spans="1:4" x14ac:dyDescent="0.35">
      <c r="A68" s="3" t="s">
        <v>75</v>
      </c>
      <c r="B68">
        <v>6.8829980077893538</v>
      </c>
      <c r="C68">
        <v>10.827909682580072</v>
      </c>
      <c r="D68">
        <v>5.2840613801768299</v>
      </c>
    </row>
    <row r="69" spans="1:4" x14ac:dyDescent="0.35">
      <c r="A69" s="3" t="s">
        <v>76</v>
      </c>
      <c r="B69">
        <v>8.0270897639629588</v>
      </c>
      <c r="C69">
        <v>6.6400416739017087</v>
      </c>
      <c r="D69">
        <v>5.4815808005471478</v>
      </c>
    </row>
    <row r="70" spans="1:4" x14ac:dyDescent="0.35">
      <c r="A70" s="3" t="s">
        <v>37</v>
      </c>
      <c r="B70">
        <v>7.5844454158202845</v>
      </c>
      <c r="C70">
        <v>5.4397487150199986</v>
      </c>
      <c r="D70">
        <v>2.9495024696621908</v>
      </c>
    </row>
    <row r="71" spans="1:4" x14ac:dyDescent="0.35">
      <c r="A71" s="3" t="s">
        <v>77</v>
      </c>
      <c r="B71">
        <v>6.9474172834412151</v>
      </c>
      <c r="C71">
        <v>11.951443670062044</v>
      </c>
      <c r="D71">
        <v>4.7175979985097261</v>
      </c>
    </row>
    <row r="72" spans="1:4" x14ac:dyDescent="0.35">
      <c r="A72" s="3" t="s">
        <v>78</v>
      </c>
      <c r="B72">
        <v>6.5169935518538447</v>
      </c>
      <c r="C72">
        <v>-0.14107148715593043</v>
      </c>
      <c r="D72">
        <v>5.8995429371448083</v>
      </c>
    </row>
    <row r="73" spans="1:4" x14ac:dyDescent="0.35">
      <c r="A73" s="3" t="s">
        <v>79</v>
      </c>
      <c r="B73">
        <v>6.8006253802727956</v>
      </c>
      <c r="C73">
        <v>5.0998143745725644</v>
      </c>
      <c r="D73">
        <v>4.2131817743692013</v>
      </c>
    </row>
    <row r="74" spans="1:4" x14ac:dyDescent="0.35">
      <c r="A74" s="3" t="s">
        <v>38</v>
      </c>
      <c r="B74">
        <v>7.6209748091967899</v>
      </c>
      <c r="C74">
        <v>2.4734822839088233</v>
      </c>
      <c r="D74">
        <v>5.8758787017487935</v>
      </c>
    </row>
    <row r="75" spans="1:4" x14ac:dyDescent="0.35">
      <c r="A75" s="3" t="s">
        <v>80</v>
      </c>
      <c r="B75">
        <v>8.884923601231387</v>
      </c>
      <c r="C75">
        <v>4.3680519924747641</v>
      </c>
      <c r="D75">
        <v>6.8795794753786943</v>
      </c>
    </row>
    <row r="76" spans="1:4" x14ac:dyDescent="0.35">
      <c r="A76" s="3" t="s">
        <v>81</v>
      </c>
      <c r="B76">
        <v>6.4477480175933577</v>
      </c>
      <c r="C76">
        <v>7.0898219331099188</v>
      </c>
      <c r="D76">
        <v>4.3581326937337517</v>
      </c>
    </row>
    <row r="77" spans="1:4" x14ac:dyDescent="0.35">
      <c r="A77" s="3" t="s">
        <v>82</v>
      </c>
      <c r="B77">
        <v>4.1472261684130096</v>
      </c>
      <c r="C77">
        <v>3.7244755678121022</v>
      </c>
      <c r="D77">
        <v>4.6055917167041605</v>
      </c>
    </row>
    <row r="78" spans="1:4" x14ac:dyDescent="0.35">
      <c r="A78" s="3" t="s">
        <v>39</v>
      </c>
      <c r="B78">
        <v>4.8931067156224195</v>
      </c>
      <c r="C78">
        <v>3.4973351539444142</v>
      </c>
      <c r="D78">
        <v>3.1428169767552916</v>
      </c>
    </row>
    <row r="79" spans="1:4" x14ac:dyDescent="0.35">
      <c r="A79" s="3" t="s">
        <v>83</v>
      </c>
      <c r="B79">
        <v>5.0665948936730931</v>
      </c>
      <c r="C79">
        <v>2.7713007558684666</v>
      </c>
      <c r="D79">
        <v>3.3121088546617106</v>
      </c>
    </row>
    <row r="80" spans="1:4" x14ac:dyDescent="0.35">
      <c r="A80" s="3" t="s">
        <v>84</v>
      </c>
      <c r="B80">
        <v>6.1383580908601187</v>
      </c>
      <c r="C80">
        <v>5.5741513379082619</v>
      </c>
      <c r="D80">
        <v>3.6977502729275802</v>
      </c>
    </row>
    <row r="81" spans="1:4" x14ac:dyDescent="0.35">
      <c r="A81" s="3" t="s">
        <v>85</v>
      </c>
      <c r="B81">
        <v>6.1587247849444804</v>
      </c>
      <c r="C81">
        <v>2.250184983389425</v>
      </c>
      <c r="D81">
        <v>3.9396705669127341</v>
      </c>
    </row>
    <row r="82" spans="1:4" x14ac:dyDescent="0.35">
      <c r="A82" s="3" t="s">
        <v>40</v>
      </c>
      <c r="B82">
        <v>6.0155216987227256</v>
      </c>
      <c r="C82">
        <v>-4.0579836463746854</v>
      </c>
      <c r="D82">
        <v>5.4607497440730679</v>
      </c>
    </row>
    <row r="83" spans="1:4" x14ac:dyDescent="0.35">
      <c r="A83" s="3" t="s">
        <v>86</v>
      </c>
      <c r="B83">
        <v>6.5918662693093655</v>
      </c>
      <c r="C83">
        <v>7.7499194441885244</v>
      </c>
      <c r="D83">
        <v>4.4853932880683178</v>
      </c>
    </row>
    <row r="84" spans="1:4" x14ac:dyDescent="0.35">
      <c r="A84" s="3" t="s">
        <v>87</v>
      </c>
      <c r="B84">
        <v>6.9799276128784671</v>
      </c>
      <c r="C84">
        <v>3.5078656553398035</v>
      </c>
      <c r="D84">
        <v>3.7477071330767053</v>
      </c>
    </row>
    <row r="85" spans="1:4" x14ac:dyDescent="0.35">
      <c r="A85" s="3" t="s">
        <v>88</v>
      </c>
      <c r="B85">
        <v>7.1280834848273411</v>
      </c>
      <c r="C85">
        <v>4.1910345824184292</v>
      </c>
      <c r="D85">
        <v>5.8017097414232444</v>
      </c>
    </row>
    <row r="86" spans="1:4" x14ac:dyDescent="0.35">
      <c r="A86" s="3" t="s">
        <v>41</v>
      </c>
      <c r="B86">
        <v>6.9159531582834166</v>
      </c>
      <c r="C86">
        <v>6.9659165722519845</v>
      </c>
      <c r="D86">
        <v>3.7783352028301298</v>
      </c>
    </row>
    <row r="87" spans="1:4" x14ac:dyDescent="0.35">
      <c r="A87" s="3" t="s">
        <v>89</v>
      </c>
      <c r="B87">
        <v>6.5711458787746757</v>
      </c>
      <c r="C87">
        <v>0.42470292536094245</v>
      </c>
      <c r="D87">
        <v>3.2816479566234014</v>
      </c>
    </row>
    <row r="88" spans="1:4" x14ac:dyDescent="0.35">
      <c r="A88" s="3" t="s">
        <v>90</v>
      </c>
      <c r="B88">
        <v>7.954914276553926</v>
      </c>
      <c r="C88">
        <v>3.243652477758352</v>
      </c>
      <c r="D88">
        <v>3.4252523648995448</v>
      </c>
    </row>
    <row r="89" spans="1:4" x14ac:dyDescent="0.35">
      <c r="A89" s="3" t="s">
        <v>91</v>
      </c>
      <c r="B89">
        <v>8.8951677833078122</v>
      </c>
      <c r="C89">
        <v>5.2487490683703397</v>
      </c>
      <c r="D89">
        <v>2.3597524214046928</v>
      </c>
    </row>
    <row r="90" spans="1:4" x14ac:dyDescent="0.35">
      <c r="A90" s="3" t="s">
        <v>42</v>
      </c>
      <c r="B90">
        <v>8.4012231617442978</v>
      </c>
      <c r="C90">
        <v>4.2108925236052697</v>
      </c>
      <c r="D90">
        <v>3.2835563843465421</v>
      </c>
    </row>
    <row r="91" spans="1:4" x14ac:dyDescent="0.35">
      <c r="A91" s="3" t="s">
        <v>92</v>
      </c>
      <c r="B91">
        <v>7.7424749267082094</v>
      </c>
      <c r="C91">
        <v>5.9352509190216507</v>
      </c>
      <c r="D91">
        <v>3.217102468747246</v>
      </c>
    </row>
    <row r="92" spans="1:4" x14ac:dyDescent="0.35">
      <c r="A92" s="3" t="s">
        <v>93</v>
      </c>
      <c r="B92">
        <v>7.8123235530027424</v>
      </c>
      <c r="C92">
        <v>2.5282299151108134E-2</v>
      </c>
      <c r="D92">
        <v>3.5604111176320119</v>
      </c>
    </row>
    <row r="93" spans="1:4" x14ac:dyDescent="0.35">
      <c r="A93" s="3" t="s">
        <v>94</v>
      </c>
      <c r="B93">
        <v>7.0750206108906699</v>
      </c>
      <c r="C93">
        <v>0.3685418774840965</v>
      </c>
      <c r="D93">
        <v>1.7619411245878736</v>
      </c>
    </row>
    <row r="94" spans="1:4" x14ac:dyDescent="0.35">
      <c r="A94" s="3" t="s">
        <v>43</v>
      </c>
      <c r="B94">
        <v>8.1470646419487878</v>
      </c>
      <c r="C94">
        <v>0.57641198475015809</v>
      </c>
      <c r="D94">
        <v>1.3072590684449326</v>
      </c>
    </row>
    <row r="95" spans="1:4" x14ac:dyDescent="0.35">
      <c r="A95" s="3" t="s">
        <v>95</v>
      </c>
      <c r="B95">
        <v>6.8482615249425782</v>
      </c>
      <c r="C95">
        <v>5.044571742387749</v>
      </c>
      <c r="D95">
        <v>0.36885592008268908</v>
      </c>
    </row>
    <row r="96" spans="1:4" x14ac:dyDescent="0.35">
      <c r="A96" s="3" t="s">
        <v>96</v>
      </c>
      <c r="B96">
        <v>-18.396078768301717</v>
      </c>
      <c r="C96">
        <v>2.3803296967853882</v>
      </c>
      <c r="D96">
        <v>-17.565763619921036</v>
      </c>
    </row>
    <row r="97" spans="1:4" x14ac:dyDescent="0.35">
      <c r="A97" s="3" t="s">
        <v>97</v>
      </c>
      <c r="B97">
        <v>-1.9383896548761603</v>
      </c>
      <c r="C97">
        <v>6.7938669083297487</v>
      </c>
      <c r="D97">
        <v>1.0629354807231373</v>
      </c>
    </row>
    <row r="98" spans="1:4" x14ac:dyDescent="0.35">
      <c r="A98" s="3" t="s">
        <v>44</v>
      </c>
      <c r="B98">
        <v>-3.3299324545936426</v>
      </c>
      <c r="C98">
        <v>5.419226577077918</v>
      </c>
      <c r="D98">
        <v>-0.21996228313194699</v>
      </c>
    </row>
    <row r="99" spans="1:4" x14ac:dyDescent="0.35">
      <c r="A99" s="3" t="s">
        <v>98</v>
      </c>
      <c r="B99">
        <v>-1.4705300552598111</v>
      </c>
      <c r="C99">
        <v>5.6099158205994648</v>
      </c>
      <c r="D99">
        <v>3.9148685378968207</v>
      </c>
    </row>
    <row r="100" spans="1:4" x14ac:dyDescent="0.35">
      <c r="A100" s="3" t="s">
        <v>99</v>
      </c>
      <c r="B100">
        <v>11.714739630731042</v>
      </c>
      <c r="C100">
        <v>8.2432359178104662</v>
      </c>
      <c r="D100">
        <v>22.16685602574826</v>
      </c>
    </row>
    <row r="101" spans="1:4" x14ac:dyDescent="0.35">
      <c r="A101" s="3" t="s">
        <v>103</v>
      </c>
      <c r="B101">
        <v>-4.2412159423375728</v>
      </c>
      <c r="C101">
        <v>7.1253555435930593</v>
      </c>
      <c r="D101">
        <v>-1.255511370928708</v>
      </c>
    </row>
    <row r="102" spans="1:4" x14ac:dyDescent="0.35">
      <c r="A102" s="3" t="s">
        <v>45</v>
      </c>
      <c r="B102">
        <v>3.6702078823249495</v>
      </c>
      <c r="C102">
        <v>1.5872969223999389</v>
      </c>
      <c r="D102">
        <v>6.8345026604946346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4AFB-06D9-419B-B893-EF49D5B1F39A}">
  <dimension ref="A1:T13"/>
  <sheetViews>
    <sheetView workbookViewId="0">
      <selection activeCell="B3" sqref="B3"/>
    </sheetView>
  </sheetViews>
  <sheetFormatPr defaultRowHeight="14.5" x14ac:dyDescent="0.35"/>
  <cols>
    <col min="1" max="1" width="14.453125" bestFit="1" customWidth="1"/>
    <col min="2" max="2" width="33.453125" bestFit="1" customWidth="1"/>
    <col min="3" max="3" width="26.7265625" bestFit="1" customWidth="1"/>
    <col min="4" max="4" width="64.1796875" bestFit="1" customWidth="1"/>
    <col min="5" max="5" width="32.54296875" bestFit="1" customWidth="1"/>
    <col min="6" max="6" width="38.453125" bestFit="1" customWidth="1"/>
    <col min="7" max="7" width="61" bestFit="1" customWidth="1"/>
    <col min="8" max="8" width="32.26953125" bestFit="1" customWidth="1"/>
    <col min="9" max="9" width="56.81640625" bestFit="1" customWidth="1"/>
    <col min="10" max="10" width="57.1796875" bestFit="1" customWidth="1"/>
    <col min="11" max="11" width="61.1796875" bestFit="1" customWidth="1"/>
    <col min="12" max="12" width="36.1796875" bestFit="1" customWidth="1"/>
    <col min="13" max="13" width="31" bestFit="1" customWidth="1"/>
    <col min="14" max="14" width="18" bestFit="1" customWidth="1"/>
    <col min="15" max="15" width="42.26953125" bestFit="1" customWidth="1"/>
    <col min="16" max="16" width="51.7265625" bestFit="1" customWidth="1"/>
    <col min="17" max="17" width="11.54296875" customWidth="1"/>
    <col min="18" max="18" width="23.54296875" bestFit="1" customWidth="1"/>
    <col min="19" max="19" width="22.7265625" bestFit="1" customWidth="1"/>
    <col min="20" max="20" width="29.7265625" bestFit="1" customWidth="1"/>
  </cols>
  <sheetData>
    <row r="1" spans="1:20" x14ac:dyDescent="0.35">
      <c r="A1" t="s">
        <v>34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61</v>
      </c>
      <c r="R1" t="s">
        <v>65</v>
      </c>
      <c r="S1" t="s">
        <v>66</v>
      </c>
      <c r="T1" t="s">
        <v>67</v>
      </c>
    </row>
    <row r="2" spans="1:20" x14ac:dyDescent="0.35">
      <c r="A2" s="1">
        <v>40543</v>
      </c>
      <c r="B2">
        <v>5</v>
      </c>
      <c r="C2">
        <v>2.2000000000000002</v>
      </c>
      <c r="D2">
        <v>2.98</v>
      </c>
      <c r="E2">
        <v>3.0834999999999999</v>
      </c>
      <c r="F2">
        <v>3.1</v>
      </c>
      <c r="G2">
        <v>1518.91</v>
      </c>
      <c r="H2">
        <v>10374.98</v>
      </c>
      <c r="I2">
        <v>2.4</v>
      </c>
      <c r="J2">
        <v>4.3</v>
      </c>
      <c r="K2" s="5">
        <v>13</v>
      </c>
      <c r="L2">
        <v>9</v>
      </c>
      <c r="M2">
        <v>2.8</v>
      </c>
      <c r="N2">
        <v>1421.4</v>
      </c>
      <c r="O2">
        <v>117.2</v>
      </c>
      <c r="P2">
        <v>94.1</v>
      </c>
      <c r="Q2">
        <v>94.75</v>
      </c>
      <c r="R2" s="6">
        <v>6.6833104481338168</v>
      </c>
      <c r="S2" s="6">
        <v>3.0989543870283409</v>
      </c>
      <c r="T2" s="6">
        <v>3.7325177491846828</v>
      </c>
    </row>
    <row r="3" spans="1:20" x14ac:dyDescent="0.35">
      <c r="A3" s="1">
        <v>40908</v>
      </c>
      <c r="B3">
        <v>5.5</v>
      </c>
      <c r="C3">
        <v>3</v>
      </c>
      <c r="D3">
        <v>3.22</v>
      </c>
      <c r="E3">
        <v>3.1682000000000001</v>
      </c>
      <c r="F3">
        <v>3.1</v>
      </c>
      <c r="G3">
        <v>1530.73</v>
      </c>
      <c r="H3">
        <v>10489.07</v>
      </c>
      <c r="I3">
        <v>5.6</v>
      </c>
      <c r="J3">
        <v>7.4</v>
      </c>
      <c r="K3">
        <v>6.4</v>
      </c>
      <c r="L3">
        <v>13</v>
      </c>
      <c r="M3">
        <v>3</v>
      </c>
      <c r="N3">
        <v>1564.91</v>
      </c>
      <c r="O3">
        <v>106.3</v>
      </c>
      <c r="P3">
        <v>94</v>
      </c>
      <c r="Q3">
        <v>107.38</v>
      </c>
      <c r="R3">
        <v>7.1719281728402251</v>
      </c>
      <c r="S3">
        <v>21.00789137750958</v>
      </c>
      <c r="T3">
        <v>3.3645805608782275</v>
      </c>
    </row>
    <row r="4" spans="1:20" x14ac:dyDescent="0.35">
      <c r="A4" s="1">
        <v>41274</v>
      </c>
      <c r="B4">
        <v>6.5</v>
      </c>
      <c r="C4">
        <v>1.2</v>
      </c>
      <c r="D4">
        <v>3.21</v>
      </c>
      <c r="E4">
        <v>3.0585</v>
      </c>
      <c r="F4">
        <v>3.3</v>
      </c>
      <c r="G4">
        <v>1688.95</v>
      </c>
      <c r="H4">
        <v>11438.14</v>
      </c>
      <c r="I4">
        <v>-4</v>
      </c>
      <c r="J4">
        <v>-3.3</v>
      </c>
      <c r="K4">
        <v>15.5</v>
      </c>
      <c r="L4">
        <v>15</v>
      </c>
      <c r="M4">
        <v>3</v>
      </c>
      <c r="N4">
        <v>1675.35</v>
      </c>
      <c r="O4">
        <v>118.7</v>
      </c>
      <c r="P4">
        <v>95.5</v>
      </c>
      <c r="Q4">
        <v>111.11</v>
      </c>
      <c r="R4">
        <v>6.7651903367496269</v>
      </c>
      <c r="S4">
        <v>0.75523268359347639</v>
      </c>
      <c r="T4">
        <v>6.5515411565639114</v>
      </c>
    </row>
    <row r="5" spans="1:20" x14ac:dyDescent="0.35">
      <c r="A5" s="1">
        <v>41639</v>
      </c>
      <c r="B5">
        <v>5</v>
      </c>
      <c r="C5">
        <v>3.2</v>
      </c>
      <c r="D5">
        <v>3.32</v>
      </c>
      <c r="E5">
        <v>3.2755000000000001</v>
      </c>
      <c r="F5">
        <v>3</v>
      </c>
      <c r="G5">
        <v>1866.96</v>
      </c>
      <c r="H5">
        <v>12853.63</v>
      </c>
      <c r="I5">
        <v>5.0999999999999996</v>
      </c>
      <c r="J5">
        <v>6.9</v>
      </c>
      <c r="K5">
        <v>6.1</v>
      </c>
      <c r="L5">
        <v>13.6</v>
      </c>
      <c r="M5">
        <v>3</v>
      </c>
      <c r="N5">
        <v>1201.6400000000001</v>
      </c>
      <c r="O5">
        <v>82.4</v>
      </c>
      <c r="P5">
        <v>97.8</v>
      </c>
      <c r="Q5">
        <v>110.8</v>
      </c>
      <c r="R5">
        <v>7.5844454158202845</v>
      </c>
      <c r="S5">
        <v>5.4397487150199986</v>
      </c>
      <c r="T5">
        <v>2.9495024696621908</v>
      </c>
    </row>
    <row r="6" spans="1:20" x14ac:dyDescent="0.35">
      <c r="A6" s="1">
        <v>42004</v>
      </c>
      <c r="B6">
        <v>5.7</v>
      </c>
      <c r="C6">
        <v>2.7</v>
      </c>
      <c r="D6">
        <v>3.86</v>
      </c>
      <c r="E6">
        <v>3.4965000000000002</v>
      </c>
      <c r="F6">
        <v>3</v>
      </c>
      <c r="G6">
        <v>1761.25</v>
      </c>
      <c r="H6">
        <v>12066.28</v>
      </c>
      <c r="I6">
        <v>1.6</v>
      </c>
      <c r="J6">
        <v>2.2999999999999998</v>
      </c>
      <c r="K6">
        <v>4.3</v>
      </c>
      <c r="L6">
        <v>14.7</v>
      </c>
      <c r="M6">
        <v>3.3</v>
      </c>
      <c r="N6">
        <v>1184.3699999999999</v>
      </c>
      <c r="O6">
        <v>83</v>
      </c>
      <c r="P6">
        <v>101</v>
      </c>
      <c r="Q6">
        <v>57.33</v>
      </c>
      <c r="R6">
        <v>7.6209748091967899</v>
      </c>
      <c r="S6">
        <v>2.4734822839088233</v>
      </c>
      <c r="T6">
        <v>5.8758787017487935</v>
      </c>
    </row>
    <row r="7" spans="1:20" x14ac:dyDescent="0.35">
      <c r="A7" s="1">
        <v>42369</v>
      </c>
      <c r="B7">
        <v>4.7</v>
      </c>
      <c r="C7">
        <v>2.7</v>
      </c>
      <c r="D7">
        <v>3.84</v>
      </c>
      <c r="E7">
        <v>4.2925000000000004</v>
      </c>
      <c r="F7">
        <v>3.4</v>
      </c>
      <c r="G7">
        <v>1692.51</v>
      </c>
      <c r="H7">
        <v>11793.65</v>
      </c>
      <c r="I7">
        <v>3.8</v>
      </c>
      <c r="J7">
        <v>3.7</v>
      </c>
      <c r="K7">
        <v>2.6</v>
      </c>
      <c r="L7">
        <v>20.399999999999999</v>
      </c>
      <c r="M7">
        <v>3.3</v>
      </c>
      <c r="N7">
        <v>1061.0999999999999</v>
      </c>
      <c r="O7">
        <v>63.8</v>
      </c>
      <c r="P7">
        <v>99.8</v>
      </c>
      <c r="Q7">
        <v>37.28</v>
      </c>
      <c r="R7">
        <v>4.8931067156224195</v>
      </c>
      <c r="S7">
        <v>3.4973351539444142</v>
      </c>
      <c r="T7">
        <v>3.1428169767552916</v>
      </c>
    </row>
    <row r="8" spans="1:20" x14ac:dyDescent="0.35">
      <c r="A8" s="1">
        <v>42735</v>
      </c>
      <c r="B8">
        <v>4.8</v>
      </c>
      <c r="C8">
        <v>1.7</v>
      </c>
      <c r="D8">
        <v>3.41</v>
      </c>
      <c r="E8">
        <v>4.4862000000000002</v>
      </c>
      <c r="F8">
        <v>3.5</v>
      </c>
      <c r="G8">
        <v>1641.73</v>
      </c>
      <c r="H8">
        <v>11466.54</v>
      </c>
      <c r="I8">
        <v>2.4</v>
      </c>
      <c r="J8">
        <v>2.1</v>
      </c>
      <c r="K8">
        <v>2.1</v>
      </c>
      <c r="L8">
        <v>19.5</v>
      </c>
      <c r="M8">
        <v>3</v>
      </c>
      <c r="N8">
        <v>1147.5</v>
      </c>
      <c r="O8">
        <v>69.8</v>
      </c>
      <c r="P8">
        <v>99.5</v>
      </c>
      <c r="Q8">
        <v>56.82</v>
      </c>
      <c r="R8">
        <v>6.0155216987227256</v>
      </c>
      <c r="S8">
        <v>-4.0579836463746854</v>
      </c>
      <c r="T8">
        <v>5.4607497440730679</v>
      </c>
    </row>
    <row r="9" spans="1:20" x14ac:dyDescent="0.35">
      <c r="A9" s="1">
        <v>43100</v>
      </c>
      <c r="B9">
        <v>5.8</v>
      </c>
      <c r="C9">
        <v>3.5</v>
      </c>
      <c r="D9">
        <v>3.44</v>
      </c>
      <c r="E9">
        <v>4.0465</v>
      </c>
      <c r="F9">
        <v>3.3</v>
      </c>
      <c r="G9">
        <v>1796.81</v>
      </c>
      <c r="H9">
        <v>12942.57</v>
      </c>
      <c r="I9">
        <v>5.0999999999999996</v>
      </c>
      <c r="J9">
        <v>6.2</v>
      </c>
      <c r="K9">
        <v>4.4000000000000004</v>
      </c>
      <c r="L9">
        <v>12.1</v>
      </c>
      <c r="M9">
        <v>3</v>
      </c>
      <c r="N9">
        <v>1302.8</v>
      </c>
      <c r="O9">
        <v>82.6</v>
      </c>
      <c r="P9">
        <v>101.4</v>
      </c>
      <c r="Q9">
        <v>66.87</v>
      </c>
      <c r="R9">
        <v>6.9159531582834166</v>
      </c>
      <c r="S9">
        <v>6.9659165722519845</v>
      </c>
      <c r="T9">
        <v>3.7783352028301298</v>
      </c>
    </row>
    <row r="10" spans="1:20" x14ac:dyDescent="0.35">
      <c r="A10" s="1">
        <v>43465</v>
      </c>
      <c r="B10">
        <v>4.8</v>
      </c>
      <c r="C10">
        <v>0.2</v>
      </c>
      <c r="D10">
        <v>3.69</v>
      </c>
      <c r="E10">
        <v>4.1334999999999997</v>
      </c>
      <c r="F10">
        <v>3.3</v>
      </c>
      <c r="G10">
        <v>1690.58</v>
      </c>
      <c r="H10">
        <v>11527.51</v>
      </c>
      <c r="I10">
        <v>2.9</v>
      </c>
      <c r="J10">
        <v>2</v>
      </c>
      <c r="K10">
        <v>0.6</v>
      </c>
      <c r="L10">
        <v>10.1</v>
      </c>
      <c r="M10">
        <v>3.3</v>
      </c>
      <c r="N10">
        <v>1282.49</v>
      </c>
      <c r="O10">
        <v>96.8</v>
      </c>
      <c r="P10">
        <v>99.3</v>
      </c>
      <c r="Q10">
        <v>53.8</v>
      </c>
      <c r="R10">
        <v>8.4012231617442978</v>
      </c>
      <c r="S10">
        <v>4.2108925236052697</v>
      </c>
      <c r="T10">
        <v>3.2835563843465421</v>
      </c>
    </row>
    <row r="11" spans="1:20" x14ac:dyDescent="0.35">
      <c r="A11" s="1">
        <v>43830</v>
      </c>
      <c r="B11">
        <v>3.6</v>
      </c>
      <c r="C11">
        <v>1</v>
      </c>
      <c r="D11">
        <v>3.35</v>
      </c>
      <c r="E11">
        <v>4.0910000000000002</v>
      </c>
      <c r="F11">
        <v>3.3</v>
      </c>
      <c r="G11">
        <v>1588.76</v>
      </c>
      <c r="H11">
        <v>11323.49</v>
      </c>
      <c r="I11">
        <v>-3.3</v>
      </c>
      <c r="J11">
        <v>-2.2999999999999998</v>
      </c>
      <c r="K11">
        <v>-0.7</v>
      </c>
      <c r="L11">
        <v>14.7</v>
      </c>
      <c r="M11">
        <v>3</v>
      </c>
      <c r="N11">
        <v>1517.27</v>
      </c>
      <c r="O11">
        <v>84</v>
      </c>
      <c r="P11">
        <v>101.6</v>
      </c>
      <c r="Q11">
        <v>66</v>
      </c>
      <c r="R11">
        <v>8.1470646419487878</v>
      </c>
      <c r="S11">
        <v>0.57641198475015809</v>
      </c>
      <c r="T11">
        <v>1.3072590684449326</v>
      </c>
    </row>
    <row r="12" spans="1:20" x14ac:dyDescent="0.35">
      <c r="A12" s="1">
        <v>44196</v>
      </c>
      <c r="B12">
        <v>-3.3</v>
      </c>
      <c r="C12">
        <v>-1.4</v>
      </c>
      <c r="D12">
        <v>1.94</v>
      </c>
      <c r="E12">
        <v>4.0202999999999998</v>
      </c>
      <c r="F12">
        <v>4.8</v>
      </c>
      <c r="G12">
        <v>1627.21</v>
      </c>
      <c r="H12">
        <v>11761.93</v>
      </c>
      <c r="I12">
        <v>-1.9</v>
      </c>
      <c r="J12">
        <v>-3.4</v>
      </c>
      <c r="K12">
        <v>-11.7</v>
      </c>
      <c r="L12">
        <v>17.2</v>
      </c>
      <c r="M12">
        <v>1.8</v>
      </c>
      <c r="N12">
        <v>1898.36</v>
      </c>
      <c r="O12" t="e">
        <v>#N/A</v>
      </c>
      <c r="P12">
        <v>109.2</v>
      </c>
      <c r="Q12">
        <v>51.8</v>
      </c>
      <c r="R12">
        <v>-3.3299324545936426</v>
      </c>
      <c r="S12">
        <v>5.419226577077918</v>
      </c>
      <c r="T12">
        <v>-0.21996228313194699</v>
      </c>
    </row>
    <row r="13" spans="1:20" x14ac:dyDescent="0.35">
      <c r="A13" s="1">
        <v>44561</v>
      </c>
      <c r="B13">
        <v>3.6</v>
      </c>
      <c r="C13">
        <v>3.2</v>
      </c>
      <c r="D13">
        <v>2.0499999999999998</v>
      </c>
      <c r="E13">
        <v>4.1660000000000004</v>
      </c>
      <c r="F13">
        <v>4.3</v>
      </c>
      <c r="G13">
        <v>1567.53</v>
      </c>
      <c r="H13">
        <v>11308.79</v>
      </c>
      <c r="I13">
        <v>13</v>
      </c>
      <c r="J13">
        <v>14.5</v>
      </c>
      <c r="K13">
        <v>-3</v>
      </c>
      <c r="L13">
        <v>11</v>
      </c>
      <c r="M13">
        <v>1.8</v>
      </c>
      <c r="N13">
        <v>1829.2</v>
      </c>
      <c r="O13" t="e">
        <v>#N/A</v>
      </c>
      <c r="P13">
        <v>111.4</v>
      </c>
      <c r="Q13">
        <v>77.78</v>
      </c>
      <c r="R13">
        <v>3.6702078823249495</v>
      </c>
      <c r="S13">
        <v>1.5872969223999389</v>
      </c>
      <c r="T13">
        <v>6.8345026604946346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60BD-1A06-4254-84A8-7219F05979AD}">
  <dimension ref="A1:U49"/>
  <sheetViews>
    <sheetView zoomScale="70" zoomScaleNormal="70" workbookViewId="0">
      <selection activeCell="S54" sqref="S54"/>
    </sheetView>
  </sheetViews>
  <sheetFormatPr defaultRowHeight="14.5" x14ac:dyDescent="0.35"/>
  <cols>
    <col min="2" max="2" width="14.453125" bestFit="1" customWidth="1"/>
    <col min="10" max="10" width="18.54296875" customWidth="1"/>
  </cols>
  <sheetData>
    <row r="1" spans="1:21" ht="145" x14ac:dyDescent="0.35">
      <c r="B1" t="s">
        <v>34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100</v>
      </c>
      <c r="S1" s="4" t="s">
        <v>65</v>
      </c>
      <c r="T1" s="4" t="s">
        <v>66</v>
      </c>
      <c r="U1" s="4" t="s">
        <v>67</v>
      </c>
    </row>
    <row r="2" spans="1:21" x14ac:dyDescent="0.35">
      <c r="A2">
        <v>2010</v>
      </c>
      <c r="B2" s="1">
        <v>40268</v>
      </c>
      <c r="C2">
        <f>10.3</f>
        <v>10.3</v>
      </c>
      <c r="D2">
        <f>1.3</f>
        <v>1.3</v>
      </c>
      <c r="E2">
        <f>2.52</f>
        <v>2.52</v>
      </c>
      <c r="F2">
        <f>3.2638</f>
        <v>3.2637999999999998</v>
      </c>
      <c r="G2">
        <f>3.5</f>
        <v>3.5</v>
      </c>
      <c r="H2">
        <f>1320.57</f>
        <v>1320.57</v>
      </c>
      <c r="I2">
        <f>8957.24</f>
        <v>8957.24</v>
      </c>
      <c r="J2">
        <v>21</v>
      </c>
      <c r="K2">
        <v>28.2</v>
      </c>
      <c r="L2">
        <v>7.4</v>
      </c>
      <c r="M2">
        <f>9.7</f>
        <v>9.6999999999999993</v>
      </c>
      <c r="N2">
        <f>2.3</f>
        <v>2.2999999999999998</v>
      </c>
      <c r="O2">
        <f>1113.25</f>
        <v>1113.25</v>
      </c>
      <c r="P2">
        <f>114.2</f>
        <v>114.2</v>
      </c>
      <c r="Q2">
        <f>92.5</f>
        <v>92.5</v>
      </c>
      <c r="R2">
        <v>82.7</v>
      </c>
      <c r="S2" s="4">
        <v>5.5250977096589216</v>
      </c>
      <c r="T2" s="4">
        <v>9.9214846538187018</v>
      </c>
      <c r="U2" s="4">
        <v>10.741031684006996</v>
      </c>
    </row>
    <row r="3" spans="1:21" x14ac:dyDescent="0.35">
      <c r="A3">
        <v>2010</v>
      </c>
      <c r="B3" s="1">
        <v>40359</v>
      </c>
      <c r="C3">
        <f>9.4</f>
        <v>9.4</v>
      </c>
      <c r="D3">
        <f>1.7</f>
        <v>1.7</v>
      </c>
      <c r="E3">
        <f>2.72</f>
        <v>2.72</v>
      </c>
      <c r="F3">
        <f>3.2365</f>
        <v>3.2364999999999999</v>
      </c>
      <c r="G3">
        <f>3.6</f>
        <v>3.6</v>
      </c>
      <c r="H3">
        <f>1314.02</f>
        <v>1314.02</v>
      </c>
      <c r="I3">
        <f>8863.39</f>
        <v>8863.39</v>
      </c>
      <c r="J3">
        <v>15.5</v>
      </c>
      <c r="K3">
        <v>23.1</v>
      </c>
      <c r="L3">
        <v>13.5</v>
      </c>
      <c r="M3">
        <f>11.9</f>
        <v>11.9</v>
      </c>
      <c r="N3">
        <f>2.5</f>
        <v>2.5</v>
      </c>
      <c r="O3">
        <f>1242.38</f>
        <v>1242.3800000000001</v>
      </c>
      <c r="P3">
        <f>110.4</f>
        <v>110.4</v>
      </c>
      <c r="Q3">
        <f>91.6</f>
        <v>91.6</v>
      </c>
      <c r="R3">
        <v>75.010000000000005</v>
      </c>
      <c r="S3" s="4">
        <v>8.2365178860909882</v>
      </c>
      <c r="T3" s="4">
        <v>10.461357625624457</v>
      </c>
      <c r="U3" s="4">
        <v>10.588993247436518</v>
      </c>
    </row>
    <row r="4" spans="1:21" x14ac:dyDescent="0.35">
      <c r="A4">
        <v>2010</v>
      </c>
      <c r="B4" s="1">
        <v>40451</v>
      </c>
      <c r="C4">
        <f>5.5</f>
        <v>5.5</v>
      </c>
      <c r="D4">
        <f>1.8</f>
        <v>1.8</v>
      </c>
      <c r="E4">
        <f>2.93</f>
        <v>2.93</v>
      </c>
      <c r="F4">
        <f>3.0873</f>
        <v>3.0872999999999999</v>
      </c>
      <c r="G4">
        <f>3</f>
        <v>3</v>
      </c>
      <c r="H4">
        <f>1463.5</f>
        <v>1463.5</v>
      </c>
      <c r="I4">
        <f>9811.64</f>
        <v>9811.64</v>
      </c>
      <c r="J4">
        <v>7.9</v>
      </c>
      <c r="K4">
        <v>11.7</v>
      </c>
      <c r="L4">
        <v>13.2</v>
      </c>
      <c r="M4">
        <f>12.1</f>
        <v>12.1</v>
      </c>
      <c r="N4">
        <f>2.8</f>
        <v>2.8</v>
      </c>
      <c r="O4">
        <f>1308.54</f>
        <v>1308.54</v>
      </c>
      <c r="P4">
        <f>115.8</f>
        <v>115.8</v>
      </c>
      <c r="Q4">
        <f>92.5</f>
        <v>92.5</v>
      </c>
      <c r="R4">
        <v>82.31</v>
      </c>
      <c r="S4" s="4">
        <v>7.0214440045460735</v>
      </c>
      <c r="T4" s="4">
        <v>-7.1475343776759122</v>
      </c>
      <c r="U4" s="4">
        <v>4.2203419140863119</v>
      </c>
    </row>
    <row r="5" spans="1:21" x14ac:dyDescent="0.35">
      <c r="A5">
        <v>2010</v>
      </c>
      <c r="B5" s="1">
        <v>40543</v>
      </c>
      <c r="C5">
        <f>5</f>
        <v>5</v>
      </c>
      <c r="D5">
        <f>2.2</f>
        <v>2.2000000000000002</v>
      </c>
      <c r="E5">
        <f>2.98</f>
        <v>2.98</v>
      </c>
      <c r="F5">
        <f>3.0835</f>
        <v>3.0834999999999999</v>
      </c>
      <c r="G5">
        <f>3.1</f>
        <v>3.1</v>
      </c>
      <c r="H5">
        <f>1518.91</f>
        <v>1518.91</v>
      </c>
      <c r="I5">
        <f>10374.98</f>
        <v>10374.98</v>
      </c>
      <c r="J5">
        <v>2.4</v>
      </c>
      <c r="K5">
        <v>4.3</v>
      </c>
      <c r="L5">
        <v>13</v>
      </c>
      <c r="M5">
        <f>9</f>
        <v>9</v>
      </c>
      <c r="N5">
        <f>2.8</f>
        <v>2.8</v>
      </c>
      <c r="O5">
        <f>1421.4</f>
        <v>1421.4</v>
      </c>
      <c r="P5">
        <f>117.2</f>
        <v>117.2</v>
      </c>
      <c r="Q5">
        <f>94.1</f>
        <v>94.1</v>
      </c>
      <c r="R5">
        <v>94.75</v>
      </c>
      <c r="S5" s="4">
        <v>6.6833104481338168</v>
      </c>
      <c r="T5" s="4">
        <v>3.0989543870283409</v>
      </c>
      <c r="U5" s="4">
        <v>3.7325177491846828</v>
      </c>
    </row>
    <row r="6" spans="1:21" x14ac:dyDescent="0.35">
      <c r="A6">
        <v>2011</v>
      </c>
      <c r="B6" s="1">
        <v>40633</v>
      </c>
      <c r="C6">
        <f>5</f>
        <v>5</v>
      </c>
      <c r="D6">
        <f>3</f>
        <v>3</v>
      </c>
      <c r="E6">
        <f>3.04</f>
        <v>3.04</v>
      </c>
      <c r="F6">
        <f>3.0255</f>
        <v>3.0255000000000001</v>
      </c>
      <c r="G6">
        <f>3</f>
        <v>3</v>
      </c>
      <c r="H6">
        <f>1545.13</f>
        <v>1545.13</v>
      </c>
      <c r="I6">
        <f>10612.46</f>
        <v>10612.46</v>
      </c>
      <c r="J6">
        <f>1.5</f>
        <v>1.5</v>
      </c>
      <c r="K6">
        <f>10</f>
        <v>10</v>
      </c>
      <c r="L6">
        <f>10.9</f>
        <v>10.9</v>
      </c>
      <c r="M6">
        <f>12.5</f>
        <v>12.5</v>
      </c>
      <c r="N6">
        <f>2.8</f>
        <v>2.8</v>
      </c>
      <c r="O6">
        <f>1432.2</f>
        <v>1432.2</v>
      </c>
      <c r="P6">
        <f>108.2</f>
        <v>108.2</v>
      </c>
      <c r="Q6">
        <f>93</f>
        <v>93</v>
      </c>
      <c r="R6">
        <v>117.36</v>
      </c>
      <c r="S6">
        <v>6.7201266156686978</v>
      </c>
      <c r="T6">
        <v>8.9494343107827223</v>
      </c>
      <c r="U6">
        <v>1.9614044022763455</v>
      </c>
    </row>
    <row r="7" spans="1:21" x14ac:dyDescent="0.35">
      <c r="A7">
        <v>2011</v>
      </c>
      <c r="B7" s="1">
        <v>40724</v>
      </c>
      <c r="C7">
        <f>4.6</f>
        <v>4.5999999999999996</v>
      </c>
      <c r="D7">
        <f>3.5</f>
        <v>3.5</v>
      </c>
      <c r="E7">
        <f>3.29</f>
        <v>3.29</v>
      </c>
      <c r="F7">
        <f>3.0195</f>
        <v>3.0194999999999999</v>
      </c>
      <c r="G7">
        <f>3.2</f>
        <v>3.2</v>
      </c>
      <c r="H7">
        <f>1579.07</f>
        <v>1579.07</v>
      </c>
      <c r="I7">
        <f>10842.25</f>
        <v>10842.25</v>
      </c>
      <c r="J7">
        <f>5.3</f>
        <v>5.3</v>
      </c>
      <c r="K7">
        <f>4.3</f>
        <v>4.3</v>
      </c>
      <c r="L7">
        <f>3</f>
        <v>3</v>
      </c>
      <c r="M7">
        <f>15.7</f>
        <v>15.7</v>
      </c>
      <c r="N7">
        <f>3</f>
        <v>3</v>
      </c>
      <c r="O7">
        <f>1500.18</f>
        <v>1500.18</v>
      </c>
      <c r="P7">
        <f>107.9</f>
        <v>107.9</v>
      </c>
      <c r="Q7">
        <f>93.3</f>
        <v>93.3</v>
      </c>
      <c r="R7">
        <v>112.48</v>
      </c>
      <c r="S7">
        <v>6.2240101718585628</v>
      </c>
      <c r="T7">
        <v>4.0509843513377053</v>
      </c>
      <c r="U7">
        <v>0.21321521715123026</v>
      </c>
    </row>
    <row r="8" spans="1:21" x14ac:dyDescent="0.35">
      <c r="A8">
        <v>2011</v>
      </c>
      <c r="B8" s="1">
        <v>40816</v>
      </c>
      <c r="C8">
        <f>6</f>
        <v>6</v>
      </c>
      <c r="D8">
        <f>3.4</f>
        <v>3.4</v>
      </c>
      <c r="E8">
        <f>3.26</f>
        <v>3.26</v>
      </c>
      <c r="F8">
        <f>3.189</f>
        <v>3.1890000000000001</v>
      </c>
      <c r="G8">
        <f>3.3</f>
        <v>3.3</v>
      </c>
      <c r="H8">
        <f>1387.13</f>
        <v>1387.13</v>
      </c>
      <c r="I8">
        <f>9397.57</f>
        <v>9397.57</v>
      </c>
      <c r="J8">
        <f>4.3</f>
        <v>4.3</v>
      </c>
      <c r="K8">
        <f>3.9</f>
        <v>3.9</v>
      </c>
      <c r="L8">
        <f>5.7</f>
        <v>5.7</v>
      </c>
      <c r="M8">
        <f>20.3</f>
        <v>20.3</v>
      </c>
      <c r="N8">
        <f>3</f>
        <v>3</v>
      </c>
      <c r="O8">
        <f>1623.79</f>
        <v>1623.79</v>
      </c>
      <c r="P8">
        <f>108.7</f>
        <v>108.7</v>
      </c>
      <c r="Q8">
        <f>93.5</f>
        <v>93.5</v>
      </c>
      <c r="R8">
        <v>102.76</v>
      </c>
      <c r="S8">
        <v>7.291910445432559</v>
      </c>
      <c r="T8">
        <v>19.163361903543553</v>
      </c>
      <c r="U8">
        <v>4.0114804955203143</v>
      </c>
    </row>
    <row r="9" spans="1:21" x14ac:dyDescent="0.35">
      <c r="A9">
        <v>2011</v>
      </c>
      <c r="B9" s="1">
        <v>40908</v>
      </c>
      <c r="C9">
        <f>5.5</f>
        <v>5.5</v>
      </c>
      <c r="D9">
        <f>3</f>
        <v>3</v>
      </c>
      <c r="E9">
        <f>3.22</f>
        <v>3.22</v>
      </c>
      <c r="F9">
        <f>3.1682</f>
        <v>3.1682000000000001</v>
      </c>
      <c r="G9">
        <f>3.1</f>
        <v>3.1</v>
      </c>
      <c r="H9">
        <f>1530.73</f>
        <v>1530.73</v>
      </c>
      <c r="I9">
        <f>10489.07</f>
        <v>10489.07</v>
      </c>
      <c r="J9">
        <f>5.6</f>
        <v>5.6</v>
      </c>
      <c r="K9">
        <f>7.4</f>
        <v>7.4</v>
      </c>
      <c r="L9">
        <f>6.4</f>
        <v>6.4</v>
      </c>
      <c r="M9">
        <f>13</f>
        <v>13</v>
      </c>
      <c r="N9">
        <f>3</f>
        <v>3</v>
      </c>
      <c r="O9">
        <f>1564.91</f>
        <v>1564.91</v>
      </c>
      <c r="P9">
        <f>106.3</f>
        <v>106.3</v>
      </c>
      <c r="Q9">
        <f>94</f>
        <v>94</v>
      </c>
      <c r="R9">
        <v>107.38</v>
      </c>
      <c r="S9">
        <v>7.1719281728402251</v>
      </c>
      <c r="T9">
        <v>21.00789137750958</v>
      </c>
      <c r="U9">
        <v>3.3645805608782275</v>
      </c>
    </row>
    <row r="10" spans="1:21" x14ac:dyDescent="0.35">
      <c r="A10">
        <v>2012</v>
      </c>
      <c r="B10" s="1">
        <v>40999</v>
      </c>
      <c r="C10">
        <f>5.1</f>
        <v>5.0999999999999996</v>
      </c>
      <c r="D10">
        <f>2.1</f>
        <v>2.1</v>
      </c>
      <c r="E10">
        <f>3.19</f>
        <v>3.19</v>
      </c>
      <c r="F10">
        <f>3.0635</f>
        <v>3.0634999999999999</v>
      </c>
      <c r="G10">
        <f>2.9</f>
        <v>2.9</v>
      </c>
      <c r="H10">
        <f>1596.33</f>
        <v>1596.33</v>
      </c>
      <c r="I10">
        <f>10939.63</f>
        <v>10939.63</v>
      </c>
      <c r="J10">
        <f>1.4</f>
        <v>1.4</v>
      </c>
      <c r="K10">
        <f>5.8</f>
        <v>5.8</v>
      </c>
      <c r="L10">
        <f>13.6</f>
        <v>13.6</v>
      </c>
      <c r="M10">
        <f>13.6</f>
        <v>13.6</v>
      </c>
      <c r="N10">
        <f>3</f>
        <v>3</v>
      </c>
      <c r="O10">
        <f>1668.15</f>
        <v>1668.15</v>
      </c>
      <c r="P10">
        <f>114.3</f>
        <v>114.3</v>
      </c>
      <c r="Q10">
        <f>95.2</f>
        <v>95.2</v>
      </c>
      <c r="R10">
        <v>122.88</v>
      </c>
      <c r="S10">
        <v>8.0884679269160884</v>
      </c>
      <c r="T10">
        <v>10.490399694824726</v>
      </c>
      <c r="U10">
        <v>4.8172348907659757</v>
      </c>
    </row>
    <row r="11" spans="1:21" x14ac:dyDescent="0.35">
      <c r="A11">
        <v>2012</v>
      </c>
      <c r="B11" s="1">
        <v>41090</v>
      </c>
      <c r="C11">
        <f>5.2</f>
        <v>5.2</v>
      </c>
      <c r="D11">
        <f>1.6</f>
        <v>1.6</v>
      </c>
      <c r="E11">
        <f>3.19</f>
        <v>3.19</v>
      </c>
      <c r="F11">
        <f>3.179</f>
        <v>3.1789999999999998</v>
      </c>
      <c r="G11">
        <f>3</f>
        <v>3</v>
      </c>
      <c r="H11">
        <f>1599.15</f>
        <v>1599.15</v>
      </c>
      <c r="I11">
        <f>10917.64</f>
        <v>10917.64</v>
      </c>
      <c r="J11">
        <f>0.5</f>
        <v>0.5</v>
      </c>
      <c r="K11">
        <f>7.9</f>
        <v>7.9</v>
      </c>
      <c r="L11">
        <f>25.2</f>
        <v>25.2</v>
      </c>
      <c r="M11">
        <f>22.1</f>
        <v>22.1</v>
      </c>
      <c r="N11">
        <f>3</f>
        <v>3</v>
      </c>
      <c r="O11">
        <f>1597.45</f>
        <v>1597.45</v>
      </c>
      <c r="P11">
        <f>114.9</f>
        <v>114.9</v>
      </c>
      <c r="Q11">
        <f>95.6</f>
        <v>95.6</v>
      </c>
      <c r="R11">
        <v>97.8</v>
      </c>
      <c r="S11">
        <v>9.3315542124937423</v>
      </c>
      <c r="T11">
        <v>11.190620578128163</v>
      </c>
      <c r="U11">
        <v>3.7566060289698333</v>
      </c>
    </row>
    <row r="12" spans="1:21" x14ac:dyDescent="0.35">
      <c r="A12">
        <v>2012</v>
      </c>
      <c r="B12" s="1">
        <v>41182</v>
      </c>
      <c r="C12">
        <f>5</f>
        <v>5</v>
      </c>
      <c r="D12">
        <f>1.3</f>
        <v>1.3</v>
      </c>
      <c r="E12">
        <f>3.2</f>
        <v>3.2</v>
      </c>
      <c r="F12">
        <f>3.0585</f>
        <v>3.0585</v>
      </c>
      <c r="G12">
        <f>3.2</f>
        <v>3.2</v>
      </c>
      <c r="H12">
        <f>1636.66</f>
        <v>1636.66</v>
      </c>
      <c r="I12">
        <f>11106.56</f>
        <v>11106.56</v>
      </c>
      <c r="J12">
        <f>-4.7</f>
        <v>-4.7</v>
      </c>
      <c r="K12">
        <f>1.9</f>
        <v>1.9</v>
      </c>
      <c r="L12">
        <f>21.4</f>
        <v>21.4</v>
      </c>
      <c r="M12">
        <f>20.6</f>
        <v>20.6</v>
      </c>
      <c r="N12">
        <f>3</f>
        <v>3</v>
      </c>
      <c r="O12">
        <f>1772.25</f>
        <v>1772.25</v>
      </c>
      <c r="P12">
        <f>118.3</f>
        <v>118.3</v>
      </c>
      <c r="Q12">
        <f>94.7</f>
        <v>94.7</v>
      </c>
      <c r="R12">
        <v>112.39</v>
      </c>
      <c r="S12">
        <v>9.2365718440425404</v>
      </c>
      <c r="T12">
        <v>3.041689032027195</v>
      </c>
      <c r="U12">
        <v>1.6557614996659309</v>
      </c>
    </row>
    <row r="13" spans="1:21" x14ac:dyDescent="0.35">
      <c r="A13">
        <v>2012</v>
      </c>
      <c r="B13" s="1">
        <v>41274</v>
      </c>
      <c r="C13">
        <f>6.5</f>
        <v>6.5</v>
      </c>
      <c r="D13">
        <f>1.2</f>
        <v>1.2</v>
      </c>
      <c r="E13">
        <f>3.21</f>
        <v>3.21</v>
      </c>
      <c r="F13">
        <f>3.0585</f>
        <v>3.0585</v>
      </c>
      <c r="G13">
        <f>3.3</f>
        <v>3.3</v>
      </c>
      <c r="H13">
        <f>1688.95</f>
        <v>1688.95</v>
      </c>
      <c r="I13">
        <f>11438.14</f>
        <v>11438.14</v>
      </c>
      <c r="J13">
        <f>-4</f>
        <v>-4</v>
      </c>
      <c r="K13">
        <f>-3.3</f>
        <v>-3.3</v>
      </c>
      <c r="L13">
        <f>15.5</f>
        <v>15.5</v>
      </c>
      <c r="M13">
        <f>15</f>
        <v>15</v>
      </c>
      <c r="N13">
        <f>3</f>
        <v>3</v>
      </c>
      <c r="O13">
        <f>1675.35</f>
        <v>1675.35</v>
      </c>
      <c r="P13">
        <f>118.7</f>
        <v>118.7</v>
      </c>
      <c r="Q13">
        <f>95.5</f>
        <v>95.5</v>
      </c>
      <c r="R13">
        <v>111.11</v>
      </c>
      <c r="S13">
        <v>6.7651903367496269</v>
      </c>
      <c r="T13">
        <v>0.75523268359347639</v>
      </c>
      <c r="U13">
        <v>6.5515411565639114</v>
      </c>
    </row>
    <row r="14" spans="1:21" x14ac:dyDescent="0.35">
      <c r="A14">
        <v>2013</v>
      </c>
      <c r="B14" s="1">
        <v>41364</v>
      </c>
      <c r="C14">
        <f>4.3</f>
        <v>4.3</v>
      </c>
      <c r="D14">
        <f>1.6</f>
        <v>1.6</v>
      </c>
      <c r="E14">
        <f>3.21</f>
        <v>3.21</v>
      </c>
      <c r="F14">
        <f>3.0938</f>
        <v>3.0937999999999999</v>
      </c>
      <c r="G14">
        <f>3.3</f>
        <v>3.3</v>
      </c>
      <c r="H14">
        <f>1671.63</f>
        <v>1671.63</v>
      </c>
      <c r="I14">
        <f>11420.49</f>
        <v>11420.49</v>
      </c>
      <c r="J14">
        <f>-3.5</f>
        <v>-3.5</v>
      </c>
      <c r="K14">
        <f>-2.4</f>
        <v>-2.4</v>
      </c>
      <c r="L14">
        <f>12.5</f>
        <v>12.5</v>
      </c>
      <c r="M14">
        <f>19.8</f>
        <v>19.8</v>
      </c>
      <c r="N14">
        <f>3</f>
        <v>3</v>
      </c>
      <c r="O14">
        <f>1597.5</f>
        <v>1597.5</v>
      </c>
      <c r="P14">
        <f>122.9</f>
        <v>122.9</v>
      </c>
      <c r="Q14">
        <f>98</f>
        <v>98</v>
      </c>
      <c r="R14">
        <v>110.02</v>
      </c>
      <c r="S14">
        <v>6.4084152755545354</v>
      </c>
      <c r="T14">
        <v>0.17646156206843067</v>
      </c>
      <c r="U14">
        <v>4.049777670815935E-2</v>
      </c>
    </row>
    <row r="15" spans="1:21" x14ac:dyDescent="0.35">
      <c r="A15">
        <v>2013</v>
      </c>
      <c r="B15" s="1">
        <v>41455</v>
      </c>
      <c r="C15">
        <f>4.6</f>
        <v>4.5999999999999996</v>
      </c>
      <c r="D15">
        <f>1.8</f>
        <v>1.8</v>
      </c>
      <c r="E15">
        <f>3.2</f>
        <v>3.2</v>
      </c>
      <c r="F15">
        <f>3.1605</f>
        <v>3.1604999999999999</v>
      </c>
      <c r="G15">
        <f>2.8</f>
        <v>2.8</v>
      </c>
      <c r="H15">
        <f>1773.54</f>
        <v>1773.54</v>
      </c>
      <c r="I15">
        <f>12304.91</f>
        <v>12304.91</v>
      </c>
      <c r="J15">
        <f>-4.6</f>
        <v>-4.5999999999999996</v>
      </c>
      <c r="K15">
        <f>-1.4</f>
        <v>-1.4</v>
      </c>
      <c r="L15">
        <f>5.8</f>
        <v>5.8</v>
      </c>
      <c r="M15">
        <f>18.7</f>
        <v>18.7</v>
      </c>
      <c r="N15">
        <f>3</f>
        <v>3</v>
      </c>
      <c r="O15">
        <f>1234.53</f>
        <v>1234.53</v>
      </c>
      <c r="P15">
        <f>109.7</f>
        <v>109.7</v>
      </c>
      <c r="Q15">
        <f>97.9</f>
        <v>97.9</v>
      </c>
      <c r="R15">
        <v>102.16</v>
      </c>
      <c r="S15">
        <v>6.8829980077893538</v>
      </c>
      <c r="T15">
        <v>10.827909682580072</v>
      </c>
      <c r="U15">
        <v>5.2840613801768299</v>
      </c>
    </row>
    <row r="16" spans="1:21" x14ac:dyDescent="0.35">
      <c r="A16">
        <v>2013</v>
      </c>
      <c r="B16" s="1">
        <v>41547</v>
      </c>
      <c r="C16">
        <f>4.9</f>
        <v>4.9000000000000004</v>
      </c>
      <c r="D16">
        <f>2.6</f>
        <v>2.6</v>
      </c>
      <c r="E16">
        <f>3.21</f>
        <v>3.21</v>
      </c>
      <c r="F16">
        <f>3.2595</f>
        <v>3.2595000000000001</v>
      </c>
      <c r="G16">
        <f>3.1</f>
        <v>3.1</v>
      </c>
      <c r="H16">
        <f>1768.62</f>
        <v>1768.62</v>
      </c>
      <c r="I16">
        <f>12289.65</f>
        <v>12289.65</v>
      </c>
      <c r="J16">
        <f>4.2</f>
        <v>4.2</v>
      </c>
      <c r="K16">
        <f>3.8</f>
        <v>3.8</v>
      </c>
      <c r="L16">
        <f>8.8</f>
        <v>8.8000000000000007</v>
      </c>
      <c r="M16">
        <f>17.4</f>
        <v>17.399999999999999</v>
      </c>
      <c r="N16">
        <f>3</f>
        <v>3</v>
      </c>
      <c r="O16">
        <f>1329.03</f>
        <v>1329.03</v>
      </c>
      <c r="P16">
        <f>102</f>
        <v>102</v>
      </c>
      <c r="Q16">
        <f>98.8</f>
        <v>98.8</v>
      </c>
      <c r="R16">
        <v>108.37</v>
      </c>
      <c r="S16">
        <v>8.0270897639629588</v>
      </c>
      <c r="T16">
        <v>6.6400416739017087</v>
      </c>
      <c r="U16">
        <v>5.4815808005471478</v>
      </c>
    </row>
    <row r="17" spans="1:21" x14ac:dyDescent="0.35">
      <c r="A17">
        <v>2013</v>
      </c>
      <c r="B17" s="1">
        <v>41639</v>
      </c>
      <c r="C17">
        <f>5</f>
        <v>5</v>
      </c>
      <c r="D17">
        <f>3.2</f>
        <v>3.2</v>
      </c>
      <c r="E17">
        <f>3.32</f>
        <v>3.32</v>
      </c>
      <c r="F17">
        <f>3.2755</f>
        <v>3.2755000000000001</v>
      </c>
      <c r="G17">
        <f>3</f>
        <v>3</v>
      </c>
      <c r="H17">
        <f>1866.96</f>
        <v>1866.96</v>
      </c>
      <c r="I17">
        <f>12853.63</f>
        <v>12853.63</v>
      </c>
      <c r="J17">
        <f>5.1</f>
        <v>5.0999999999999996</v>
      </c>
      <c r="K17">
        <f>6.9</f>
        <v>6.9</v>
      </c>
      <c r="L17">
        <f>6.1</f>
        <v>6.1</v>
      </c>
      <c r="M17">
        <f>13.6</f>
        <v>13.6</v>
      </c>
      <c r="N17">
        <f>3</f>
        <v>3</v>
      </c>
      <c r="O17">
        <f>1201.64</f>
        <v>1201.6400000000001</v>
      </c>
      <c r="P17">
        <f>82.4</f>
        <v>82.4</v>
      </c>
      <c r="Q17">
        <f>97.8</f>
        <v>97.8</v>
      </c>
      <c r="R17">
        <v>110.8</v>
      </c>
      <c r="S17">
        <v>7.5844454158202845</v>
      </c>
      <c r="T17">
        <v>5.4397487150199986</v>
      </c>
      <c r="U17">
        <v>2.9495024696621908</v>
      </c>
    </row>
    <row r="18" spans="1:21" x14ac:dyDescent="0.35">
      <c r="A18">
        <v>2014</v>
      </c>
      <c r="B18" s="1">
        <v>41729</v>
      </c>
      <c r="C18">
        <f>6.3</f>
        <v>6.3</v>
      </c>
      <c r="D18">
        <f>3.5</f>
        <v>3.5</v>
      </c>
      <c r="E18">
        <f>3.33</f>
        <v>3.33</v>
      </c>
      <c r="F18">
        <f>3.2655</f>
        <v>3.2654999999999998</v>
      </c>
      <c r="G18">
        <f>3</f>
        <v>3</v>
      </c>
      <c r="H18">
        <f>1849.21</f>
        <v>1849.21</v>
      </c>
      <c r="I18">
        <f>12797.64</f>
        <v>12797.64</v>
      </c>
      <c r="J18">
        <f>7.8</f>
        <v>7.8</v>
      </c>
      <c r="K18">
        <f>7.5</f>
        <v>7.5</v>
      </c>
      <c r="L18">
        <f>6.7</f>
        <v>6.7</v>
      </c>
      <c r="M18">
        <f>14.8</f>
        <v>14.8</v>
      </c>
      <c r="N18">
        <f>3</f>
        <v>3</v>
      </c>
      <c r="O18">
        <f>1284.01</f>
        <v>1284.01</v>
      </c>
      <c r="P18">
        <f>96.8</f>
        <v>96.8</v>
      </c>
      <c r="Q18">
        <f>98.2</f>
        <v>98.2</v>
      </c>
      <c r="R18">
        <v>107.76</v>
      </c>
      <c r="S18">
        <v>6.9474172834412151</v>
      </c>
      <c r="T18">
        <v>11.951443670062044</v>
      </c>
      <c r="U18">
        <v>4.7175979985097261</v>
      </c>
    </row>
    <row r="19" spans="1:21" x14ac:dyDescent="0.35">
      <c r="A19">
        <v>2014</v>
      </c>
      <c r="B19" s="1">
        <v>41820</v>
      </c>
      <c r="C19">
        <f>6.5</f>
        <v>6.5</v>
      </c>
      <c r="D19">
        <f>3.3</f>
        <v>3.3</v>
      </c>
      <c r="E19">
        <f>3.55</f>
        <v>3.55</v>
      </c>
      <c r="F19">
        <f>3.211</f>
        <v>3.2109999999999999</v>
      </c>
      <c r="G19">
        <f>2.8</f>
        <v>2.8</v>
      </c>
      <c r="H19">
        <f>1882.71</f>
        <v>1882.71</v>
      </c>
      <c r="I19">
        <f>13049.79</f>
        <v>13049.79</v>
      </c>
      <c r="J19">
        <f>8.6</f>
        <v>8.6</v>
      </c>
      <c r="K19">
        <f>4.4</f>
        <v>4.4000000000000004</v>
      </c>
      <c r="L19">
        <f>6.9</f>
        <v>6.9</v>
      </c>
      <c r="M19">
        <f>17.6</f>
        <v>17.600000000000001</v>
      </c>
      <c r="N19">
        <f>3</f>
        <v>3</v>
      </c>
      <c r="O19">
        <f>1327.33</f>
        <v>1327.33</v>
      </c>
      <c r="P19">
        <f>100.1</f>
        <v>100.1</v>
      </c>
      <c r="Q19">
        <f>98.9</f>
        <v>98.9</v>
      </c>
      <c r="R19">
        <v>112.36</v>
      </c>
      <c r="S19">
        <v>6.5169935518538447</v>
      </c>
      <c r="T19">
        <v>-0.14107148715593043</v>
      </c>
      <c r="U19">
        <v>5.8995429371448083</v>
      </c>
    </row>
    <row r="20" spans="1:21" x14ac:dyDescent="0.35">
      <c r="A20">
        <v>2014</v>
      </c>
      <c r="B20" s="1">
        <v>41912</v>
      </c>
      <c r="C20">
        <f>5.6</f>
        <v>5.6</v>
      </c>
      <c r="D20">
        <f>2.6</f>
        <v>2.6</v>
      </c>
      <c r="E20">
        <f>3.74</f>
        <v>3.74</v>
      </c>
      <c r="F20">
        <f>3.2805</f>
        <v>3.2805</v>
      </c>
      <c r="G20">
        <f>2.7</f>
        <v>2.7</v>
      </c>
      <c r="H20">
        <f>1846.31</f>
        <v>1846.31</v>
      </c>
      <c r="I20">
        <f>12924.67</f>
        <v>12924.67</v>
      </c>
      <c r="J20">
        <f>2.6</f>
        <v>2.6</v>
      </c>
      <c r="K20">
        <f>2.1</f>
        <v>2.1</v>
      </c>
      <c r="L20">
        <f>1.3</f>
        <v>1.3</v>
      </c>
      <c r="M20">
        <f>25.3</f>
        <v>25.3</v>
      </c>
      <c r="N20">
        <f t="shared" ref="N20:N27" si="0">3.3</f>
        <v>3.3</v>
      </c>
      <c r="O20">
        <f>1208.15</f>
        <v>1208.1500000000001</v>
      </c>
      <c r="P20">
        <f>98</f>
        <v>98</v>
      </c>
      <c r="Q20">
        <f>100.4</f>
        <v>100.4</v>
      </c>
      <c r="R20">
        <v>94.67</v>
      </c>
      <c r="S20">
        <v>6.8006253802727956</v>
      </c>
      <c r="T20">
        <v>5.0998143745725644</v>
      </c>
      <c r="U20">
        <v>4.2131817743692013</v>
      </c>
    </row>
    <row r="21" spans="1:21" x14ac:dyDescent="0.35">
      <c r="A21">
        <v>2014</v>
      </c>
      <c r="B21" s="1">
        <v>42004</v>
      </c>
      <c r="C21">
        <f>5.7</f>
        <v>5.7</v>
      </c>
      <c r="D21">
        <f>2.7</f>
        <v>2.7</v>
      </c>
      <c r="E21">
        <f>3.86</f>
        <v>3.86</v>
      </c>
      <c r="F21">
        <f>3.4965</f>
        <v>3.4965000000000002</v>
      </c>
      <c r="G21">
        <f>3</f>
        <v>3</v>
      </c>
      <c r="H21">
        <f>1761.25</f>
        <v>1761.25</v>
      </c>
      <c r="I21">
        <f>12066.28</f>
        <v>12066.28</v>
      </c>
      <c r="J21">
        <f>1.6</f>
        <v>1.6</v>
      </c>
      <c r="K21">
        <f>2.3</f>
        <v>2.2999999999999998</v>
      </c>
      <c r="L21">
        <f>4.3</f>
        <v>4.3</v>
      </c>
      <c r="M21">
        <f>14.7</f>
        <v>14.7</v>
      </c>
      <c r="N21">
        <f t="shared" si="0"/>
        <v>3.3</v>
      </c>
      <c r="O21">
        <f>1184.37</f>
        <v>1184.3699999999999</v>
      </c>
      <c r="P21">
        <f>83</f>
        <v>83</v>
      </c>
      <c r="Q21">
        <f>101</f>
        <v>101</v>
      </c>
      <c r="R21">
        <v>57.33</v>
      </c>
      <c r="S21">
        <v>7.6209748091967899</v>
      </c>
      <c r="T21">
        <v>2.4734822839088233</v>
      </c>
      <c r="U21">
        <v>5.8758787017487935</v>
      </c>
    </row>
    <row r="22" spans="1:21" x14ac:dyDescent="0.35">
      <c r="A22">
        <v>2015</v>
      </c>
      <c r="B22" s="1">
        <v>42094</v>
      </c>
      <c r="C22">
        <f>5.9</f>
        <v>5.9</v>
      </c>
      <c r="D22">
        <f>0.9</f>
        <v>0.9</v>
      </c>
      <c r="E22">
        <f>3.73</f>
        <v>3.73</v>
      </c>
      <c r="F22">
        <f>3.7035</f>
        <v>3.7035</v>
      </c>
      <c r="G22">
        <f>3</f>
        <v>3</v>
      </c>
      <c r="H22">
        <f>1830.78</f>
        <v>1830.78</v>
      </c>
      <c r="I22">
        <f>12563.38</f>
        <v>12563.38</v>
      </c>
      <c r="J22">
        <f>-1.7</f>
        <v>-1.7</v>
      </c>
      <c r="K22">
        <f>-0.2</f>
        <v>-0.2</v>
      </c>
      <c r="L22">
        <f>7.8</f>
        <v>7.8</v>
      </c>
      <c r="M22">
        <f>22.5</f>
        <v>22.5</v>
      </c>
      <c r="N22">
        <f t="shared" si="0"/>
        <v>3.3</v>
      </c>
      <c r="O22">
        <f>1183.57</f>
        <v>1183.57</v>
      </c>
      <c r="P22">
        <f>72.6</f>
        <v>72.599999999999994</v>
      </c>
      <c r="Q22">
        <f>101.1</f>
        <v>101.1</v>
      </c>
      <c r="R22">
        <v>55.11</v>
      </c>
      <c r="S22">
        <v>8.884923601231387</v>
      </c>
      <c r="T22">
        <v>4.3680519924747641</v>
      </c>
      <c r="U22">
        <v>6.8795794753786943</v>
      </c>
    </row>
    <row r="23" spans="1:21" x14ac:dyDescent="0.35">
      <c r="A23">
        <v>2015</v>
      </c>
      <c r="B23" s="1">
        <v>42185</v>
      </c>
      <c r="C23">
        <f>5</f>
        <v>5</v>
      </c>
      <c r="D23">
        <f>2.5</f>
        <v>2.5</v>
      </c>
      <c r="E23">
        <f>3.69</f>
        <v>3.69</v>
      </c>
      <c r="F23">
        <f>3.773</f>
        <v>3.7730000000000001</v>
      </c>
      <c r="G23">
        <f>3.1</f>
        <v>3.1</v>
      </c>
      <c r="H23">
        <f>1706.64</f>
        <v>1706.64</v>
      </c>
      <c r="I23">
        <f>11771.94</f>
        <v>11771.94</v>
      </c>
      <c r="J23">
        <f>-4.3</f>
        <v>-4.3</v>
      </c>
      <c r="K23">
        <f>-3.3</f>
        <v>-3.3</v>
      </c>
      <c r="L23">
        <f>0.3</f>
        <v>0.3</v>
      </c>
      <c r="M23">
        <f>21.1</f>
        <v>21.1</v>
      </c>
      <c r="N23">
        <f t="shared" si="0"/>
        <v>3.3</v>
      </c>
      <c r="O23">
        <f>1172.35</f>
        <v>1172.3499999999999</v>
      </c>
      <c r="P23">
        <f>71.7</f>
        <v>71.7</v>
      </c>
      <c r="Q23">
        <f>99.8</f>
        <v>99.8</v>
      </c>
      <c r="R23">
        <v>63.59</v>
      </c>
      <c r="S23">
        <v>6.4477480175933577</v>
      </c>
      <c r="T23">
        <v>7.0898219331099188</v>
      </c>
      <c r="U23">
        <v>4.3581326937337517</v>
      </c>
    </row>
    <row r="24" spans="1:21" x14ac:dyDescent="0.35">
      <c r="A24">
        <v>2015</v>
      </c>
      <c r="B24" s="1">
        <v>42277</v>
      </c>
      <c r="C24">
        <f>4.8</f>
        <v>4.8</v>
      </c>
      <c r="D24">
        <f>2.6</f>
        <v>2.6</v>
      </c>
      <c r="E24">
        <f>3.74</f>
        <v>3.74</v>
      </c>
      <c r="F24">
        <f>4.3955</f>
        <v>4.3955000000000002</v>
      </c>
      <c r="G24">
        <f>3.2</f>
        <v>3.2</v>
      </c>
      <c r="H24">
        <f>1621.04</f>
        <v>1621.04</v>
      </c>
      <c r="I24">
        <f>11201.63</f>
        <v>11201.63</v>
      </c>
      <c r="J24">
        <f>3.2</f>
        <v>3.2</v>
      </c>
      <c r="K24">
        <f>2.9</f>
        <v>2.9</v>
      </c>
      <c r="L24">
        <f>4.1</f>
        <v>4.0999999999999996</v>
      </c>
      <c r="M24">
        <f>26.5</f>
        <v>26.5</v>
      </c>
      <c r="N24">
        <f t="shared" si="0"/>
        <v>3.3</v>
      </c>
      <c r="O24">
        <f>1115.09</f>
        <v>1115.0899999999999</v>
      </c>
      <c r="P24">
        <f>70.2</f>
        <v>70.2</v>
      </c>
      <c r="Q24">
        <f>100</f>
        <v>100</v>
      </c>
      <c r="R24">
        <v>48.37</v>
      </c>
      <c r="S24">
        <v>4.1472261684130096</v>
      </c>
      <c r="T24">
        <v>3.7244755678121022</v>
      </c>
      <c r="U24">
        <v>4.6055917167041605</v>
      </c>
    </row>
    <row r="25" spans="1:21" x14ac:dyDescent="0.35">
      <c r="A25">
        <v>2015</v>
      </c>
      <c r="B25" s="1">
        <v>42369</v>
      </c>
      <c r="C25">
        <f>4.7</f>
        <v>4.7</v>
      </c>
      <c r="D25">
        <f>2.7</f>
        <v>2.7</v>
      </c>
      <c r="E25">
        <f>3.84</f>
        <v>3.84</v>
      </c>
      <c r="F25">
        <f>4.2925</f>
        <v>4.2925000000000004</v>
      </c>
      <c r="G25">
        <f>3.4</f>
        <v>3.4</v>
      </c>
      <c r="H25">
        <f>1692.51</f>
        <v>1692.51</v>
      </c>
      <c r="I25">
        <f>11793.65</f>
        <v>11793.65</v>
      </c>
      <c r="J25">
        <f>3.8</f>
        <v>3.8</v>
      </c>
      <c r="K25">
        <f>3.7</f>
        <v>3.7</v>
      </c>
      <c r="L25">
        <f>2.6</f>
        <v>2.6</v>
      </c>
      <c r="M25">
        <f>20.4</f>
        <v>20.399999999999999</v>
      </c>
      <c r="N25">
        <f t="shared" si="0"/>
        <v>3.3</v>
      </c>
      <c r="O25">
        <f>1061.1</f>
        <v>1061.0999999999999</v>
      </c>
      <c r="P25">
        <f>63.8</f>
        <v>63.8</v>
      </c>
      <c r="Q25">
        <f>99.8</f>
        <v>99.8</v>
      </c>
      <c r="R25">
        <v>37.28</v>
      </c>
      <c r="S25">
        <v>4.8931067156224195</v>
      </c>
      <c r="T25">
        <v>3.4973351539444142</v>
      </c>
      <c r="U25">
        <v>3.1428169767552916</v>
      </c>
    </row>
    <row r="26" spans="1:21" x14ac:dyDescent="0.35">
      <c r="A26">
        <v>2016</v>
      </c>
      <c r="B26" s="1">
        <v>42460</v>
      </c>
      <c r="C26">
        <f>4.3</f>
        <v>4.3</v>
      </c>
      <c r="D26">
        <f>2.6</f>
        <v>2.6</v>
      </c>
      <c r="E26">
        <f>3.71</f>
        <v>3.71</v>
      </c>
      <c r="F26">
        <f>3.8995</f>
        <v>3.8995000000000002</v>
      </c>
      <c r="G26">
        <f>3.5</f>
        <v>3.5</v>
      </c>
      <c r="H26">
        <f>1717.58</f>
        <v>1717.58</v>
      </c>
      <c r="I26">
        <f>11920.78</f>
        <v>11920.78</v>
      </c>
      <c r="J26">
        <f>1</f>
        <v>1</v>
      </c>
      <c r="K26">
        <f>2.4</f>
        <v>2.4</v>
      </c>
      <c r="L26">
        <f>0.1</f>
        <v>0.1</v>
      </c>
      <c r="M26">
        <f>22.4</f>
        <v>22.4</v>
      </c>
      <c r="N26">
        <f t="shared" si="0"/>
        <v>3.3</v>
      </c>
      <c r="O26">
        <f>1232.75</f>
        <v>1232.75</v>
      </c>
      <c r="P26">
        <f>72.9</f>
        <v>72.900000000000006</v>
      </c>
      <c r="Q26">
        <f>99</f>
        <v>99</v>
      </c>
      <c r="R26">
        <v>39.6</v>
      </c>
      <c r="S26">
        <v>5.0665948936730931</v>
      </c>
      <c r="T26">
        <v>2.7713007558684666</v>
      </c>
      <c r="U26">
        <v>3.3121088546617106</v>
      </c>
    </row>
    <row r="27" spans="1:21" x14ac:dyDescent="0.35">
      <c r="A27">
        <v>2016</v>
      </c>
      <c r="B27" s="1">
        <v>42551</v>
      </c>
      <c r="C27">
        <f>4.2</f>
        <v>4.2</v>
      </c>
      <c r="D27">
        <f>1.6</f>
        <v>1.6</v>
      </c>
      <c r="E27">
        <f>3.65</f>
        <v>3.65</v>
      </c>
      <c r="F27">
        <f>4.0315</f>
        <v>4.0315000000000003</v>
      </c>
      <c r="G27">
        <f>3.4</f>
        <v>3.4</v>
      </c>
      <c r="H27">
        <f>1654.08</f>
        <v>1654.08</v>
      </c>
      <c r="I27">
        <f>11530.21</f>
        <v>11530.21</v>
      </c>
      <c r="J27">
        <f>2.1</f>
        <v>2.1</v>
      </c>
      <c r="K27">
        <f>2.8</f>
        <v>2.8</v>
      </c>
      <c r="L27">
        <f>6.1</f>
        <v>6.1</v>
      </c>
      <c r="M27">
        <f>17.4</f>
        <v>17.399999999999999</v>
      </c>
      <c r="N27">
        <f t="shared" si="0"/>
        <v>3.3</v>
      </c>
      <c r="O27">
        <f>1321.9</f>
        <v>1321.9</v>
      </c>
      <c r="P27">
        <f>78.5</f>
        <v>78.5</v>
      </c>
      <c r="Q27">
        <f>99.5</f>
        <v>99.5</v>
      </c>
      <c r="R27">
        <v>49.68</v>
      </c>
      <c r="S27">
        <v>6.1383580908601187</v>
      </c>
      <c r="T27">
        <v>5.5741513379082619</v>
      </c>
      <c r="U27">
        <v>3.6977502729275802</v>
      </c>
    </row>
    <row r="28" spans="1:21" x14ac:dyDescent="0.35">
      <c r="A28">
        <v>2016</v>
      </c>
      <c r="B28" s="1">
        <v>42643</v>
      </c>
      <c r="C28">
        <f>4.5</f>
        <v>4.5</v>
      </c>
      <c r="D28">
        <f>1.5</f>
        <v>1.5</v>
      </c>
      <c r="E28">
        <f>3.4</f>
        <v>3.4</v>
      </c>
      <c r="F28">
        <f>4.1357</f>
        <v>4.1356999999999999</v>
      </c>
      <c r="G28">
        <f>3.5</f>
        <v>3.5</v>
      </c>
      <c r="H28">
        <f>1652.55</f>
        <v>1652.55</v>
      </c>
      <c r="I28">
        <f>11687.58</f>
        <v>11687.58</v>
      </c>
      <c r="J28">
        <f>-0.2</f>
        <v>-0.2</v>
      </c>
      <c r="K28">
        <f>-1.4</f>
        <v>-1.4</v>
      </c>
      <c r="L28">
        <f>1.9</f>
        <v>1.9</v>
      </c>
      <c r="M28">
        <f>30.8</f>
        <v>30.8</v>
      </c>
      <c r="N28">
        <f>3</f>
        <v>3</v>
      </c>
      <c r="O28">
        <f>1315.87</f>
        <v>1315.87</v>
      </c>
      <c r="P28">
        <f>73.6</f>
        <v>73.599999999999994</v>
      </c>
      <c r="Q28">
        <f>99.3</f>
        <v>99.3</v>
      </c>
      <c r="R28">
        <v>49.06</v>
      </c>
      <c r="S28">
        <v>6.1587247849444804</v>
      </c>
      <c r="T28">
        <v>2.250184983389425</v>
      </c>
      <c r="U28">
        <v>3.9396705669127341</v>
      </c>
    </row>
    <row r="29" spans="1:21" x14ac:dyDescent="0.35">
      <c r="A29">
        <v>2016</v>
      </c>
      <c r="B29" s="1">
        <v>42735</v>
      </c>
      <c r="C29">
        <f>4.8</f>
        <v>4.8</v>
      </c>
      <c r="D29">
        <f>1.7</f>
        <v>1.7</v>
      </c>
      <c r="E29">
        <f>3.41</f>
        <v>3.41</v>
      </c>
      <c r="F29">
        <f>4.4862</f>
        <v>4.4862000000000002</v>
      </c>
      <c r="G29">
        <f>3.5</f>
        <v>3.5</v>
      </c>
      <c r="H29">
        <f>1641.73</f>
        <v>1641.73</v>
      </c>
      <c r="I29">
        <f>11466.54</f>
        <v>11466.54</v>
      </c>
      <c r="J29">
        <f>2.4</f>
        <v>2.4</v>
      </c>
      <c r="K29">
        <f>2.1</f>
        <v>2.1</v>
      </c>
      <c r="L29">
        <f>2.1</f>
        <v>2.1</v>
      </c>
      <c r="M29">
        <f>19.5</f>
        <v>19.5</v>
      </c>
      <c r="N29">
        <f>3</f>
        <v>3</v>
      </c>
      <c r="O29">
        <f>1147.5</f>
        <v>1147.5</v>
      </c>
      <c r="P29">
        <f>69.8</f>
        <v>69.8</v>
      </c>
      <c r="Q29">
        <f>99.5</f>
        <v>99.5</v>
      </c>
      <c r="R29">
        <v>56.82</v>
      </c>
      <c r="S29">
        <v>6.0155216987227256</v>
      </c>
      <c r="T29">
        <v>-4.0579836463746854</v>
      </c>
      <c r="U29">
        <v>5.4607497440730679</v>
      </c>
    </row>
    <row r="30" spans="1:21" x14ac:dyDescent="0.35">
      <c r="A30">
        <v>2017</v>
      </c>
      <c r="B30" s="1">
        <v>42825</v>
      </c>
      <c r="C30">
        <f>5.6</f>
        <v>5.6</v>
      </c>
      <c r="D30">
        <f>4.9</f>
        <v>4.9000000000000004</v>
      </c>
      <c r="E30">
        <f>3.43</f>
        <v>3.43</v>
      </c>
      <c r="F30">
        <f>4.4255</f>
        <v>4.4255000000000004</v>
      </c>
      <c r="G30">
        <f>3.4</f>
        <v>3.4</v>
      </c>
      <c r="H30">
        <f>1740.09</f>
        <v>1740.09</v>
      </c>
      <c r="I30">
        <f>12361.69</f>
        <v>12361.69</v>
      </c>
      <c r="J30">
        <f>9.9</f>
        <v>9.9</v>
      </c>
      <c r="K30">
        <f>13</f>
        <v>13</v>
      </c>
      <c r="L30">
        <f>9.5</f>
        <v>9.5</v>
      </c>
      <c r="M30">
        <f>13.8</f>
        <v>13.8</v>
      </c>
      <c r="N30">
        <f>3</f>
        <v>3</v>
      </c>
      <c r="O30">
        <f>1249.2</f>
        <v>1249.2</v>
      </c>
      <c r="P30">
        <f>76.6</f>
        <v>76.599999999999994</v>
      </c>
      <c r="Q30">
        <f>100.9</f>
        <v>100.9</v>
      </c>
      <c r="R30">
        <v>52.83</v>
      </c>
      <c r="S30">
        <v>6.5918662693093655</v>
      </c>
      <c r="T30">
        <v>7.7499194441885244</v>
      </c>
      <c r="U30">
        <v>4.4853932880683178</v>
      </c>
    </row>
    <row r="31" spans="1:21" x14ac:dyDescent="0.35">
      <c r="A31">
        <v>2017</v>
      </c>
      <c r="B31" s="1">
        <v>42916</v>
      </c>
      <c r="C31">
        <f>5.7</f>
        <v>5.7</v>
      </c>
      <c r="D31">
        <f>3.4</f>
        <v>3.4</v>
      </c>
      <c r="E31">
        <f>3.43</f>
        <v>3.43</v>
      </c>
      <c r="F31">
        <f>4.2933</f>
        <v>4.2933000000000003</v>
      </c>
      <c r="G31">
        <f>3.4</f>
        <v>3.4</v>
      </c>
      <c r="H31">
        <f>1763.67</f>
        <v>1763.67</v>
      </c>
      <c r="I31">
        <f>12598.94</f>
        <v>12598.94</v>
      </c>
      <c r="J31">
        <f>9.3</f>
        <v>9.3000000000000007</v>
      </c>
      <c r="K31">
        <f>9.6</f>
        <v>9.6</v>
      </c>
      <c r="L31">
        <f>3.9</f>
        <v>3.9</v>
      </c>
      <c r="M31">
        <f>9.6</f>
        <v>9.6</v>
      </c>
      <c r="N31">
        <f>3</f>
        <v>3</v>
      </c>
      <c r="O31">
        <f>1241.61</f>
        <v>1241.6099999999999</v>
      </c>
      <c r="P31">
        <f>80.7</f>
        <v>80.7</v>
      </c>
      <c r="Q31">
        <f>100.2</f>
        <v>100.2</v>
      </c>
      <c r="R31">
        <v>47.92</v>
      </c>
      <c r="S31">
        <v>6.9799276128784671</v>
      </c>
      <c r="T31">
        <v>3.5078656553398035</v>
      </c>
      <c r="U31">
        <v>3.7477071330767053</v>
      </c>
    </row>
    <row r="32" spans="1:21" x14ac:dyDescent="0.35">
      <c r="A32">
        <v>2017</v>
      </c>
      <c r="B32" s="1">
        <v>43008</v>
      </c>
      <c r="C32">
        <f>6.1</f>
        <v>6.1</v>
      </c>
      <c r="D32">
        <f>4.2</f>
        <v>4.2</v>
      </c>
      <c r="E32">
        <f>3.43</f>
        <v>3.43</v>
      </c>
      <c r="F32">
        <f>4.2205</f>
        <v>4.2205000000000004</v>
      </c>
      <c r="G32">
        <f>3.4</f>
        <v>3.4</v>
      </c>
      <c r="H32">
        <f>1755.58</f>
        <v>1755.58</v>
      </c>
      <c r="I32">
        <f>12531.29</f>
        <v>12531.29</v>
      </c>
      <c r="J32">
        <f>10.6</f>
        <v>10.6</v>
      </c>
      <c r="K32">
        <f>12.2</f>
        <v>12.2</v>
      </c>
      <c r="L32">
        <f>6.6</f>
        <v>6.6</v>
      </c>
      <c r="M32">
        <f>15.5</f>
        <v>15.5</v>
      </c>
      <c r="N32">
        <f>3</f>
        <v>3</v>
      </c>
      <c r="O32">
        <f>1279.75</f>
        <v>1279.75</v>
      </c>
      <c r="P32">
        <f>77.1</f>
        <v>77.099999999999994</v>
      </c>
      <c r="Q32">
        <f>102.1</f>
        <v>102.1</v>
      </c>
      <c r="R32">
        <v>57.54</v>
      </c>
      <c r="S32">
        <v>7.1280834848273411</v>
      </c>
      <c r="T32">
        <v>4.1910345824184292</v>
      </c>
      <c r="U32">
        <v>5.8017097414232444</v>
      </c>
    </row>
    <row r="33" spans="1:21" x14ac:dyDescent="0.35">
      <c r="A33">
        <v>2017</v>
      </c>
      <c r="B33" s="1">
        <v>43100</v>
      </c>
      <c r="C33">
        <f>5.8</f>
        <v>5.8</v>
      </c>
      <c r="D33">
        <f>3.5</f>
        <v>3.5</v>
      </c>
      <c r="E33">
        <f>3.44</f>
        <v>3.44</v>
      </c>
      <c r="F33">
        <f>4.0465</f>
        <v>4.0465</v>
      </c>
      <c r="G33">
        <f>3.3</f>
        <v>3.3</v>
      </c>
      <c r="H33">
        <f>1796.81</f>
        <v>1796.81</v>
      </c>
      <c r="I33">
        <f>12942.57</f>
        <v>12942.57</v>
      </c>
      <c r="J33">
        <f>5.1</f>
        <v>5.0999999999999996</v>
      </c>
      <c r="K33">
        <f>6.2</f>
        <v>6.2</v>
      </c>
      <c r="L33">
        <f>4.4</f>
        <v>4.4000000000000004</v>
      </c>
      <c r="M33">
        <f>12.1</f>
        <v>12.1</v>
      </c>
      <c r="N33">
        <f>3</f>
        <v>3</v>
      </c>
      <c r="O33">
        <f>1302.8</f>
        <v>1302.8</v>
      </c>
      <c r="P33">
        <f>82.6</f>
        <v>82.6</v>
      </c>
      <c r="Q33">
        <f>101.4</f>
        <v>101.4</v>
      </c>
      <c r="R33">
        <v>66.87</v>
      </c>
      <c r="S33">
        <v>6.9159531582834166</v>
      </c>
      <c r="T33">
        <v>6.9659165722519845</v>
      </c>
      <c r="U33">
        <v>3.7783352028301298</v>
      </c>
    </row>
    <row r="34" spans="1:21" x14ac:dyDescent="0.35">
      <c r="A34">
        <v>2018</v>
      </c>
      <c r="B34" s="1">
        <v>43190</v>
      </c>
      <c r="C34">
        <f>5.3</f>
        <v>5.3</v>
      </c>
      <c r="D34">
        <f>1.3</f>
        <v>1.3</v>
      </c>
      <c r="E34">
        <f>3.69</f>
        <v>3.69</v>
      </c>
      <c r="F34">
        <f>3.8635</f>
        <v>3.8635000000000002</v>
      </c>
      <c r="G34">
        <f>3.3</f>
        <v>3.3</v>
      </c>
      <c r="H34">
        <f>1863.46</f>
        <v>1863.46</v>
      </c>
      <c r="I34">
        <f>13045.59</f>
        <v>13045.59</v>
      </c>
      <c r="J34">
        <f>2.3</f>
        <v>2.2999999999999998</v>
      </c>
      <c r="K34">
        <f>-2</f>
        <v>-2</v>
      </c>
      <c r="L34">
        <f>0.2</f>
        <v>0.2</v>
      </c>
      <c r="M34">
        <f>12.8</f>
        <v>12.8</v>
      </c>
      <c r="N34">
        <f>3.3</f>
        <v>3.3</v>
      </c>
      <c r="O34">
        <f>1325.48</f>
        <v>1325.48</v>
      </c>
      <c r="P34">
        <f>91</f>
        <v>91</v>
      </c>
      <c r="Q34">
        <f>102.2</f>
        <v>102.2</v>
      </c>
      <c r="R34">
        <v>70.27</v>
      </c>
      <c r="S34">
        <v>6.5711458787746757</v>
      </c>
      <c r="T34">
        <v>0.42470292536094245</v>
      </c>
      <c r="U34">
        <v>3.2816479566234014</v>
      </c>
    </row>
    <row r="35" spans="1:21" x14ac:dyDescent="0.35">
      <c r="A35">
        <v>2018</v>
      </c>
      <c r="B35" s="1">
        <v>43281</v>
      </c>
      <c r="C35">
        <f>4.8</f>
        <v>4.8</v>
      </c>
      <c r="D35">
        <f>0.8</f>
        <v>0.8</v>
      </c>
      <c r="E35">
        <f>3.69</f>
        <v>3.69</v>
      </c>
      <c r="F35">
        <f>4.0385</f>
        <v>4.0385</v>
      </c>
      <c r="G35">
        <f>3.4</f>
        <v>3.4</v>
      </c>
      <c r="H35">
        <f>1691.5</f>
        <v>1691.5</v>
      </c>
      <c r="I35">
        <f>11960.93</f>
        <v>11960.93</v>
      </c>
      <c r="J35">
        <f>2</f>
        <v>2</v>
      </c>
      <c r="K35">
        <f>3.7</f>
        <v>3.7</v>
      </c>
      <c r="L35">
        <f>1.7</f>
        <v>1.7</v>
      </c>
      <c r="M35">
        <f>12.4</f>
        <v>12.4</v>
      </c>
      <c r="N35">
        <f>3.3</f>
        <v>3.3</v>
      </c>
      <c r="O35">
        <f>1252.6</f>
        <v>1252.5999999999999</v>
      </c>
      <c r="P35">
        <f>132.9</f>
        <v>132.9</v>
      </c>
      <c r="Q35">
        <f>100.8</f>
        <v>100.8</v>
      </c>
      <c r="R35">
        <v>79.44</v>
      </c>
      <c r="S35">
        <v>7.954914276553926</v>
      </c>
      <c r="T35">
        <v>3.243652477758352</v>
      </c>
      <c r="U35">
        <v>3.4252523648995448</v>
      </c>
    </row>
    <row r="36" spans="1:21" x14ac:dyDescent="0.35">
      <c r="A36">
        <v>2018</v>
      </c>
      <c r="B36" s="1">
        <v>43373</v>
      </c>
      <c r="C36">
        <f>4.5</f>
        <v>4.5</v>
      </c>
      <c r="D36">
        <f>0.3</f>
        <v>0.3</v>
      </c>
      <c r="E36">
        <f>3.69</f>
        <v>3.69</v>
      </c>
      <c r="F36">
        <f>4.1383</f>
        <v>4.1383000000000001</v>
      </c>
      <c r="G36">
        <f>3.3</f>
        <v>3.3</v>
      </c>
      <c r="H36">
        <f>1793.15</f>
        <v>1793.15</v>
      </c>
      <c r="I36">
        <f>12533.22</f>
        <v>12533.22</v>
      </c>
      <c r="J36">
        <f>0.5</f>
        <v>0.5</v>
      </c>
      <c r="K36">
        <f>2.3</f>
        <v>2.2999999999999998</v>
      </c>
      <c r="L36">
        <f>2.8</f>
        <v>2.8</v>
      </c>
      <c r="M36">
        <f>11.4</f>
        <v>11.4</v>
      </c>
      <c r="N36">
        <f>3.3</f>
        <v>3.3</v>
      </c>
      <c r="O36">
        <f>1190.88</f>
        <v>1190.8800000000001</v>
      </c>
      <c r="P36">
        <f>107.5</f>
        <v>107.5</v>
      </c>
      <c r="Q36">
        <f>100</f>
        <v>100</v>
      </c>
      <c r="R36">
        <v>82.72</v>
      </c>
      <c r="S36">
        <v>8.8951677833078122</v>
      </c>
      <c r="T36">
        <v>5.2487490683703397</v>
      </c>
      <c r="U36">
        <v>2.3597524214046928</v>
      </c>
    </row>
    <row r="37" spans="1:21" x14ac:dyDescent="0.35">
      <c r="A37">
        <v>2018</v>
      </c>
      <c r="B37" s="1">
        <v>43465</v>
      </c>
      <c r="C37">
        <f>4.8</f>
        <v>4.8</v>
      </c>
      <c r="D37">
        <f>0.2</f>
        <v>0.2</v>
      </c>
      <c r="E37">
        <f>3.69</f>
        <v>3.69</v>
      </c>
      <c r="F37">
        <f>4.1335</f>
        <v>4.1334999999999997</v>
      </c>
      <c r="G37">
        <f>3.3</f>
        <v>3.3</v>
      </c>
      <c r="H37">
        <f>1690.58</f>
        <v>1690.58</v>
      </c>
      <c r="I37">
        <f>11527.51</f>
        <v>11527.51</v>
      </c>
      <c r="J37">
        <f>2.9</f>
        <v>2.9</v>
      </c>
      <c r="K37">
        <f>2</f>
        <v>2</v>
      </c>
      <c r="L37">
        <f>0.6</f>
        <v>0.6</v>
      </c>
      <c r="M37">
        <f>10.1</f>
        <v>10.1</v>
      </c>
      <c r="N37">
        <f>3.3</f>
        <v>3.3</v>
      </c>
      <c r="O37">
        <f>1282.49</f>
        <v>1282.49</v>
      </c>
      <c r="P37">
        <f>96.8</f>
        <v>96.8</v>
      </c>
      <c r="Q37">
        <f>99.3</f>
        <v>99.3</v>
      </c>
      <c r="R37">
        <v>53.8</v>
      </c>
      <c r="S37">
        <v>8.4012231617442978</v>
      </c>
      <c r="T37">
        <v>4.2108925236052697</v>
      </c>
      <c r="U37">
        <v>3.2835563843465421</v>
      </c>
    </row>
    <row r="38" spans="1:21" x14ac:dyDescent="0.35">
      <c r="A38">
        <v>2019</v>
      </c>
      <c r="B38" s="1">
        <v>43555</v>
      </c>
      <c r="C38">
        <f>4.7</f>
        <v>4.7</v>
      </c>
      <c r="D38">
        <f>0.2</f>
        <v>0.2</v>
      </c>
      <c r="E38">
        <f>3.69</f>
        <v>3.69</v>
      </c>
      <c r="F38">
        <f>4.082</f>
        <v>4.0819999999999999</v>
      </c>
      <c r="G38">
        <f>3.4</f>
        <v>3.4</v>
      </c>
      <c r="H38">
        <f>1643.63</f>
        <v>1643.63</v>
      </c>
      <c r="I38">
        <f>11553.84</f>
        <v>11553.84</v>
      </c>
      <c r="J38">
        <f>0.3</f>
        <v>0.3</v>
      </c>
      <c r="K38">
        <f>-1.6</f>
        <v>-1.6</v>
      </c>
      <c r="L38">
        <f>-3.4</f>
        <v>-3.4</v>
      </c>
      <c r="M38">
        <f>10</f>
        <v>10</v>
      </c>
      <c r="N38">
        <f>3.3</f>
        <v>3.3</v>
      </c>
      <c r="O38">
        <f>1292.38</f>
        <v>1292.3800000000001</v>
      </c>
      <c r="P38">
        <f>85.6</f>
        <v>85.6</v>
      </c>
      <c r="Q38">
        <f>100.2</f>
        <v>100.2</v>
      </c>
      <c r="R38">
        <v>68.39</v>
      </c>
      <c r="S38">
        <v>7.7424749267082094</v>
      </c>
      <c r="T38">
        <v>5.9352509190216507</v>
      </c>
      <c r="U38">
        <v>3.217102468747246</v>
      </c>
    </row>
    <row r="39" spans="1:21" x14ac:dyDescent="0.35">
      <c r="A39">
        <v>2019</v>
      </c>
      <c r="B39" s="1">
        <v>43646</v>
      </c>
      <c r="C39">
        <f>4.9</f>
        <v>4.9000000000000004</v>
      </c>
      <c r="D39">
        <f>1.5</f>
        <v>1.5</v>
      </c>
      <c r="E39">
        <f>3.46</f>
        <v>3.46</v>
      </c>
      <c r="F39">
        <f>4.132</f>
        <v>4.1319999999999997</v>
      </c>
      <c r="G39">
        <f>3.3</f>
        <v>3.3</v>
      </c>
      <c r="H39">
        <f>1672.13</f>
        <v>1672.13</v>
      </c>
      <c r="I39">
        <f>11781.58</f>
        <v>11781.58</v>
      </c>
      <c r="J39">
        <f>0.6</f>
        <v>0.6</v>
      </c>
      <c r="K39">
        <f>-2.3</f>
        <v>-2.2999999999999998</v>
      </c>
      <c r="L39">
        <f>-0.6</f>
        <v>-0.6</v>
      </c>
      <c r="M39">
        <f>10.2</f>
        <v>10.199999999999999</v>
      </c>
      <c r="N39">
        <f>3</f>
        <v>3</v>
      </c>
      <c r="O39">
        <f>1409.55</f>
        <v>1409.55</v>
      </c>
      <c r="P39">
        <f>93</f>
        <v>93</v>
      </c>
      <c r="Q39">
        <f>100.5</f>
        <v>100.5</v>
      </c>
      <c r="R39">
        <v>66.55</v>
      </c>
      <c r="S39">
        <v>7.8123235530027424</v>
      </c>
      <c r="T39">
        <v>2.5282299151108134E-2</v>
      </c>
      <c r="U39">
        <v>3.5604111176320119</v>
      </c>
    </row>
    <row r="40" spans="1:21" x14ac:dyDescent="0.35">
      <c r="A40">
        <v>2019</v>
      </c>
      <c r="B40" s="1">
        <v>43738</v>
      </c>
      <c r="C40">
        <f>4.5</f>
        <v>4.5</v>
      </c>
      <c r="D40">
        <f>1.1</f>
        <v>1.1000000000000001</v>
      </c>
      <c r="E40">
        <f>3.38</f>
        <v>3.38</v>
      </c>
      <c r="F40">
        <f>4.1877</f>
        <v>4.1877000000000004</v>
      </c>
      <c r="G40">
        <f>3.3</f>
        <v>3.3</v>
      </c>
      <c r="H40">
        <f>1583.91</f>
        <v>1583.91</v>
      </c>
      <c r="I40">
        <f>11203.71</f>
        <v>11203.71</v>
      </c>
      <c r="J40">
        <f>-1.6</f>
        <v>-1.6</v>
      </c>
      <c r="K40">
        <f>-3.3</f>
        <v>-3.3</v>
      </c>
      <c r="L40">
        <f>-3.7</f>
        <v>-3.7</v>
      </c>
      <c r="M40">
        <f>15.1</f>
        <v>15.1</v>
      </c>
      <c r="N40">
        <f>3</f>
        <v>3</v>
      </c>
      <c r="O40">
        <f>1472.49</f>
        <v>1472.49</v>
      </c>
      <c r="P40">
        <f>84</f>
        <v>84</v>
      </c>
      <c r="Q40">
        <f>100.2</f>
        <v>100.2</v>
      </c>
      <c r="R40">
        <v>60.78</v>
      </c>
      <c r="S40">
        <v>7.0750206108906699</v>
      </c>
      <c r="T40">
        <v>0.3685418774840965</v>
      </c>
      <c r="U40">
        <v>1.7619411245878736</v>
      </c>
    </row>
    <row r="41" spans="1:21" x14ac:dyDescent="0.35">
      <c r="A41">
        <v>2019</v>
      </c>
      <c r="B41" s="1">
        <v>43830</v>
      </c>
      <c r="C41">
        <f>3.6</f>
        <v>3.6</v>
      </c>
      <c r="D41">
        <f>1</f>
        <v>1</v>
      </c>
      <c r="E41">
        <f>3.35</f>
        <v>3.35</v>
      </c>
      <c r="F41">
        <f>4.091</f>
        <v>4.0910000000000002</v>
      </c>
      <c r="G41">
        <f>3.3</f>
        <v>3.3</v>
      </c>
      <c r="H41">
        <f>1588.76</f>
        <v>1588.76</v>
      </c>
      <c r="I41">
        <f>11323.49</f>
        <v>11323.49</v>
      </c>
      <c r="J41">
        <f>-3.3</f>
        <v>-3.3</v>
      </c>
      <c r="K41">
        <f>-2.3</f>
        <v>-2.2999999999999998</v>
      </c>
      <c r="L41">
        <f>-0.7</f>
        <v>-0.7</v>
      </c>
      <c r="M41">
        <f>14.7</f>
        <v>14.7</v>
      </c>
      <c r="N41">
        <f>3</f>
        <v>3</v>
      </c>
      <c r="O41">
        <f>1517.27</f>
        <v>1517.27</v>
      </c>
      <c r="P41" t="e">
        <f>NA()</f>
        <v>#N/A</v>
      </c>
      <c r="Q41">
        <f>101.6</f>
        <v>101.6</v>
      </c>
      <c r="R41">
        <v>66</v>
      </c>
      <c r="S41">
        <v>8.1470646419487878</v>
      </c>
      <c r="T41">
        <v>0.57641198475015809</v>
      </c>
      <c r="U41">
        <v>1.3072590684449326</v>
      </c>
    </row>
    <row r="42" spans="1:21" x14ac:dyDescent="0.35">
      <c r="A42">
        <v>2020</v>
      </c>
      <c r="B42" s="1">
        <v>43921</v>
      </c>
      <c r="C42">
        <f>0.7</f>
        <v>0.7</v>
      </c>
      <c r="D42">
        <f>-0.2</f>
        <v>-0.2</v>
      </c>
      <c r="E42">
        <f>2.8</f>
        <v>2.8</v>
      </c>
      <c r="F42">
        <f>4.3212</f>
        <v>4.3212000000000002</v>
      </c>
      <c r="G42">
        <f>3.9</f>
        <v>3.9</v>
      </c>
      <c r="H42">
        <f>1350.89</f>
        <v>1350.89</v>
      </c>
      <c r="I42">
        <f>9239.81</f>
        <v>9239.81</v>
      </c>
      <c r="J42">
        <f>-7</f>
        <v>-7</v>
      </c>
      <c r="K42">
        <f>-1.9</f>
        <v>-1.9</v>
      </c>
      <c r="L42">
        <f>-4.4</f>
        <v>-4.4000000000000004</v>
      </c>
      <c r="M42">
        <f>14.1</f>
        <v>14.1</v>
      </c>
      <c r="N42">
        <f>2.5</f>
        <v>2.5</v>
      </c>
      <c r="O42">
        <f>1577.18</f>
        <v>1577.18</v>
      </c>
      <c r="P42" t="e">
        <f>NA()</f>
        <v>#N/A</v>
      </c>
      <c r="Q42">
        <f>96.5</f>
        <v>96.5</v>
      </c>
      <c r="R42">
        <v>22.74</v>
      </c>
      <c r="S42">
        <v>6.8482615249425782</v>
      </c>
      <c r="T42">
        <v>5.044571742387749</v>
      </c>
      <c r="U42">
        <v>0.36885592008268908</v>
      </c>
    </row>
    <row r="43" spans="1:21" x14ac:dyDescent="0.35">
      <c r="A43">
        <v>2020</v>
      </c>
      <c r="B43" s="1">
        <v>44012</v>
      </c>
      <c r="C43">
        <f>-17.1</f>
        <v>-17.100000000000001</v>
      </c>
      <c r="D43">
        <f>-1.9</f>
        <v>-1.9</v>
      </c>
      <c r="E43">
        <f>2.28</f>
        <v>2.2799999999999998</v>
      </c>
      <c r="F43">
        <f>4.2863</f>
        <v>4.2862999999999998</v>
      </c>
      <c r="G43">
        <f>4.9</f>
        <v>4.9000000000000004</v>
      </c>
      <c r="H43">
        <f>1500.97</f>
        <v>1500.97</v>
      </c>
      <c r="I43">
        <f>10551.98</f>
        <v>10551.98</v>
      </c>
      <c r="J43">
        <f>-21.5</f>
        <v>-21.5</v>
      </c>
      <c r="K43">
        <f>-18.5</f>
        <v>-18.5</v>
      </c>
      <c r="L43">
        <f>-29</f>
        <v>-29</v>
      </c>
      <c r="M43">
        <f>12.4</f>
        <v>12.4</v>
      </c>
      <c r="N43">
        <f>2</f>
        <v>2</v>
      </c>
      <c r="O43">
        <f>1780.96</f>
        <v>1780.96</v>
      </c>
      <c r="P43" t="e">
        <f>NA()</f>
        <v>#N/A</v>
      </c>
      <c r="Q43">
        <f>105.6</f>
        <v>105.6</v>
      </c>
      <c r="R43">
        <v>41.15</v>
      </c>
      <c r="S43">
        <v>-18.396078768301717</v>
      </c>
      <c r="T43">
        <v>2.3803296967853882</v>
      </c>
      <c r="U43">
        <v>-17.565763619921036</v>
      </c>
    </row>
    <row r="44" spans="1:21" x14ac:dyDescent="0.35">
      <c r="A44">
        <v>2020</v>
      </c>
      <c r="B44" s="1">
        <v>44104</v>
      </c>
      <c r="C44">
        <f>-2.5</f>
        <v>-2.5</v>
      </c>
      <c r="D44">
        <f>-1.4</f>
        <v>-1.4</v>
      </c>
      <c r="E44">
        <f>1.97</f>
        <v>1.97</v>
      </c>
      <c r="F44">
        <f>4.1565</f>
        <v>4.1565000000000003</v>
      </c>
      <c r="G44">
        <f>4.6</f>
        <v>4.5999999999999996</v>
      </c>
      <c r="H44">
        <f>1504.82</f>
        <v>1504.82</v>
      </c>
      <c r="I44">
        <f>10831.56</f>
        <v>10831.56</v>
      </c>
      <c r="J44">
        <f>-4.2</f>
        <v>-4.2</v>
      </c>
      <c r="K44">
        <f>-7.8</f>
        <v>-7.8</v>
      </c>
      <c r="L44">
        <f>-11.4</f>
        <v>-11.4</v>
      </c>
      <c r="M44">
        <f>11.2</f>
        <v>11.2</v>
      </c>
      <c r="N44">
        <f t="shared" ref="N44:N49" si="1">1.8</f>
        <v>1.8</v>
      </c>
      <c r="O44">
        <f>1885.82</f>
        <v>1885.82</v>
      </c>
      <c r="P44" t="e">
        <f>NA()</f>
        <v>#N/A</v>
      </c>
      <c r="Q44">
        <f>109.2</f>
        <v>109.2</v>
      </c>
      <c r="R44">
        <v>40.950000000000003</v>
      </c>
      <c r="S44">
        <v>-1.9383896548761603</v>
      </c>
      <c r="T44">
        <v>6.7938669083297487</v>
      </c>
      <c r="U44">
        <v>1.0629354807231373</v>
      </c>
    </row>
    <row r="45" spans="1:21" x14ac:dyDescent="0.35">
      <c r="A45">
        <v>2020</v>
      </c>
      <c r="B45" s="1">
        <v>44196</v>
      </c>
      <c r="C45">
        <f>-3.3</f>
        <v>-3.3</v>
      </c>
      <c r="D45">
        <f>-1.4</f>
        <v>-1.4</v>
      </c>
      <c r="E45">
        <f>1.94</f>
        <v>1.94</v>
      </c>
      <c r="F45">
        <f>4.0203</f>
        <v>4.0202999999999998</v>
      </c>
      <c r="G45">
        <f>4.8</f>
        <v>4.8</v>
      </c>
      <c r="H45">
        <f>1627.21</f>
        <v>1627.21</v>
      </c>
      <c r="I45">
        <f>11761.93</f>
        <v>11761.93</v>
      </c>
      <c r="J45">
        <f>-1.9</f>
        <v>-1.9</v>
      </c>
      <c r="K45">
        <f>-3.4</f>
        <v>-3.4</v>
      </c>
      <c r="L45">
        <f>-11.7</f>
        <v>-11.7</v>
      </c>
      <c r="M45">
        <f>17.2</f>
        <v>17.2</v>
      </c>
      <c r="N45">
        <f t="shared" si="1"/>
        <v>1.8</v>
      </c>
      <c r="O45">
        <f>1898.36</f>
        <v>1898.36</v>
      </c>
      <c r="P45" t="e">
        <f>NA()</f>
        <v>#N/A</v>
      </c>
      <c r="Q45">
        <f>109.2</f>
        <v>109.2</v>
      </c>
      <c r="R45">
        <v>51.8</v>
      </c>
      <c r="S45">
        <v>-3.3299324545936426</v>
      </c>
      <c r="T45">
        <v>5.419226577077918</v>
      </c>
      <c r="U45">
        <v>-0.21996228313194699</v>
      </c>
    </row>
    <row r="46" spans="1:21" x14ac:dyDescent="0.35">
      <c r="A46">
        <v>2021</v>
      </c>
      <c r="B46" s="1">
        <v>44286</v>
      </c>
      <c r="C46">
        <f>-0.5</f>
        <v>-0.5</v>
      </c>
      <c r="D46">
        <f>1.7</f>
        <v>1.7</v>
      </c>
      <c r="E46">
        <f>1.94</f>
        <v>1.94</v>
      </c>
      <c r="F46">
        <f>4.145</f>
        <v>4.1449999999999996</v>
      </c>
      <c r="G46">
        <f>4.7</f>
        <v>4.7</v>
      </c>
      <c r="H46">
        <f>1573.51</f>
        <v>1573.51</v>
      </c>
      <c r="I46">
        <f>11614.56</f>
        <v>11614.56</v>
      </c>
      <c r="J46">
        <f>11.7</f>
        <v>11.7</v>
      </c>
      <c r="K46">
        <f>12.2</f>
        <v>12.2</v>
      </c>
      <c r="L46">
        <f>-3.3</f>
        <v>-3.3</v>
      </c>
      <c r="M46">
        <f>10.8</f>
        <v>10.8</v>
      </c>
      <c r="N46">
        <f t="shared" si="1"/>
        <v>1.8</v>
      </c>
      <c r="O46">
        <f>1707.71</f>
        <v>1707.71</v>
      </c>
      <c r="P46" t="e">
        <f>NA()</f>
        <v>#N/A</v>
      </c>
      <c r="Q46">
        <f>113</f>
        <v>113</v>
      </c>
      <c r="R46">
        <v>63.54</v>
      </c>
      <c r="S46">
        <v>-1.4705300552598111</v>
      </c>
      <c r="T46">
        <v>5.6099158205994648</v>
      </c>
      <c r="U46">
        <v>3.9148685378968207</v>
      </c>
    </row>
    <row r="47" spans="1:21" x14ac:dyDescent="0.35">
      <c r="A47">
        <v>2021</v>
      </c>
      <c r="B47" s="1">
        <v>44377</v>
      </c>
      <c r="C47">
        <f>15.9</f>
        <v>15.9</v>
      </c>
      <c r="D47">
        <f>3.4</f>
        <v>3.4</v>
      </c>
      <c r="E47">
        <f>1.94</f>
        <v>1.94</v>
      </c>
      <c r="F47">
        <f>4.149</f>
        <v>4.149</v>
      </c>
      <c r="G47">
        <f>4.8</f>
        <v>4.8</v>
      </c>
      <c r="H47">
        <f>1532.63</f>
        <v>1532.63</v>
      </c>
      <c r="I47">
        <f>11156.22</f>
        <v>11156.22</v>
      </c>
      <c r="J47">
        <f>37.1</f>
        <v>37.1</v>
      </c>
      <c r="K47">
        <f>35.5</f>
        <v>35.5</v>
      </c>
      <c r="L47">
        <f>16.4</f>
        <v>16.399999999999999</v>
      </c>
      <c r="M47">
        <f>8.4</f>
        <v>8.4</v>
      </c>
      <c r="N47">
        <f t="shared" si="1"/>
        <v>1.8</v>
      </c>
      <c r="O47">
        <f>1770.11</f>
        <v>1770.11</v>
      </c>
      <c r="P47" t="e">
        <f>NA()</f>
        <v>#N/A</v>
      </c>
      <c r="Q47">
        <f>106.1</f>
        <v>106.1</v>
      </c>
      <c r="R47">
        <v>75.13</v>
      </c>
      <c r="S47">
        <v>11.714739630731042</v>
      </c>
      <c r="T47">
        <v>8.2432359178104662</v>
      </c>
      <c r="U47">
        <v>22.16685602574826</v>
      </c>
    </row>
    <row r="48" spans="1:21" x14ac:dyDescent="0.35">
      <c r="A48">
        <v>2021</v>
      </c>
      <c r="B48" s="1">
        <v>44469</v>
      </c>
      <c r="C48">
        <f>-4.5</f>
        <v>-4.5</v>
      </c>
      <c r="D48">
        <f>2.2</f>
        <v>2.2000000000000002</v>
      </c>
      <c r="E48">
        <f>1.93</f>
        <v>1.93</v>
      </c>
      <c r="F48">
        <f>4.1862</f>
        <v>4.1862000000000004</v>
      </c>
      <c r="G48">
        <f>4.5</f>
        <v>4.5</v>
      </c>
      <c r="H48">
        <f>1537.8</f>
        <v>1537.8</v>
      </c>
      <c r="I48">
        <f>11311.08</f>
        <v>11311.08</v>
      </c>
      <c r="J48">
        <f>4.2</f>
        <v>4.2</v>
      </c>
      <c r="K48">
        <f>11.4</f>
        <v>11.4</v>
      </c>
      <c r="L48">
        <f>-10.8</f>
        <v>-10.8</v>
      </c>
      <c r="M48">
        <f>14</f>
        <v>14</v>
      </c>
      <c r="N48">
        <f t="shared" si="1"/>
        <v>1.8</v>
      </c>
      <c r="O48">
        <f>1756.95</f>
        <v>1756.95</v>
      </c>
      <c r="P48" t="e">
        <f>NA()</f>
        <v>#N/A</v>
      </c>
      <c r="Q48">
        <f>109.6</f>
        <v>109.6</v>
      </c>
      <c r="R48">
        <v>78.52</v>
      </c>
      <c r="S48">
        <v>-4.2412159423375728</v>
      </c>
      <c r="T48">
        <v>7.1253555435930593</v>
      </c>
      <c r="U48">
        <v>-1.255511370928708</v>
      </c>
    </row>
    <row r="49" spans="1:21" x14ac:dyDescent="0.35">
      <c r="A49">
        <v>2021</v>
      </c>
      <c r="B49" s="1">
        <v>44561</v>
      </c>
      <c r="C49">
        <f>3.6</f>
        <v>3.6</v>
      </c>
      <c r="D49">
        <f>3.2</f>
        <v>3.2</v>
      </c>
      <c r="E49">
        <f>2.05</f>
        <v>2.0499999999999998</v>
      </c>
      <c r="F49">
        <f>4.166</f>
        <v>4.1660000000000004</v>
      </c>
      <c r="G49">
        <f>4.3</f>
        <v>4.3</v>
      </c>
      <c r="H49">
        <f>1567.53</f>
        <v>1567.53</v>
      </c>
      <c r="I49">
        <f>11308.79</f>
        <v>11308.79</v>
      </c>
      <c r="J49">
        <f>13</f>
        <v>13</v>
      </c>
      <c r="K49">
        <f>14.5</f>
        <v>14.5</v>
      </c>
      <c r="L49">
        <f>-3</f>
        <v>-3</v>
      </c>
      <c r="M49">
        <f>11</f>
        <v>11</v>
      </c>
      <c r="N49">
        <f t="shared" si="1"/>
        <v>1.8</v>
      </c>
      <c r="O49">
        <f>1829.2</f>
        <v>1829.2</v>
      </c>
      <c r="P49" t="e">
        <f>NA()</f>
        <v>#N/A</v>
      </c>
      <c r="Q49">
        <f>111.4</f>
        <v>111.4</v>
      </c>
      <c r="R49">
        <v>77.78</v>
      </c>
      <c r="S49">
        <v>3.6702078823249495</v>
      </c>
      <c r="T49">
        <v>1.5872969223999389</v>
      </c>
      <c r="U49">
        <v>6.8345026604946346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83F9-6D1B-47E7-A08C-886D551B96EF}">
  <dimension ref="A1:KL29"/>
  <sheetViews>
    <sheetView tabSelected="1" zoomScale="50" zoomScaleNormal="50" workbookViewId="0">
      <selection activeCell="R34" sqref="R34"/>
    </sheetView>
  </sheetViews>
  <sheetFormatPr defaultRowHeight="14.5" x14ac:dyDescent="0.35"/>
  <cols>
    <col min="1" max="2" width="14.1796875" bestFit="1" customWidth="1"/>
    <col min="3" max="3" width="13.26953125" bestFit="1" customWidth="1"/>
    <col min="4" max="4" width="15" bestFit="1" customWidth="1"/>
    <col min="5" max="5" width="13.453125" bestFit="1" customWidth="1"/>
    <col min="6" max="6" width="21.1796875" bestFit="1" customWidth="1"/>
    <col min="7" max="7" width="10.26953125" bestFit="1" customWidth="1"/>
    <col min="8" max="8" width="11.26953125" bestFit="1" customWidth="1"/>
    <col min="9" max="9" width="17.453125" bestFit="1" customWidth="1"/>
    <col min="10" max="10" width="17.54296875" bestFit="1" customWidth="1"/>
    <col min="11" max="11" width="28.26953125" bestFit="1" customWidth="1"/>
    <col min="12" max="12" width="25.26953125" bestFit="1" customWidth="1"/>
    <col min="13" max="13" width="9.54296875" bestFit="1" customWidth="1"/>
    <col min="14" max="14" width="10.7265625" bestFit="1" customWidth="1"/>
    <col min="15" max="15" width="8.54296875" bestFit="1" customWidth="1"/>
    <col min="16" max="16" width="11.54296875" bestFit="1" customWidth="1"/>
    <col min="17" max="17" width="15.26953125" bestFit="1" customWidth="1"/>
    <col min="18" max="18" width="19.81640625" bestFit="1" customWidth="1"/>
    <col min="19" max="19" width="19.26953125" bestFit="1" customWidth="1"/>
    <col min="20" max="20" width="13" bestFit="1" customWidth="1"/>
    <col min="22" max="22" width="8" bestFit="1" customWidth="1"/>
    <col min="23" max="23" width="13.7265625" bestFit="1" customWidth="1"/>
    <col min="24" max="24" width="12.7265625" bestFit="1" customWidth="1"/>
    <col min="25" max="25" width="14.54296875" bestFit="1" customWidth="1"/>
    <col min="26" max="26" width="12.81640625" bestFit="1" customWidth="1"/>
    <col min="27" max="27" width="20.7265625" bestFit="1" customWidth="1"/>
    <col min="29" max="29" width="10.453125" bestFit="1" customWidth="1"/>
    <col min="30" max="30" width="16.81640625" bestFit="1" customWidth="1"/>
    <col min="31" max="31" width="17" bestFit="1" customWidth="1"/>
    <col min="32" max="32" width="27.81640625" bestFit="1" customWidth="1"/>
    <col min="33" max="33" width="24.81640625" bestFit="1" customWidth="1"/>
    <col min="35" max="35" width="10.26953125" bestFit="1" customWidth="1"/>
    <col min="36" max="36" width="8.1796875" bestFit="1" customWidth="1"/>
    <col min="37" max="37" width="11.1796875" bestFit="1" customWidth="1"/>
    <col min="38" max="38" width="14.81640625" bestFit="1" customWidth="1"/>
    <col min="39" max="39" width="19.453125" bestFit="1" customWidth="1"/>
    <col min="40" max="40" width="18.81640625" bestFit="1" customWidth="1"/>
    <col min="41" max="41" width="13" bestFit="1" customWidth="1"/>
    <col min="42" max="42" width="13" customWidth="1"/>
    <col min="43" max="43" width="8" bestFit="1" customWidth="1"/>
    <col min="44" max="47" width="13" customWidth="1"/>
    <col min="48" max="48" width="18.26953125" bestFit="1" customWidth="1"/>
    <col min="49" max="50" width="13" customWidth="1"/>
    <col min="51" max="51" width="14.453125" bestFit="1" customWidth="1"/>
    <col min="52" max="52" width="14.54296875" bestFit="1" customWidth="1"/>
    <col min="53" max="53" width="25.26953125" bestFit="1" customWidth="1"/>
    <col min="54" max="54" width="22.453125" bestFit="1" customWidth="1"/>
    <col min="55" max="55" width="12.26953125" bestFit="1" customWidth="1"/>
    <col min="56" max="59" width="13" customWidth="1"/>
    <col min="60" max="60" width="16.81640625" bestFit="1" customWidth="1"/>
    <col min="61" max="61" width="16.26953125" bestFit="1" customWidth="1"/>
    <col min="62" max="62" width="13" customWidth="1"/>
    <col min="64" max="64" width="8" bestFit="1" customWidth="1"/>
    <col min="65" max="68" width="13" bestFit="1" customWidth="1"/>
    <col min="69" max="69" width="18.26953125" bestFit="1" customWidth="1"/>
    <col min="70" max="71" width="13" bestFit="1" customWidth="1"/>
    <col min="72" max="72" width="14.453125" bestFit="1" customWidth="1"/>
    <col min="73" max="73" width="14.54296875" bestFit="1" customWidth="1"/>
    <col min="74" max="74" width="25.26953125" bestFit="1" customWidth="1"/>
    <col min="75" max="75" width="22.453125" bestFit="1" customWidth="1"/>
    <col min="76" max="80" width="13" bestFit="1" customWidth="1"/>
    <col min="81" max="81" width="16.81640625" bestFit="1" customWidth="1"/>
    <col min="82" max="82" width="16.26953125" bestFit="1" customWidth="1"/>
    <col min="83" max="83" width="13" bestFit="1" customWidth="1"/>
    <col min="84" max="84" width="9.7265625" customWidth="1"/>
    <col min="85" max="85" width="8" bestFit="1" customWidth="1"/>
    <col min="86" max="86" width="15.7265625" bestFit="1" customWidth="1"/>
    <col min="87" max="87" width="14.81640625" customWidth="1"/>
    <col min="88" max="88" width="16.54296875" customWidth="1"/>
    <col min="89" max="89" width="15" customWidth="1"/>
    <col min="90" max="90" width="22.81640625" customWidth="1"/>
    <col min="91" max="92" width="13" bestFit="1" customWidth="1"/>
    <col min="93" max="93" width="19" customWidth="1"/>
    <col min="94" max="94" width="19.1796875" customWidth="1"/>
    <col min="95" max="95" width="30" customWidth="1"/>
    <col min="96" max="96" width="27" customWidth="1"/>
    <col min="97" max="99" width="13" bestFit="1" customWidth="1"/>
    <col min="100" max="100" width="13.26953125" customWidth="1"/>
    <col min="101" max="101" width="16.81640625" customWidth="1"/>
    <col min="102" max="102" width="21.54296875" customWidth="1"/>
    <col min="103" max="103" width="20.81640625" customWidth="1"/>
    <col min="104" max="105" width="14.26953125" customWidth="1"/>
    <col min="106" max="106" width="8" bestFit="1" customWidth="1"/>
    <col min="107" max="107" width="15.7265625" bestFit="1" customWidth="1"/>
    <col min="108" max="108" width="14.81640625" bestFit="1" customWidth="1"/>
    <col min="109" max="109" width="16.54296875" bestFit="1" customWidth="1"/>
    <col min="110" max="110" width="15" bestFit="1" customWidth="1"/>
    <col min="111" max="111" width="22.81640625" bestFit="1" customWidth="1"/>
    <col min="112" max="113" width="13" bestFit="1" customWidth="1"/>
    <col min="114" max="114" width="19" bestFit="1" customWidth="1"/>
    <col min="115" max="115" width="19.1796875" bestFit="1" customWidth="1"/>
    <col min="116" max="116" width="30" bestFit="1" customWidth="1"/>
    <col min="117" max="117" width="27" bestFit="1" customWidth="1"/>
    <col min="118" max="120" width="13" bestFit="1" customWidth="1"/>
    <col min="121" max="121" width="13.26953125" bestFit="1" customWidth="1"/>
    <col min="122" max="122" width="16.81640625" bestFit="1" customWidth="1"/>
    <col min="123" max="123" width="21.54296875" bestFit="1" customWidth="1"/>
    <col min="124" max="124" width="20.81640625" bestFit="1" customWidth="1"/>
    <col min="125" max="125" width="14.26953125" bestFit="1" customWidth="1"/>
    <col min="126" max="146" width="14.26953125" customWidth="1"/>
    <col min="147" max="147" width="13.453125" customWidth="1"/>
    <col min="148" max="148" width="8" bestFit="1" customWidth="1"/>
    <col min="149" max="149" width="14.1796875" bestFit="1" customWidth="1"/>
    <col min="150" max="150" width="13.26953125" bestFit="1" customWidth="1"/>
    <col min="151" max="151" width="15" bestFit="1" customWidth="1"/>
    <col min="152" max="152" width="13.453125" bestFit="1" customWidth="1"/>
    <col min="153" max="153" width="21.1796875" bestFit="1" customWidth="1"/>
    <col min="154" max="154" width="10.26953125" bestFit="1" customWidth="1"/>
    <col min="155" max="155" width="11.26953125" bestFit="1" customWidth="1"/>
    <col min="156" max="156" width="17.453125" bestFit="1" customWidth="1"/>
    <col min="157" max="157" width="17.54296875" bestFit="1" customWidth="1"/>
    <col min="158" max="158" width="28.26953125" bestFit="1" customWidth="1"/>
    <col min="159" max="159" width="25.26953125" bestFit="1" customWidth="1"/>
    <col min="160" max="160" width="9.54296875" bestFit="1" customWidth="1"/>
    <col min="161" max="161" width="10.7265625" bestFit="1" customWidth="1"/>
    <col min="162" max="162" width="8.54296875" bestFit="1" customWidth="1"/>
    <col min="163" max="163" width="11.54296875" bestFit="1" customWidth="1"/>
    <col min="164" max="164" width="15.26953125" bestFit="1" customWidth="1"/>
    <col min="165" max="165" width="19.81640625" bestFit="1" customWidth="1"/>
    <col min="166" max="166" width="19.26953125" bestFit="1" customWidth="1"/>
    <col min="167" max="167" width="13" bestFit="1" customWidth="1"/>
    <col min="168" max="168" width="12.54296875" customWidth="1"/>
    <col min="169" max="169" width="8" bestFit="1" customWidth="1"/>
    <col min="170" max="170" width="16.1796875" bestFit="1" customWidth="1"/>
    <col min="171" max="171" width="15.26953125" bestFit="1" customWidth="1"/>
    <col min="172" max="172" width="17" bestFit="1" customWidth="1"/>
    <col min="173" max="173" width="15.453125" bestFit="1" customWidth="1"/>
    <col min="174" max="174" width="23.26953125" bestFit="1" customWidth="1"/>
    <col min="175" max="176" width="13" bestFit="1" customWidth="1"/>
    <col min="177" max="177" width="19.453125" bestFit="1" customWidth="1"/>
    <col min="178" max="178" width="19.54296875" bestFit="1" customWidth="1"/>
    <col min="179" max="179" width="30.453125" bestFit="1" customWidth="1"/>
    <col min="180" max="180" width="27.453125" bestFit="1" customWidth="1"/>
    <col min="181" max="183" width="13" bestFit="1" customWidth="1"/>
    <col min="184" max="184" width="13.7265625" bestFit="1" customWidth="1"/>
    <col min="185" max="185" width="17.453125" bestFit="1" customWidth="1"/>
    <col min="186" max="186" width="22" bestFit="1" customWidth="1"/>
    <col min="187" max="187" width="21.453125" bestFit="1" customWidth="1"/>
    <col min="188" max="188" width="14.7265625" bestFit="1" customWidth="1"/>
    <col min="189" max="210" width="14.7265625" customWidth="1"/>
    <col min="211" max="211" width="8" bestFit="1" customWidth="1"/>
    <col min="212" max="212" width="20.7265625" bestFit="1" customWidth="1"/>
    <col min="213" max="213" width="19.81640625" bestFit="1" customWidth="1"/>
    <col min="214" max="214" width="21.7265625" bestFit="1" customWidth="1"/>
    <col min="215" max="215" width="20" bestFit="1" customWidth="1"/>
    <col min="216" max="216" width="27.81640625" bestFit="1" customWidth="1"/>
    <col min="217" max="217" width="16.1796875" bestFit="1" customWidth="1"/>
    <col min="218" max="218" width="17.54296875" bestFit="1" customWidth="1"/>
    <col min="219" max="219" width="24" bestFit="1" customWidth="1"/>
    <col min="220" max="220" width="24.1796875" bestFit="1" customWidth="1"/>
    <col min="221" max="221" width="35" bestFit="1" customWidth="1"/>
    <col min="222" max="222" width="32" bestFit="1" customWidth="1"/>
    <col min="223" max="223" width="16.1796875" bestFit="1" customWidth="1"/>
    <col min="224" max="224" width="17.453125" bestFit="1" customWidth="1"/>
    <col min="225" max="225" width="15.1796875" bestFit="1" customWidth="1"/>
    <col min="226" max="226" width="18.26953125" bestFit="1" customWidth="1"/>
    <col min="227" max="227" width="22" bestFit="1" customWidth="1"/>
    <col min="228" max="228" width="26.54296875" bestFit="1" customWidth="1"/>
    <col min="229" max="229" width="26" bestFit="1" customWidth="1"/>
    <col min="230" max="230" width="19.26953125" bestFit="1" customWidth="1"/>
    <col min="231" max="231" width="12.7265625" customWidth="1"/>
    <col min="232" max="232" width="8" bestFit="1" customWidth="1"/>
    <col min="233" max="233" width="18.7265625" bestFit="1" customWidth="1"/>
    <col min="234" max="234" width="17.81640625" bestFit="1" customWidth="1"/>
    <col min="235" max="235" width="19.54296875" bestFit="1" customWidth="1"/>
    <col min="236" max="236" width="18" bestFit="1" customWidth="1"/>
    <col min="237" max="237" width="25.81640625" bestFit="1" customWidth="1"/>
    <col min="238" max="238" width="14.1796875" bestFit="1" customWidth="1"/>
    <col min="239" max="239" width="15.453125" bestFit="1" customWidth="1"/>
    <col min="240" max="240" width="22" bestFit="1" customWidth="1"/>
    <col min="241" max="241" width="22.1796875" bestFit="1" customWidth="1"/>
    <col min="242" max="242" width="32.81640625" bestFit="1" customWidth="1"/>
    <col min="243" max="243" width="30" bestFit="1" customWidth="1"/>
    <col min="244" max="244" width="14.1796875" bestFit="1" customWidth="1"/>
    <col min="245" max="245" width="15.26953125" bestFit="1" customWidth="1"/>
    <col min="246" max="246" width="13.1796875" bestFit="1" customWidth="1"/>
    <col min="247" max="247" width="16.1796875" bestFit="1" customWidth="1"/>
    <col min="248" max="248" width="19.81640625" bestFit="1" customWidth="1"/>
    <col min="249" max="249" width="24.453125" bestFit="1" customWidth="1"/>
    <col min="250" max="250" width="23.81640625" bestFit="1" customWidth="1"/>
    <col min="251" max="251" width="17.26953125" bestFit="1" customWidth="1"/>
    <col min="252" max="252" width="10.81640625" customWidth="1"/>
    <col min="253" max="253" width="8" bestFit="1" customWidth="1"/>
    <col min="254" max="254" width="20.7265625" bestFit="1" customWidth="1"/>
    <col min="255" max="255" width="19.81640625" bestFit="1" customWidth="1"/>
    <col min="256" max="256" width="21.7265625" bestFit="1" customWidth="1"/>
    <col min="257" max="257" width="20" bestFit="1" customWidth="1"/>
    <col min="258" max="258" width="27.81640625" bestFit="1" customWidth="1"/>
    <col min="259" max="259" width="16.1796875" bestFit="1" customWidth="1"/>
    <col min="260" max="260" width="17.54296875" bestFit="1" customWidth="1"/>
    <col min="261" max="261" width="24" bestFit="1" customWidth="1"/>
    <col min="262" max="262" width="24.1796875" bestFit="1" customWidth="1"/>
    <col min="263" max="263" width="35" bestFit="1" customWidth="1"/>
    <col min="264" max="264" width="32" bestFit="1" customWidth="1"/>
    <col min="265" max="265" width="16.1796875" bestFit="1" customWidth="1"/>
    <col min="266" max="266" width="17.453125" bestFit="1" customWidth="1"/>
    <col min="267" max="267" width="15.1796875" bestFit="1" customWidth="1"/>
    <col min="268" max="268" width="18.26953125" bestFit="1" customWidth="1"/>
    <col min="269" max="269" width="22" bestFit="1" customWidth="1"/>
    <col min="270" max="270" width="26.54296875" bestFit="1" customWidth="1"/>
    <col min="271" max="271" width="26" bestFit="1" customWidth="1"/>
    <col min="272" max="272" width="19.26953125" bestFit="1" customWidth="1"/>
    <col min="273" max="273" width="10.1796875" customWidth="1"/>
    <col min="274" max="274" width="8" bestFit="1" customWidth="1"/>
    <col min="275" max="275" width="14.26953125" bestFit="1" customWidth="1"/>
    <col min="276" max="276" width="13" bestFit="1" customWidth="1"/>
    <col min="277" max="277" width="20.453125" bestFit="1" customWidth="1"/>
    <col min="278" max="279" width="13" bestFit="1" customWidth="1"/>
    <col min="280" max="280" width="24.54296875" bestFit="1" customWidth="1"/>
    <col min="281" max="284" width="13" bestFit="1" customWidth="1"/>
    <col min="285" max="285" width="14.54296875" bestFit="1" customWidth="1"/>
    <col min="286" max="286" width="9.81640625" customWidth="1"/>
    <col min="287" max="287" width="8" bestFit="1" customWidth="1"/>
    <col min="288" max="288" width="16.453125" bestFit="1" customWidth="1"/>
    <col min="289" max="289" width="14.81640625" bestFit="1" customWidth="1"/>
    <col min="290" max="290" width="22.54296875" bestFit="1" customWidth="1"/>
    <col min="291" max="292" width="13" bestFit="1" customWidth="1"/>
    <col min="293" max="293" width="26.7265625" bestFit="1" customWidth="1"/>
    <col min="294" max="297" width="13" bestFit="1" customWidth="1"/>
    <col min="298" max="298" width="16.54296875" bestFit="1" customWidth="1"/>
  </cols>
  <sheetData>
    <row r="1" spans="1:298" x14ac:dyDescent="0.35">
      <c r="V1" t="s">
        <v>107</v>
      </c>
      <c r="AQ1" t="s">
        <v>108</v>
      </c>
      <c r="BL1" t="s">
        <v>249</v>
      </c>
      <c r="CG1" t="s">
        <v>110</v>
      </c>
      <c r="DB1" t="s">
        <v>109</v>
      </c>
      <c r="DW1" t="s">
        <v>111</v>
      </c>
      <c r="ER1" t="s">
        <v>250</v>
      </c>
      <c r="FM1" t="s">
        <v>113</v>
      </c>
      <c r="GH1" t="s">
        <v>270</v>
      </c>
      <c r="HC1" t="s">
        <v>114</v>
      </c>
      <c r="HX1" t="s">
        <v>116</v>
      </c>
      <c r="IS1" t="s">
        <v>115</v>
      </c>
      <c r="JN1" t="s">
        <v>117</v>
      </c>
      <c r="KA1" t="s">
        <v>118</v>
      </c>
    </row>
    <row r="2" spans="1:298" x14ac:dyDescent="0.35">
      <c r="A2" t="s">
        <v>34</v>
      </c>
      <c r="B2" t="s">
        <v>53</v>
      </c>
      <c r="C2" t="s">
        <v>54</v>
      </c>
      <c r="D2" t="s">
        <v>46</v>
      </c>
      <c r="E2" t="s">
        <v>4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55</v>
      </c>
      <c r="M2" t="s">
        <v>56</v>
      </c>
      <c r="N2" t="s">
        <v>57</v>
      </c>
      <c r="O2" t="s">
        <v>58</v>
      </c>
      <c r="P2" t="s">
        <v>15</v>
      </c>
      <c r="Q2" t="s">
        <v>61</v>
      </c>
      <c r="R2" t="s">
        <v>104</v>
      </c>
      <c r="S2" t="s">
        <v>105</v>
      </c>
      <c r="T2" t="s">
        <v>106</v>
      </c>
      <c r="V2" t="s">
        <v>34</v>
      </c>
      <c r="W2" t="str">
        <f t="shared" ref="W2:AO2" si="0">CONCATENATE("LAG_",B2)</f>
        <v>LAG_GDP_YOY</v>
      </c>
      <c r="X2" t="str">
        <f t="shared" si="0"/>
        <v>LAG_CPI_YOY</v>
      </c>
      <c r="Y2" t="str">
        <f t="shared" si="0"/>
        <v>LAG_KLIBOR3M</v>
      </c>
      <c r="Z2" t="str">
        <f t="shared" si="0"/>
        <v>LAG_USDMYR</v>
      </c>
      <c r="AA2" t="str">
        <f t="shared" si="0"/>
        <v>LAG_UNEMPLOYMENT</v>
      </c>
      <c r="AB2" t="str">
        <f t="shared" si="0"/>
        <v>LAG_KLCI</v>
      </c>
      <c r="AC2" t="str">
        <f t="shared" si="0"/>
        <v>LAG_EMAS</v>
      </c>
      <c r="AD2" t="str">
        <f t="shared" si="0"/>
        <v>LAG_EXPORT_YOY</v>
      </c>
      <c r="AE2" t="str">
        <f t="shared" si="0"/>
        <v>LAG_IMPORT_YOY</v>
      </c>
      <c r="AF2" t="str">
        <f t="shared" si="0"/>
        <v>LAG_FIXED_INVESTMENT_YOY</v>
      </c>
      <c r="AG2" t="str">
        <f t="shared" si="0"/>
        <v>LAG_DEBT_SERVICE_RATIO</v>
      </c>
      <c r="AH2" t="str">
        <f t="shared" si="0"/>
        <v>LAG_OPR</v>
      </c>
      <c r="AI2" t="str">
        <f t="shared" si="0"/>
        <v>LAG_GOLD</v>
      </c>
      <c r="AJ2" t="str">
        <f t="shared" si="0"/>
        <v>LAG_CSI</v>
      </c>
      <c r="AK2" t="str">
        <f t="shared" si="0"/>
        <v>LAG_MYEILI</v>
      </c>
      <c r="AL2" t="str">
        <f t="shared" si="0"/>
        <v>LAG_BRENTUSD</v>
      </c>
      <c r="AM2" t="str">
        <f t="shared" si="0"/>
        <v>LAG_PRIVCSUM_YOY</v>
      </c>
      <c r="AN2" t="str">
        <f t="shared" si="0"/>
        <v>LAG_PUBCSUM_YOY</v>
      </c>
      <c r="AO2" t="str">
        <f t="shared" si="0"/>
        <v>LAG_IPI_YOY</v>
      </c>
      <c r="AQ2" t="s">
        <v>34</v>
      </c>
      <c r="AR2" t="s">
        <v>131</v>
      </c>
      <c r="AS2" t="s">
        <v>132</v>
      </c>
      <c r="AT2" t="s">
        <v>133</v>
      </c>
      <c r="AU2" t="s">
        <v>134</v>
      </c>
      <c r="AV2" t="s">
        <v>135</v>
      </c>
      <c r="AW2" t="s">
        <v>136</v>
      </c>
      <c r="AX2" t="s">
        <v>137</v>
      </c>
      <c r="AY2" t="s">
        <v>138</v>
      </c>
      <c r="AZ2" t="s">
        <v>139</v>
      </c>
      <c r="BA2" t="s">
        <v>140</v>
      </c>
      <c r="BB2" t="s">
        <v>141</v>
      </c>
      <c r="BC2" t="s">
        <v>142</v>
      </c>
      <c r="BD2" t="s">
        <v>143</v>
      </c>
      <c r="BE2" t="s">
        <v>144</v>
      </c>
      <c r="BF2" t="s">
        <v>145</v>
      </c>
      <c r="BG2" t="s">
        <v>146</v>
      </c>
      <c r="BH2" t="s">
        <v>147</v>
      </c>
      <c r="BI2" t="s">
        <v>148</v>
      </c>
      <c r="BJ2" t="s">
        <v>149</v>
      </c>
      <c r="BL2" t="s">
        <v>34</v>
      </c>
      <c r="BM2" t="str">
        <f t="shared" ref="BM2:CC2" si="1">CONCATENATE("Z_",B2)</f>
        <v>Z_GDP_YOY</v>
      </c>
      <c r="BN2" t="str">
        <f t="shared" si="1"/>
        <v>Z_CPI_YOY</v>
      </c>
      <c r="BO2" t="str">
        <f t="shared" si="1"/>
        <v>Z_KLIBOR3M</v>
      </c>
      <c r="BP2" t="str">
        <f t="shared" si="1"/>
        <v>Z_USDMYR</v>
      </c>
      <c r="BQ2" t="str">
        <f t="shared" si="1"/>
        <v>Z_UNEMPLOYMENT</v>
      </c>
      <c r="BR2" t="str">
        <f t="shared" si="1"/>
        <v>Z_KLCI</v>
      </c>
      <c r="BS2" t="str">
        <f t="shared" si="1"/>
        <v>Z_EMAS</v>
      </c>
      <c r="BT2" t="str">
        <f t="shared" si="1"/>
        <v>Z_EXPORT_YOY</v>
      </c>
      <c r="BU2" t="str">
        <f t="shared" si="1"/>
        <v>Z_IMPORT_YOY</v>
      </c>
      <c r="BV2" t="str">
        <f t="shared" si="1"/>
        <v>Z_FIXED_INVESTMENT_YOY</v>
      </c>
      <c r="BW2" t="str">
        <f t="shared" si="1"/>
        <v>Z_DEBT_SERVICE_RATIO</v>
      </c>
      <c r="BX2" t="str">
        <f t="shared" si="1"/>
        <v>Z_OPR</v>
      </c>
      <c r="BY2" t="str">
        <f t="shared" si="1"/>
        <v>Z_GOLD</v>
      </c>
      <c r="BZ2" t="str">
        <f t="shared" si="1"/>
        <v>Z_CSI</v>
      </c>
      <c r="CA2" t="str">
        <f t="shared" si="1"/>
        <v>Z_MYEILI</v>
      </c>
      <c r="CB2" t="str">
        <f t="shared" si="1"/>
        <v>Z_BRENTUSD</v>
      </c>
      <c r="CC2" t="str">
        <f t="shared" si="1"/>
        <v>Z_PRIVCSUM_YOY</v>
      </c>
      <c r="CD2" t="str">
        <f t="shared" ref="CD2" si="2">CONCATENATE("Z_",S2)</f>
        <v>Z_PUBCSUM_YOY</v>
      </c>
      <c r="CE2" t="str">
        <f t="shared" ref="CE2" si="3">CONCATENATE("Z_",T2)</f>
        <v>Z_IPI_YOY</v>
      </c>
      <c r="CG2" t="s">
        <v>34</v>
      </c>
      <c r="CH2" t="str">
        <f t="shared" ref="CH2:CU2" si="4">CONCATENATE("Z_",W2)</f>
        <v>Z_LAG_GDP_YOY</v>
      </c>
      <c r="CI2" t="str">
        <f t="shared" si="4"/>
        <v>Z_LAG_CPI_YOY</v>
      </c>
      <c r="CJ2" t="str">
        <f t="shared" si="4"/>
        <v>Z_LAG_KLIBOR3M</v>
      </c>
      <c r="CK2" t="str">
        <f t="shared" si="4"/>
        <v>Z_LAG_USDMYR</v>
      </c>
      <c r="CL2" t="str">
        <f t="shared" si="4"/>
        <v>Z_LAG_UNEMPLOYMENT</v>
      </c>
      <c r="CM2" t="str">
        <f t="shared" si="4"/>
        <v>Z_LAG_KLCI</v>
      </c>
      <c r="CN2" t="str">
        <f t="shared" si="4"/>
        <v>Z_LAG_EMAS</v>
      </c>
      <c r="CO2" t="str">
        <f t="shared" si="4"/>
        <v>Z_LAG_EXPORT_YOY</v>
      </c>
      <c r="CP2" t="str">
        <f t="shared" si="4"/>
        <v>Z_LAG_IMPORT_YOY</v>
      </c>
      <c r="CQ2" t="str">
        <f t="shared" si="4"/>
        <v>Z_LAG_FIXED_INVESTMENT_YOY</v>
      </c>
      <c r="CR2" t="str">
        <f t="shared" si="4"/>
        <v>Z_LAG_DEBT_SERVICE_RATIO</v>
      </c>
      <c r="CS2" t="str">
        <f t="shared" si="4"/>
        <v>Z_LAG_OPR</v>
      </c>
      <c r="CT2" t="str">
        <f t="shared" si="4"/>
        <v>Z_LAG_GOLD</v>
      </c>
      <c r="CU2" t="str">
        <f t="shared" si="4"/>
        <v>Z_LAG_CSI</v>
      </c>
      <c r="CV2" t="str">
        <f t="shared" ref="CV2" si="5">CONCATENATE("Z_",AK2)</f>
        <v>Z_LAG_MYEILI</v>
      </c>
      <c r="CW2" t="str">
        <f t="shared" ref="CW2" si="6">CONCATENATE("Z_",AL2)</f>
        <v>Z_LAG_BRENTUSD</v>
      </c>
      <c r="CX2" t="str">
        <f t="shared" ref="CX2" si="7">CONCATENATE("Z_",AM2)</f>
        <v>Z_LAG_PRIVCSUM_YOY</v>
      </c>
      <c r="CY2" t="str">
        <f t="shared" ref="CY2" si="8">CONCATENATE("Z_",AN2)</f>
        <v>Z_LAG_PUBCSUM_YOY</v>
      </c>
      <c r="CZ2" t="str">
        <f t="shared" ref="CZ2" si="9">CONCATENATE("Z_",AO2)</f>
        <v>Z_LAG_IPI_YOY</v>
      </c>
      <c r="DB2" t="s">
        <v>34</v>
      </c>
      <c r="DC2" t="str">
        <f t="shared" ref="DC2:DS2" si="10">CONCATENATE("LAG_",BM2)</f>
        <v>LAG_Z_GDP_YOY</v>
      </c>
      <c r="DD2" t="str">
        <f t="shared" si="10"/>
        <v>LAG_Z_CPI_YOY</v>
      </c>
      <c r="DE2" t="str">
        <f t="shared" si="10"/>
        <v>LAG_Z_KLIBOR3M</v>
      </c>
      <c r="DF2" t="str">
        <f t="shared" si="10"/>
        <v>LAG_Z_USDMYR</v>
      </c>
      <c r="DG2" t="str">
        <f t="shared" si="10"/>
        <v>LAG_Z_UNEMPLOYMENT</v>
      </c>
      <c r="DH2" t="str">
        <f t="shared" si="10"/>
        <v>LAG_Z_KLCI</v>
      </c>
      <c r="DI2" t="str">
        <f t="shared" si="10"/>
        <v>LAG_Z_EMAS</v>
      </c>
      <c r="DJ2" t="str">
        <f t="shared" si="10"/>
        <v>LAG_Z_EXPORT_YOY</v>
      </c>
      <c r="DK2" t="str">
        <f t="shared" si="10"/>
        <v>LAG_Z_IMPORT_YOY</v>
      </c>
      <c r="DL2" t="str">
        <f t="shared" si="10"/>
        <v>LAG_Z_FIXED_INVESTMENT_YOY</v>
      </c>
      <c r="DM2" t="str">
        <f t="shared" si="10"/>
        <v>LAG_Z_DEBT_SERVICE_RATIO</v>
      </c>
      <c r="DN2" t="str">
        <f t="shared" si="10"/>
        <v>LAG_Z_OPR</v>
      </c>
      <c r="DO2" t="str">
        <f t="shared" si="10"/>
        <v>LAG_Z_GOLD</v>
      </c>
      <c r="DP2" t="str">
        <f t="shared" si="10"/>
        <v>LAG_Z_CSI</v>
      </c>
      <c r="DQ2" t="str">
        <f t="shared" si="10"/>
        <v>LAG_Z_MYEILI</v>
      </c>
      <c r="DR2" t="str">
        <f t="shared" si="10"/>
        <v>LAG_Z_BRENTUSD</v>
      </c>
      <c r="DS2" t="str">
        <f t="shared" si="10"/>
        <v>LAG_Z_PRIVCSUM_YOY</v>
      </c>
      <c r="DT2" t="str">
        <f t="shared" ref="DT2" si="11">CONCATENATE("LAG_",CD2)</f>
        <v>LAG_Z_PUBCSUM_YOY</v>
      </c>
      <c r="DU2" t="str">
        <f t="shared" ref="DU2" si="12">CONCATENATE("LAG_",CE2)</f>
        <v>LAG_Z_IPI_YOY</v>
      </c>
      <c r="DW2" t="s">
        <v>34</v>
      </c>
      <c r="DX2" t="s">
        <v>251</v>
      </c>
      <c r="DY2" t="s">
        <v>252</v>
      </c>
      <c r="DZ2" t="s">
        <v>253</v>
      </c>
      <c r="EA2" t="s">
        <v>254</v>
      </c>
      <c r="EB2" t="s">
        <v>255</v>
      </c>
      <c r="EC2" t="s">
        <v>256</v>
      </c>
      <c r="ED2" t="s">
        <v>257</v>
      </c>
      <c r="EE2" t="s">
        <v>258</v>
      </c>
      <c r="EF2" t="s">
        <v>259</v>
      </c>
      <c r="EG2" t="s">
        <v>260</v>
      </c>
      <c r="EH2" t="s">
        <v>261</v>
      </c>
      <c r="EI2" t="s">
        <v>262</v>
      </c>
      <c r="EJ2" t="s">
        <v>263</v>
      </c>
      <c r="EK2" t="s">
        <v>264</v>
      </c>
      <c r="EL2" t="s">
        <v>265</v>
      </c>
      <c r="EM2" t="s">
        <v>266</v>
      </c>
      <c r="EN2" t="s">
        <v>267</v>
      </c>
      <c r="EO2" t="s">
        <v>268</v>
      </c>
      <c r="EP2" t="s">
        <v>269</v>
      </c>
      <c r="ER2" t="s">
        <v>34</v>
      </c>
      <c r="ES2" t="str">
        <f t="shared" ref="ES2:FK2" si="13">B17</f>
        <v>AVG_GDP_YOY</v>
      </c>
      <c r="ET2" t="str">
        <f t="shared" si="13"/>
        <v>AVG_CPI_YOY</v>
      </c>
      <c r="EU2" t="str">
        <f t="shared" si="13"/>
        <v>AVG_KLIBOR3M</v>
      </c>
      <c r="EV2" t="str">
        <f t="shared" si="13"/>
        <v>AVG_USDMYR</v>
      </c>
      <c r="EW2" t="str">
        <f t="shared" si="13"/>
        <v>AVG_UNEMPLOYMENT</v>
      </c>
      <c r="EX2" t="str">
        <f t="shared" si="13"/>
        <v>AVG_KLCI</v>
      </c>
      <c r="EY2" t="str">
        <f t="shared" si="13"/>
        <v>AVG_EMAS</v>
      </c>
      <c r="EZ2" t="str">
        <f t="shared" si="13"/>
        <v>AVG_EXPORT_YOY</v>
      </c>
      <c r="FA2" t="str">
        <f t="shared" si="13"/>
        <v>AVG_IMPORT_YOY</v>
      </c>
      <c r="FB2" t="str">
        <f t="shared" si="13"/>
        <v>AVG_FIXED_INVESTMENT_YOY</v>
      </c>
      <c r="FC2" t="str">
        <f t="shared" si="13"/>
        <v>AVG_DEBT_SERVICE_RATIO</v>
      </c>
      <c r="FD2" t="str">
        <f t="shared" si="13"/>
        <v>AVG_OPR</v>
      </c>
      <c r="FE2" t="str">
        <f t="shared" si="13"/>
        <v>AVG_GOLD</v>
      </c>
      <c r="FF2" t="str">
        <f t="shared" si="13"/>
        <v>AVG_CSI</v>
      </c>
      <c r="FG2" t="str">
        <f t="shared" si="13"/>
        <v>AVG_MYEILI</v>
      </c>
      <c r="FH2" t="str">
        <f t="shared" si="13"/>
        <v>AVG_BRENTUSD</v>
      </c>
      <c r="FI2" t="str">
        <f t="shared" si="13"/>
        <v>AVG_PRIVCSUM_YOY</v>
      </c>
      <c r="FJ2" t="str">
        <f t="shared" si="13"/>
        <v>AVG_PUBCSUM_YOY</v>
      </c>
      <c r="FK2" t="str">
        <f t="shared" si="13"/>
        <v>AVG_IPI_YOY</v>
      </c>
      <c r="FM2" t="s">
        <v>34</v>
      </c>
      <c r="FN2" t="str">
        <f t="shared" ref="FN2:GF2" si="14">CONCATENATE("Z_",ES2)</f>
        <v>Z_AVG_GDP_YOY</v>
      </c>
      <c r="FO2" t="str">
        <f t="shared" si="14"/>
        <v>Z_AVG_CPI_YOY</v>
      </c>
      <c r="FP2" t="str">
        <f t="shared" si="14"/>
        <v>Z_AVG_KLIBOR3M</v>
      </c>
      <c r="FQ2" t="str">
        <f t="shared" si="14"/>
        <v>Z_AVG_USDMYR</v>
      </c>
      <c r="FR2" t="str">
        <f t="shared" si="14"/>
        <v>Z_AVG_UNEMPLOYMENT</v>
      </c>
      <c r="FS2" t="str">
        <f t="shared" si="14"/>
        <v>Z_AVG_KLCI</v>
      </c>
      <c r="FT2" t="str">
        <f t="shared" si="14"/>
        <v>Z_AVG_EMAS</v>
      </c>
      <c r="FU2" t="str">
        <f t="shared" si="14"/>
        <v>Z_AVG_EXPORT_YOY</v>
      </c>
      <c r="FV2" t="str">
        <f t="shared" si="14"/>
        <v>Z_AVG_IMPORT_YOY</v>
      </c>
      <c r="FW2" t="str">
        <f t="shared" si="14"/>
        <v>Z_AVG_FIXED_INVESTMENT_YOY</v>
      </c>
      <c r="FX2" t="str">
        <f t="shared" si="14"/>
        <v>Z_AVG_DEBT_SERVICE_RATIO</v>
      </c>
      <c r="FY2" t="str">
        <f t="shared" si="14"/>
        <v>Z_AVG_OPR</v>
      </c>
      <c r="FZ2" t="str">
        <f t="shared" si="14"/>
        <v>Z_AVG_GOLD</v>
      </c>
      <c r="GA2" t="str">
        <f t="shared" si="14"/>
        <v>Z_AVG_CSI</v>
      </c>
      <c r="GB2" t="str">
        <f t="shared" si="14"/>
        <v>Z_AVG_MYEILI</v>
      </c>
      <c r="GC2" t="str">
        <f t="shared" si="14"/>
        <v>Z_AVG_BRENTUSD</v>
      </c>
      <c r="GD2" t="str">
        <f t="shared" si="14"/>
        <v>Z_AVG_PRIVCSUM_YOY</v>
      </c>
      <c r="GE2" t="str">
        <f t="shared" si="14"/>
        <v>Z_AVG_PUBCSUM_YOY</v>
      </c>
      <c r="GF2" t="str">
        <f t="shared" si="14"/>
        <v>Z_AVG_IPI_YOY</v>
      </c>
      <c r="GH2" t="s">
        <v>34</v>
      </c>
      <c r="GI2" t="s">
        <v>183</v>
      </c>
      <c r="GJ2" t="s">
        <v>184</v>
      </c>
      <c r="GK2" t="s">
        <v>185</v>
      </c>
      <c r="GL2" t="s">
        <v>186</v>
      </c>
      <c r="GM2" t="s">
        <v>187</v>
      </c>
      <c r="GN2" t="s">
        <v>188</v>
      </c>
      <c r="GO2" t="s">
        <v>189</v>
      </c>
      <c r="GP2" t="s">
        <v>190</v>
      </c>
      <c r="GQ2" t="s">
        <v>191</v>
      </c>
      <c r="GR2" t="s">
        <v>192</v>
      </c>
      <c r="GS2" t="s">
        <v>193</v>
      </c>
      <c r="GT2" t="s">
        <v>194</v>
      </c>
      <c r="GU2" t="s">
        <v>195</v>
      </c>
      <c r="GV2" t="s">
        <v>196</v>
      </c>
      <c r="GW2" t="s">
        <v>197</v>
      </c>
      <c r="GX2" t="s">
        <v>198</v>
      </c>
      <c r="GY2" t="s">
        <v>199</v>
      </c>
      <c r="GZ2" t="s">
        <v>200</v>
      </c>
      <c r="HA2" t="s">
        <v>201</v>
      </c>
      <c r="HC2" t="s">
        <v>34</v>
      </c>
      <c r="HD2" t="str">
        <f t="shared" ref="HD2:HV2" si="15">CONCATENATE("LAG_",FN2)</f>
        <v>LAG_Z_AVG_GDP_YOY</v>
      </c>
      <c r="HE2" t="str">
        <f t="shared" si="15"/>
        <v>LAG_Z_AVG_CPI_YOY</v>
      </c>
      <c r="HF2" t="str">
        <f t="shared" si="15"/>
        <v>LAG_Z_AVG_KLIBOR3M</v>
      </c>
      <c r="HG2" t="str">
        <f t="shared" si="15"/>
        <v>LAG_Z_AVG_USDMYR</v>
      </c>
      <c r="HH2" t="str">
        <f t="shared" si="15"/>
        <v>LAG_Z_AVG_UNEMPLOYMENT</v>
      </c>
      <c r="HI2" t="str">
        <f t="shared" si="15"/>
        <v>LAG_Z_AVG_KLCI</v>
      </c>
      <c r="HJ2" t="str">
        <f t="shared" si="15"/>
        <v>LAG_Z_AVG_EMAS</v>
      </c>
      <c r="HK2" t="str">
        <f t="shared" si="15"/>
        <v>LAG_Z_AVG_EXPORT_YOY</v>
      </c>
      <c r="HL2" t="str">
        <f t="shared" si="15"/>
        <v>LAG_Z_AVG_IMPORT_YOY</v>
      </c>
      <c r="HM2" t="str">
        <f t="shared" si="15"/>
        <v>LAG_Z_AVG_FIXED_INVESTMENT_YOY</v>
      </c>
      <c r="HN2" t="str">
        <f t="shared" si="15"/>
        <v>LAG_Z_AVG_DEBT_SERVICE_RATIO</v>
      </c>
      <c r="HO2" t="str">
        <f t="shared" si="15"/>
        <v>LAG_Z_AVG_OPR</v>
      </c>
      <c r="HP2" t="str">
        <f t="shared" si="15"/>
        <v>LAG_Z_AVG_GOLD</v>
      </c>
      <c r="HQ2" t="str">
        <f t="shared" si="15"/>
        <v>LAG_Z_AVG_CSI</v>
      </c>
      <c r="HR2" t="str">
        <f t="shared" si="15"/>
        <v>LAG_Z_AVG_MYEILI</v>
      </c>
      <c r="HS2" t="str">
        <f t="shared" si="15"/>
        <v>LAG_Z_AVG_BRENTUSD</v>
      </c>
      <c r="HT2" t="str">
        <f t="shared" si="15"/>
        <v>LAG_Z_AVG_PRIVCSUM_YOY</v>
      </c>
      <c r="HU2" t="str">
        <f t="shared" si="15"/>
        <v>LAG_Z_AVG_PUBCSUM_YOY</v>
      </c>
      <c r="HV2" t="str">
        <f t="shared" si="15"/>
        <v>LAG_Z_AVG_IPI_YOY</v>
      </c>
      <c r="HX2" t="s">
        <v>34</v>
      </c>
      <c r="HY2" t="str">
        <f t="shared" ref="HY2:IQ2" si="16">CONCATENATE("LAG_",ES2)</f>
        <v>LAG_AVG_GDP_YOY</v>
      </c>
      <c r="HZ2" t="str">
        <f t="shared" si="16"/>
        <v>LAG_AVG_CPI_YOY</v>
      </c>
      <c r="IA2" t="str">
        <f t="shared" si="16"/>
        <v>LAG_AVG_KLIBOR3M</v>
      </c>
      <c r="IB2" t="str">
        <f t="shared" si="16"/>
        <v>LAG_AVG_USDMYR</v>
      </c>
      <c r="IC2" t="str">
        <f t="shared" si="16"/>
        <v>LAG_AVG_UNEMPLOYMENT</v>
      </c>
      <c r="ID2" t="str">
        <f t="shared" si="16"/>
        <v>LAG_AVG_KLCI</v>
      </c>
      <c r="IE2" t="str">
        <f t="shared" si="16"/>
        <v>LAG_AVG_EMAS</v>
      </c>
      <c r="IF2" t="str">
        <f t="shared" si="16"/>
        <v>LAG_AVG_EXPORT_YOY</v>
      </c>
      <c r="IG2" t="str">
        <f t="shared" si="16"/>
        <v>LAG_AVG_IMPORT_YOY</v>
      </c>
      <c r="IH2" t="str">
        <f t="shared" si="16"/>
        <v>LAG_AVG_FIXED_INVESTMENT_YOY</v>
      </c>
      <c r="II2" t="str">
        <f t="shared" si="16"/>
        <v>LAG_AVG_DEBT_SERVICE_RATIO</v>
      </c>
      <c r="IJ2" t="str">
        <f t="shared" si="16"/>
        <v>LAG_AVG_OPR</v>
      </c>
      <c r="IK2" t="str">
        <f t="shared" si="16"/>
        <v>LAG_AVG_GOLD</v>
      </c>
      <c r="IL2" t="str">
        <f t="shared" si="16"/>
        <v>LAG_AVG_CSI</v>
      </c>
      <c r="IM2" t="str">
        <f t="shared" si="16"/>
        <v>LAG_AVG_MYEILI</v>
      </c>
      <c r="IN2" t="str">
        <f t="shared" si="16"/>
        <v>LAG_AVG_BRENTUSD</v>
      </c>
      <c r="IO2" t="str">
        <f t="shared" si="16"/>
        <v>LAG_AVG_PRIVCSUM_YOY</v>
      </c>
      <c r="IP2" t="str">
        <f t="shared" si="16"/>
        <v>LAG_AVG_PUBCSUM_YOY</v>
      </c>
      <c r="IQ2" t="str">
        <f t="shared" si="16"/>
        <v>LAG_AVG_IPI_YOY</v>
      </c>
      <c r="IS2" t="s">
        <v>34</v>
      </c>
      <c r="IT2" t="str">
        <f t="shared" ref="IT2:JL2" si="17">CONCATENATE("Z_",HY2)</f>
        <v>Z_LAG_AVG_GDP_YOY</v>
      </c>
      <c r="IU2" t="str">
        <f t="shared" si="17"/>
        <v>Z_LAG_AVG_CPI_YOY</v>
      </c>
      <c r="IV2" t="str">
        <f t="shared" si="17"/>
        <v>Z_LAG_AVG_KLIBOR3M</v>
      </c>
      <c r="IW2" t="str">
        <f t="shared" si="17"/>
        <v>Z_LAG_AVG_USDMYR</v>
      </c>
      <c r="IX2" t="str">
        <f t="shared" si="17"/>
        <v>Z_LAG_AVG_UNEMPLOYMENT</v>
      </c>
      <c r="IY2" t="str">
        <f t="shared" si="17"/>
        <v>Z_LAG_AVG_KLCI</v>
      </c>
      <c r="IZ2" t="str">
        <f t="shared" si="17"/>
        <v>Z_LAG_AVG_EMAS</v>
      </c>
      <c r="JA2" t="str">
        <f t="shared" si="17"/>
        <v>Z_LAG_AVG_EXPORT_YOY</v>
      </c>
      <c r="JB2" t="str">
        <f t="shared" si="17"/>
        <v>Z_LAG_AVG_IMPORT_YOY</v>
      </c>
      <c r="JC2" t="str">
        <f t="shared" si="17"/>
        <v>Z_LAG_AVG_FIXED_INVESTMENT_YOY</v>
      </c>
      <c r="JD2" t="str">
        <f t="shared" si="17"/>
        <v>Z_LAG_AVG_DEBT_SERVICE_RATIO</v>
      </c>
      <c r="JE2" t="str">
        <f t="shared" si="17"/>
        <v>Z_LAG_AVG_OPR</v>
      </c>
      <c r="JF2" t="str">
        <f t="shared" si="17"/>
        <v>Z_LAG_AVG_GOLD</v>
      </c>
      <c r="JG2" t="str">
        <f t="shared" si="17"/>
        <v>Z_LAG_AVG_CSI</v>
      </c>
      <c r="JH2" t="str">
        <f t="shared" si="17"/>
        <v>Z_LAG_AVG_MYEILI</v>
      </c>
      <c r="JI2" t="str">
        <f t="shared" si="17"/>
        <v>Z_LAG_AVG_BRENTUSD</v>
      </c>
      <c r="JJ2" t="str">
        <f t="shared" si="17"/>
        <v>Z_LAG_AVG_PRIVCSUM_YOY</v>
      </c>
      <c r="JK2" t="str">
        <f t="shared" si="17"/>
        <v>Z_LAG_AVG_PUBCSUM_YOY</v>
      </c>
      <c r="JL2" t="str">
        <f t="shared" si="17"/>
        <v>Z_LAG_AVG_IPI_YOY</v>
      </c>
      <c r="JN2" t="s">
        <v>34</v>
      </c>
      <c r="JO2" t="str">
        <f>CONCATENATE("YYC_",D2)</f>
        <v>YYC_KLIBOR3M</v>
      </c>
      <c r="JP2" t="str">
        <f>CONCATENATE("YYC_",E2)</f>
        <v>YYC_USDMYR</v>
      </c>
      <c r="JQ2" t="str">
        <f>CONCATENATE("YYC_",F2)</f>
        <v>YYC_UNEMPLOYMENT</v>
      </c>
      <c r="JR2" t="str">
        <f>CONCATENATE("YYC_",G2)</f>
        <v>YYC_KLCI</v>
      </c>
      <c r="JS2" t="str">
        <f>CONCATENATE("YYC_",H2)</f>
        <v>YYC_EMAS</v>
      </c>
      <c r="JT2" t="str">
        <f t="shared" ref="JT2:JY2" si="18">CONCATENATE("YYC_",L2)</f>
        <v>YYC_DEBT_SERVICE_RATIO</v>
      </c>
      <c r="JU2" t="str">
        <f t="shared" si="18"/>
        <v>YYC_OPR</v>
      </c>
      <c r="JV2" t="str">
        <f t="shared" si="18"/>
        <v>YYC_GOLD</v>
      </c>
      <c r="JW2" t="str">
        <f t="shared" si="18"/>
        <v>YYC_CSI</v>
      </c>
      <c r="JX2" t="str">
        <f t="shared" si="18"/>
        <v>YYC_MYEILI</v>
      </c>
      <c r="JY2" t="str">
        <f t="shared" si="18"/>
        <v>YYC_BRENTUSD</v>
      </c>
      <c r="KA2" t="s">
        <v>34</v>
      </c>
      <c r="KB2" t="str">
        <f>CONCATENATE("Z_",JO2)</f>
        <v>Z_YYC_KLIBOR3M</v>
      </c>
      <c r="KC2" t="str">
        <f t="shared" ref="KC2:KK2" si="19">CONCATENATE("Z_",JP2)</f>
        <v>Z_YYC_USDMYR</v>
      </c>
      <c r="KD2" t="str">
        <f t="shared" si="19"/>
        <v>Z_YYC_UNEMPLOYMENT</v>
      </c>
      <c r="KE2" t="str">
        <f t="shared" si="19"/>
        <v>Z_YYC_KLCI</v>
      </c>
      <c r="KF2" t="str">
        <f t="shared" si="19"/>
        <v>Z_YYC_EMAS</v>
      </c>
      <c r="KG2" t="str">
        <f t="shared" si="19"/>
        <v>Z_YYC_DEBT_SERVICE_RATIO</v>
      </c>
      <c r="KH2" t="str">
        <f t="shared" si="19"/>
        <v>Z_YYC_OPR</v>
      </c>
      <c r="KI2" t="str">
        <f t="shared" si="19"/>
        <v>Z_YYC_GOLD</v>
      </c>
      <c r="KJ2" t="str">
        <f t="shared" si="19"/>
        <v>Z_YYC_CSI</v>
      </c>
      <c r="KK2" t="str">
        <f t="shared" si="19"/>
        <v>Z_YYC_MYEILI</v>
      </c>
      <c r="KL2" t="str">
        <f>CONCATENATE("Z_",JY2)</f>
        <v>Z_YYC_BRENTUSD</v>
      </c>
    </row>
    <row r="3" spans="1:298" x14ac:dyDescent="0.35">
      <c r="A3" t="s">
        <v>119</v>
      </c>
      <c r="B3">
        <f>'Sorting Y'!B2/100</f>
        <v>0.05</v>
      </c>
      <c r="C3">
        <f>'Sorting Y'!C2/100</f>
        <v>2.2000000000000002E-2</v>
      </c>
      <c r="D3">
        <f>'Sorting Y'!D2/100</f>
        <v>2.98E-2</v>
      </c>
      <c r="E3">
        <f>'Sorting Y'!E2</f>
        <v>3.0834999999999999</v>
      </c>
      <c r="F3">
        <f>'Sorting Y'!F2/100</f>
        <v>3.1E-2</v>
      </c>
      <c r="G3">
        <f>'Sorting Y'!G2</f>
        <v>1518.91</v>
      </c>
      <c r="H3">
        <f>'Sorting Y'!H2</f>
        <v>10374.98</v>
      </c>
      <c r="I3">
        <f>'Sorting Y'!I2/100</f>
        <v>2.4E-2</v>
      </c>
      <c r="J3">
        <f>'Sorting Y'!J2/100</f>
        <v>4.2999999999999997E-2</v>
      </c>
      <c r="K3">
        <f>'Sorting Y'!K2/100</f>
        <v>0.13</v>
      </c>
      <c r="L3">
        <f>'Sorting Y'!L2/100</f>
        <v>0.09</v>
      </c>
      <c r="M3">
        <f>'Sorting Y'!M2/100</f>
        <v>2.7999999999999997E-2</v>
      </c>
      <c r="N3">
        <f>'Sorting Y'!N2</f>
        <v>1421.4</v>
      </c>
      <c r="O3">
        <f>'Sorting Y'!O2</f>
        <v>117.2</v>
      </c>
      <c r="P3">
        <f>'Sorting Y'!P2</f>
        <v>94.1</v>
      </c>
      <c r="Q3">
        <f>'Sorting Y'!Q2</f>
        <v>94.75</v>
      </c>
      <c r="R3">
        <f>'Sorting Y'!R2/100</f>
        <v>6.6833104481338168E-2</v>
      </c>
      <c r="S3">
        <f>'Sorting Y'!S2/100</f>
        <v>3.0989543870283409E-2</v>
      </c>
      <c r="T3">
        <f>'Sorting Y'!T2/100</f>
        <v>3.7325177491846828E-2</v>
      </c>
      <c r="V3" t="s">
        <v>35</v>
      </c>
      <c r="W3">
        <f>B3</f>
        <v>0.05</v>
      </c>
      <c r="X3">
        <f t="shared" ref="X3:AO13" si="20">C3</f>
        <v>2.2000000000000002E-2</v>
      </c>
      <c r="Y3">
        <f t="shared" si="20"/>
        <v>2.98E-2</v>
      </c>
      <c r="Z3">
        <f t="shared" si="20"/>
        <v>3.0834999999999999</v>
      </c>
      <c r="AA3">
        <f t="shared" si="20"/>
        <v>3.1E-2</v>
      </c>
      <c r="AB3">
        <f t="shared" si="20"/>
        <v>1518.91</v>
      </c>
      <c r="AC3">
        <f t="shared" si="20"/>
        <v>10374.98</v>
      </c>
      <c r="AD3">
        <f t="shared" si="20"/>
        <v>2.4E-2</v>
      </c>
      <c r="AE3">
        <f t="shared" si="20"/>
        <v>4.2999999999999997E-2</v>
      </c>
      <c r="AF3">
        <f t="shared" si="20"/>
        <v>0.13</v>
      </c>
      <c r="AG3">
        <f t="shared" si="20"/>
        <v>0.09</v>
      </c>
      <c r="AH3">
        <f t="shared" si="20"/>
        <v>2.7999999999999997E-2</v>
      </c>
      <c r="AI3">
        <f t="shared" si="20"/>
        <v>1421.4</v>
      </c>
      <c r="AJ3">
        <f t="shared" si="20"/>
        <v>117.2</v>
      </c>
      <c r="AK3">
        <f t="shared" si="20"/>
        <v>94.1</v>
      </c>
      <c r="AL3">
        <f t="shared" si="20"/>
        <v>94.75</v>
      </c>
      <c r="AM3">
        <f t="shared" si="20"/>
        <v>6.6833104481338168E-2</v>
      </c>
      <c r="AN3">
        <f t="shared" si="20"/>
        <v>3.0989543870283409E-2</v>
      </c>
      <c r="AO3">
        <f t="shared" si="20"/>
        <v>3.7325177491846828E-2</v>
      </c>
      <c r="AQ3" t="s">
        <v>35</v>
      </c>
      <c r="AR3">
        <f>(B4-AVERAGE(B$4:B$14))/_xlfn.STDEV.S(B$4:B$14)</f>
        <v>0.47300177306701102</v>
      </c>
      <c r="AS3">
        <f t="shared" ref="AS3:BJ13" si="21">(C4-AVERAGE(C$4:C$14))/_xlfn.STDEV.S(C$4:C$14)</f>
        <v>0.71088849841910473</v>
      </c>
      <c r="AT3">
        <f t="shared" si="21"/>
        <v>1.2726794517311792E-2</v>
      </c>
      <c r="AU3">
        <f t="shared" si="21"/>
        <v>-1.3558227593488401</v>
      </c>
      <c r="AV3">
        <f t="shared" si="21"/>
        <v>-0.67961520939762277</v>
      </c>
      <c r="AW3">
        <f t="shared" si="21"/>
        <v>-1.4467059597252703</v>
      </c>
      <c r="AX3">
        <f t="shared" si="21"/>
        <v>-1.7599925825903164</v>
      </c>
      <c r="AY3">
        <f t="shared" si="21"/>
        <v>0.59256225727901013</v>
      </c>
      <c r="AZ3">
        <f t="shared" si="21"/>
        <v>0.76775602890665307</v>
      </c>
      <c r="BA3">
        <f t="shared" si="21"/>
        <v>0.59366916333431841</v>
      </c>
      <c r="BB3">
        <f t="shared" si="21"/>
        <v>-0.50724993047532474</v>
      </c>
      <c r="BC3">
        <f t="shared" si="21"/>
        <v>0.25125945381480397</v>
      </c>
      <c r="BD3">
        <f t="shared" si="21"/>
        <v>0.4885974289757562</v>
      </c>
      <c r="BE3">
        <f>(O4-AVERAGE(O$4:O$12))/_xlfn.STDEV.S(O$4:O$12)</f>
        <v>1.0927119014098576</v>
      </c>
      <c r="BF3">
        <f t="shared" si="21"/>
        <v>-1.3335534488053751</v>
      </c>
      <c r="BG3">
        <f t="shared" si="21"/>
        <v>1.342334046975689</v>
      </c>
      <c r="BH3">
        <f t="shared" si="21"/>
        <v>0.40917035309950189</v>
      </c>
      <c r="BI3">
        <f t="shared" si="21"/>
        <v>2.6453564273955466</v>
      </c>
      <c r="BJ3">
        <f t="shared" si="21"/>
        <v>-0.22112635784633317</v>
      </c>
      <c r="BL3" t="s">
        <v>119</v>
      </c>
      <c r="BM3">
        <f t="shared" ref="BM3:BY3" si="22">(B3-AVERAGE(B$3:B$14))/_xlfn.STDEV.S(B$3:B$14)</f>
        <v>0.27249875719180844</v>
      </c>
      <c r="BN3">
        <f t="shared" si="22"/>
        <v>0.18195493864971579</v>
      </c>
      <c r="BO3">
        <f t="shared" si="22"/>
        <v>-0.34462880972492133</v>
      </c>
      <c r="BP3">
        <f t="shared" si="22"/>
        <v>-1.3324688301044372</v>
      </c>
      <c r="BQ3">
        <f t="shared" si="22"/>
        <v>-0.6399800528806403</v>
      </c>
      <c r="BR3">
        <f t="shared" si="22"/>
        <v>-1.3583986594085264</v>
      </c>
      <c r="BS3">
        <f t="shared" si="22"/>
        <v>-1.5974092103284205</v>
      </c>
      <c r="BT3">
        <f t="shared" si="22"/>
        <v>-7.0966527192106763E-2</v>
      </c>
      <c r="BU3">
        <f t="shared" si="22"/>
        <v>0.18219430617887877</v>
      </c>
      <c r="BV3">
        <f t="shared" si="22"/>
        <v>1.3686800458373403</v>
      </c>
      <c r="BW3">
        <f t="shared" si="22"/>
        <v>-1.4712678213250543</v>
      </c>
      <c r="BX3">
        <f t="shared" si="22"/>
        <v>-0.11265837386640741</v>
      </c>
      <c r="BY3">
        <f t="shared" si="22"/>
        <v>-8.973154904809667E-3</v>
      </c>
      <c r="BZ3">
        <f>(O3-AVERAGE(O$3:O$12))/_xlfn.STDEV.S(O$3:O$12)</f>
        <v>1.4258446167071772</v>
      </c>
      <c r="CA3">
        <f t="shared" ref="CA3:CA14" si="23">(P3-AVERAGE(P$3:P$14))/_xlfn.STDEV.S(P$3:P$14)</f>
        <v>-1.1741021696063081</v>
      </c>
      <c r="CB3">
        <f t="shared" ref="CB3:CB14" si="24">(Q3-AVERAGE(Q$3:Q$14))/_xlfn.STDEV.S(Q$3:Q$14)</f>
        <v>0.79747175470070641</v>
      </c>
      <c r="CC3">
        <f t="shared" ref="CC3:CC14" si="25">(R3-AVERAGE(R$3:R$14))/_xlfn.STDEV.S(R$3:R$14)</f>
        <v>0.25196014319376331</v>
      </c>
      <c r="CD3">
        <f t="shared" ref="CD3:CD14" si="26">(S3-AVERAGE(S$3:S$14))/_xlfn.STDEV.S(S$3:S$14)</f>
        <v>-0.19103833121137523</v>
      </c>
      <c r="CE3">
        <f t="shared" ref="CE3:CE14" si="27">(T3-AVERAGE(T$3:T$14))/_xlfn.STDEV.S(T$3:T$14)</f>
        <v>-5.0802103166581881E-2</v>
      </c>
      <c r="CG3" t="s">
        <v>35</v>
      </c>
      <c r="CH3">
        <f>(W3-AVERAGE(W$3:W$13))/_xlfn.STDEV.S(W$3:W$13)</f>
        <v>0.23654368603763024</v>
      </c>
      <c r="CI3">
        <f t="shared" ref="CH3:CT3" si="28">(X3-AVERAGE(X$3:X$13))/_xlfn.STDEV.S(X$3:X$13)</f>
        <v>0.25814816266596646</v>
      </c>
      <c r="CJ3">
        <f t="shared" si="28"/>
        <v>-0.60237839572024299</v>
      </c>
      <c r="CK3">
        <f t="shared" si="28"/>
        <v>-1.2405393755077565</v>
      </c>
      <c r="CL3">
        <f t="shared" si="28"/>
        <v>-0.54525630647091183</v>
      </c>
      <c r="CM3">
        <f t="shared" si="28"/>
        <v>-1.4328798867625465</v>
      </c>
      <c r="CN3">
        <f t="shared" si="28"/>
        <v>-1.5690129881301287</v>
      </c>
      <c r="CO3">
        <f t="shared" si="28"/>
        <v>0.17919935393883171</v>
      </c>
      <c r="CP3">
        <f t="shared" si="28"/>
        <v>0.49663977811075583</v>
      </c>
      <c r="CQ3">
        <f t="shared" si="28"/>
        <v>1.2790751302693142</v>
      </c>
      <c r="CR3">
        <f t="shared" si="28"/>
        <v>-1.5452083175971358</v>
      </c>
      <c r="CS3">
        <f t="shared" si="28"/>
        <v>-0.3718568433708383</v>
      </c>
      <c r="CT3">
        <f t="shared" si="28"/>
        <v>0.13471094809102954</v>
      </c>
      <c r="CU3">
        <f>(AJ3-AVERAGE(AJ$3:AJ$12))/_xlfn.STDEV.S(AJ$3:AJ$12)</f>
        <v>1.4258446167071772</v>
      </c>
      <c r="CV3">
        <f t="shared" ref="CV3:CV13" si="29">(AK3-AVERAGE(AK$3:AK$13))/_xlfn.STDEV.S(AK$3:AK$13)</f>
        <v>-1.2359184668750431</v>
      </c>
      <c r="CW3">
        <f t="shared" ref="CW3:CW13" si="30">(AL3-AVERAGE(AL$3:AL$13))/_xlfn.STDEV.S(AL$3:AL$13)</f>
        <v>0.77279694006327837</v>
      </c>
      <c r="CX3">
        <f t="shared" ref="CX3:CX13" si="31">(AM3-AVERAGE(AM$3:AM$13))/_xlfn.STDEV.S(AM$3:AM$13)</f>
        <v>0.18476365055924449</v>
      </c>
      <c r="CY3">
        <f t="shared" ref="CY3:CY13" si="32">(AN3-AVERAGE(AN$3:AN$13))/_xlfn.STDEV.S(AN$3:AN$13)</f>
        <v>-0.2226653115308769</v>
      </c>
      <c r="CZ3">
        <f t="shared" ref="CZ3:CZ13" si="33">(AO3-AVERAGE(AO$3:AO$13))/_xlfn.STDEV.S(AO$3:AO$13)</f>
        <v>8.5355527264647263E-2</v>
      </c>
      <c r="DB3" t="s">
        <v>35</v>
      </c>
      <c r="DC3">
        <f t="shared" ref="DC3:DC13" si="34">BM3</f>
        <v>0.27249875719180844</v>
      </c>
      <c r="DD3">
        <f t="shared" ref="DD3:DD13" si="35">BN3</f>
        <v>0.18195493864971579</v>
      </c>
      <c r="DE3">
        <f t="shared" ref="DE3:DE13" si="36">BO3</f>
        <v>-0.34462880972492133</v>
      </c>
      <c r="DF3">
        <f t="shared" ref="DF3:DF13" si="37">BP3</f>
        <v>-1.3324688301044372</v>
      </c>
      <c r="DG3">
        <f t="shared" ref="DG3:DG13" si="38">BQ3</f>
        <v>-0.6399800528806403</v>
      </c>
      <c r="DH3">
        <f t="shared" ref="DH3:DH13" si="39">BR3</f>
        <v>-1.3583986594085264</v>
      </c>
      <c r="DI3">
        <f t="shared" ref="DI3:DI13" si="40">BS3</f>
        <v>-1.5974092103284205</v>
      </c>
      <c r="DJ3">
        <f t="shared" ref="DJ3:DJ13" si="41">BT3</f>
        <v>-7.0966527192106763E-2</v>
      </c>
      <c r="DK3">
        <f t="shared" ref="DK3:DK13" si="42">BU3</f>
        <v>0.18219430617887877</v>
      </c>
      <c r="DL3">
        <f t="shared" ref="DL3:DL13" si="43">BV3</f>
        <v>1.3686800458373403</v>
      </c>
      <c r="DM3">
        <f t="shared" ref="DM3:DM13" si="44">BW3</f>
        <v>-1.4712678213250543</v>
      </c>
      <c r="DN3">
        <f t="shared" ref="DN3:DN13" si="45">BX3</f>
        <v>-0.11265837386640741</v>
      </c>
      <c r="DO3">
        <f t="shared" ref="DO3:DO13" si="46">BY3</f>
        <v>-8.973154904809667E-3</v>
      </c>
      <c r="DP3">
        <f t="shared" ref="DP3:DP13" si="47">BZ3</f>
        <v>1.4258446167071772</v>
      </c>
      <c r="DQ3">
        <f t="shared" ref="DQ3:DQ13" si="48">CA3</f>
        <v>-1.1741021696063081</v>
      </c>
      <c r="DR3">
        <f t="shared" ref="DR3:DR13" si="49">CB3</f>
        <v>0.79747175470070641</v>
      </c>
      <c r="DS3">
        <f t="shared" ref="DS3:DS13" si="50">CC3</f>
        <v>0.25196014319376331</v>
      </c>
      <c r="DT3">
        <f t="shared" ref="DT3:DT13" si="51">CD3</f>
        <v>-0.19103833121137523</v>
      </c>
      <c r="DU3">
        <f t="shared" ref="DU3:DU13" si="52">CE3</f>
        <v>-5.0802103166581881E-2</v>
      </c>
      <c r="DW3" t="s">
        <v>35</v>
      </c>
      <c r="DX3">
        <f>B19/100</f>
        <v>5.2750000000000005E-2</v>
      </c>
      <c r="DY3">
        <f>C19/100</f>
        <v>3.2250000000000001E-2</v>
      </c>
      <c r="DZ3">
        <f>D19/100</f>
        <v>3.2024999999999998E-2</v>
      </c>
      <c r="EA3">
        <f t="shared" ref="EA3:EM13" si="53">E19</f>
        <v>3.1005500000000001</v>
      </c>
      <c r="EB3">
        <f>F19/100</f>
        <v>3.15E-2</v>
      </c>
      <c r="EC3">
        <f t="shared" si="53"/>
        <v>1510.5149999999999</v>
      </c>
      <c r="ED3">
        <f t="shared" si="53"/>
        <v>10335.3375</v>
      </c>
      <c r="EE3">
        <f>I19/100</f>
        <v>4.1749999999999995E-2</v>
      </c>
      <c r="EF3">
        <f>J19/100</f>
        <v>6.4000000000000001E-2</v>
      </c>
      <c r="EG3">
        <f>K19/100</f>
        <v>6.5000000000000002E-2</v>
      </c>
      <c r="EH3">
        <f>L19/100</f>
        <v>0.15375</v>
      </c>
      <c r="EI3">
        <f>M19/100</f>
        <v>2.9500000000000002E-2</v>
      </c>
      <c r="EJ3">
        <f t="shared" si="53"/>
        <v>1530.27</v>
      </c>
      <c r="EK3">
        <f t="shared" si="53"/>
        <v>107.77500000000001</v>
      </c>
      <c r="EL3">
        <f t="shared" si="53"/>
        <v>93.45</v>
      </c>
      <c r="EM3">
        <f t="shared" si="53"/>
        <v>109.995</v>
      </c>
      <c r="EN3">
        <f>R19/100</f>
        <v>6.8519938514500112E-2</v>
      </c>
      <c r="EO3">
        <f>S19/100</f>
        <v>0.1329291798579339</v>
      </c>
      <c r="EP3">
        <f>T19/100</f>
        <v>2.3876701689565297E-2</v>
      </c>
      <c r="ER3" t="s">
        <v>119</v>
      </c>
      <c r="ES3">
        <f t="shared" ref="ES3:ES13" si="54">B18/100</f>
        <v>7.5500000000000012E-2</v>
      </c>
      <c r="ET3">
        <f t="shared" ref="ET3:ET13" si="55">C18/100</f>
        <v>1.7500000000000002E-2</v>
      </c>
      <c r="EU3">
        <f t="shared" ref="EU3:EU13" si="56">D18/100</f>
        <v>2.7875E-2</v>
      </c>
      <c r="EV3">
        <f t="shared" ref="EV3:EV14" si="57">E18</f>
        <v>3.1677749999999998</v>
      </c>
      <c r="EW3">
        <f t="shared" ref="EW3:EW13" si="58">F18/100</f>
        <v>3.3000000000000002E-2</v>
      </c>
      <c r="EX3">
        <f t="shared" ref="EX3:EX14" si="59">G18</f>
        <v>1404.25</v>
      </c>
      <c r="EY3">
        <f t="shared" ref="EY3:EY14" si="60">H18</f>
        <v>9501.8125</v>
      </c>
      <c r="EZ3">
        <f t="shared" ref="EZ3:EZ13" si="61">I18/100</f>
        <v>0.11699999999999999</v>
      </c>
      <c r="FA3">
        <f t="shared" ref="FA3:FA13" si="62">J18/100</f>
        <v>0.16824999999999998</v>
      </c>
      <c r="FB3">
        <f t="shared" ref="FB3:FB13" si="63">K18/100</f>
        <v>0.11774999999999998</v>
      </c>
      <c r="FC3">
        <f t="shared" ref="FC3:FC13" si="64">L18/100</f>
        <v>0.10675000000000001</v>
      </c>
      <c r="FD3">
        <f t="shared" ref="FD3:FD13" si="65">M18/100</f>
        <v>2.5999999999999995E-2</v>
      </c>
      <c r="FE3">
        <f t="shared" ref="FE3:FE14" si="66">N18</f>
        <v>1271.3924999999999</v>
      </c>
      <c r="FF3">
        <f t="shared" ref="FF3:FF14" si="67">O18</f>
        <v>114.4</v>
      </c>
      <c r="FG3">
        <f t="shared" ref="FG3:FG14" si="68">P18</f>
        <v>92.675000000000011</v>
      </c>
      <c r="FH3">
        <f t="shared" ref="FH3:FH14" si="69">Q18</f>
        <v>83.692499999999995</v>
      </c>
      <c r="FI3">
        <f t="shared" ref="FI3:FI13" si="70">R18/100</f>
        <v>6.86659251210745E-2</v>
      </c>
      <c r="FJ3">
        <f t="shared" ref="FJ3:FJ13" si="71">S18/100</f>
        <v>4.0835655721988974E-2</v>
      </c>
      <c r="FK3">
        <f t="shared" ref="FK3:FK13" si="72">T18/100</f>
        <v>7.3207211486786272E-2</v>
      </c>
      <c r="FM3" t="s">
        <v>35</v>
      </c>
      <c r="FN3">
        <f>(DX3-AVERAGE(DX$3:DX$13))/_xlfn.STDEV.S(DX$3:DX$13)</f>
        <v>0.38886650674220608</v>
      </c>
      <c r="FO3">
        <f t="shared" ref="FO3:GF13" si="73">(DY3-AVERAGE(DY$3:DY$13))/_xlfn.STDEV.S(DY$3:DY$13)</f>
        <v>0.91016840891854756</v>
      </c>
      <c r="FP3">
        <f t="shared" si="73"/>
        <v>-1.9503203064795398E-2</v>
      </c>
      <c r="FQ3">
        <f t="shared" si="73"/>
        <v>-1.3958684410023978</v>
      </c>
      <c r="FR3">
        <f t="shared" si="73"/>
        <v>-0.52684279445536975</v>
      </c>
      <c r="FS3">
        <f t="shared" si="73"/>
        <v>-1.3638108295278137</v>
      </c>
      <c r="FT3">
        <f t="shared" si="73"/>
        <v>-1.6890066297890187</v>
      </c>
      <c r="FU3">
        <f t="shared" si="73"/>
        <v>0.26856468652708315</v>
      </c>
      <c r="FV3">
        <f t="shared" si="73"/>
        <v>0.44254900308704903</v>
      </c>
      <c r="FW3">
        <f t="shared" si="73"/>
        <v>0.40601905786728681</v>
      </c>
      <c r="FX3">
        <f t="shared" si="73"/>
        <v>-0.14209132168296254</v>
      </c>
      <c r="FY3">
        <f t="shared" si="73"/>
        <v>0.1277410015122718</v>
      </c>
      <c r="FZ3">
        <f t="shared" si="73"/>
        <v>0.45252664147714944</v>
      </c>
      <c r="GA3">
        <f>(EK3-AVERAGE(EK$3:EK$10))/_xlfn.STDEV.S(EK$3:EK$10)</f>
        <v>0.7726030239470999</v>
      </c>
      <c r="GB3">
        <f t="shared" si="73"/>
        <v>-1.5450826161892186</v>
      </c>
      <c r="GC3">
        <f t="shared" si="73"/>
        <v>1.3196029189021949</v>
      </c>
      <c r="GD3">
        <f t="shared" si="73"/>
        <v>0.33201935447413933</v>
      </c>
      <c r="GE3">
        <f t="shared" si="73"/>
        <v>2.5896227914464176</v>
      </c>
      <c r="GF3">
        <f t="shared" si="73"/>
        <v>-0.36070910191310329</v>
      </c>
      <c r="GH3" t="s">
        <v>119</v>
      </c>
      <c r="GI3">
        <f>(ES3-AVERAGE(ES$3:ES$14))/_xlfn.STDEV.S(ES$3:ES$14)</f>
        <v>0.99533216413600312</v>
      </c>
      <c r="GJ3">
        <f t="shared" ref="GJ3:HA14" si="74">(ET3-AVERAGE(ET$3:ET$14))/_xlfn.STDEV.S(ET$3:ET$14)</f>
        <v>-0.11426088230707947</v>
      </c>
      <c r="GK3">
        <f t="shared" si="74"/>
        <v>-0.68686472148454714</v>
      </c>
      <c r="GL3">
        <f t="shared" si="74"/>
        <v>-1.1310796821783826</v>
      </c>
      <c r="GM3">
        <f t="shared" si="74"/>
        <v>-0.25433984996786385</v>
      </c>
      <c r="GN3">
        <f t="shared" si="74"/>
        <v>-1.8142572619501169</v>
      </c>
      <c r="GO3">
        <f t="shared" si="74"/>
        <v>-2.0366994212964591</v>
      </c>
      <c r="GP3">
        <f t="shared" si="74"/>
        <v>1.2714468727834243</v>
      </c>
      <c r="GQ3">
        <f t="shared" si="74"/>
        <v>1.6329382357394913</v>
      </c>
      <c r="GR3">
        <f t="shared" si="74"/>
        <v>0.97527361987461225</v>
      </c>
      <c r="GS3">
        <f t="shared" si="74"/>
        <v>-1.1551714858540669</v>
      </c>
      <c r="GT3">
        <f t="shared" si="74"/>
        <v>-0.5444661719231183</v>
      </c>
      <c r="GU3">
        <f t="shared" si="74"/>
        <v>-0.6388137102919087</v>
      </c>
      <c r="GV3">
        <f>(FF3-AVERAGE(FF$3:FF$11))/_xlfn.STDEV.S(FF$3:FF$11)</f>
        <v>1.008400726450293</v>
      </c>
      <c r="GW3">
        <f t="shared" si="74"/>
        <v>-1.4663611901555165</v>
      </c>
      <c r="GX3">
        <f t="shared" si="74"/>
        <v>0.3062934881712317</v>
      </c>
      <c r="GY3">
        <f t="shared" si="74"/>
        <v>0.32141228472601024</v>
      </c>
      <c r="GZ3">
        <f t="shared" si="74"/>
        <v>-0.3586535504954047</v>
      </c>
      <c r="HA3">
        <f t="shared" si="74"/>
        <v>1.1821673464106925</v>
      </c>
      <c r="HC3" t="s">
        <v>35</v>
      </c>
      <c r="HD3">
        <f>GI3</f>
        <v>0.99533216413600312</v>
      </c>
      <c r="HE3">
        <f t="shared" ref="HE3:HV13" si="75">GJ3</f>
        <v>-0.11426088230707947</v>
      </c>
      <c r="HF3">
        <f t="shared" si="75"/>
        <v>-0.68686472148454714</v>
      </c>
      <c r="HG3">
        <f t="shared" si="75"/>
        <v>-1.1310796821783826</v>
      </c>
      <c r="HH3">
        <f t="shared" si="75"/>
        <v>-0.25433984996786385</v>
      </c>
      <c r="HI3">
        <f t="shared" si="75"/>
        <v>-1.8142572619501169</v>
      </c>
      <c r="HJ3">
        <f t="shared" si="75"/>
        <v>-2.0366994212964591</v>
      </c>
      <c r="HK3">
        <f t="shared" si="75"/>
        <v>1.2714468727834243</v>
      </c>
      <c r="HL3">
        <f t="shared" si="75"/>
        <v>1.6329382357394913</v>
      </c>
      <c r="HM3">
        <f t="shared" si="75"/>
        <v>0.97527361987461225</v>
      </c>
      <c r="HN3">
        <f t="shared" si="75"/>
        <v>-1.1551714858540669</v>
      </c>
      <c r="HO3">
        <f t="shared" si="75"/>
        <v>-0.5444661719231183</v>
      </c>
      <c r="HP3">
        <f t="shared" si="75"/>
        <v>-0.6388137102919087</v>
      </c>
      <c r="HQ3">
        <f t="shared" si="75"/>
        <v>1.008400726450293</v>
      </c>
      <c r="HR3">
        <f t="shared" si="75"/>
        <v>-1.4663611901555165</v>
      </c>
      <c r="HS3">
        <f t="shared" si="75"/>
        <v>0.3062934881712317</v>
      </c>
      <c r="HT3">
        <f t="shared" si="75"/>
        <v>0.32141228472601024</v>
      </c>
      <c r="HU3">
        <f t="shared" si="75"/>
        <v>-0.3586535504954047</v>
      </c>
      <c r="HV3">
        <f t="shared" si="75"/>
        <v>1.1821673464106925</v>
      </c>
      <c r="HX3" t="s">
        <v>35</v>
      </c>
      <c r="HY3">
        <f t="shared" ref="HY3:IQ3" si="76">ES3</f>
        <v>7.5500000000000012E-2</v>
      </c>
      <c r="HZ3">
        <f t="shared" si="76"/>
        <v>1.7500000000000002E-2</v>
      </c>
      <c r="IA3">
        <f t="shared" si="76"/>
        <v>2.7875E-2</v>
      </c>
      <c r="IB3">
        <f t="shared" si="76"/>
        <v>3.1677749999999998</v>
      </c>
      <c r="IC3">
        <f t="shared" si="76"/>
        <v>3.3000000000000002E-2</v>
      </c>
      <c r="ID3">
        <f t="shared" si="76"/>
        <v>1404.25</v>
      </c>
      <c r="IE3">
        <f t="shared" si="76"/>
        <v>9501.8125</v>
      </c>
      <c r="IF3">
        <f t="shared" si="76"/>
        <v>0.11699999999999999</v>
      </c>
      <c r="IG3">
        <f t="shared" si="76"/>
        <v>0.16824999999999998</v>
      </c>
      <c r="IH3">
        <f t="shared" si="76"/>
        <v>0.11774999999999998</v>
      </c>
      <c r="II3">
        <f t="shared" si="76"/>
        <v>0.10675000000000001</v>
      </c>
      <c r="IJ3">
        <f t="shared" si="76"/>
        <v>2.5999999999999995E-2</v>
      </c>
      <c r="IK3">
        <f t="shared" si="76"/>
        <v>1271.3924999999999</v>
      </c>
      <c r="IL3">
        <f t="shared" si="76"/>
        <v>114.4</v>
      </c>
      <c r="IM3">
        <f t="shared" si="76"/>
        <v>92.675000000000011</v>
      </c>
      <c r="IN3">
        <f t="shared" si="76"/>
        <v>83.692499999999995</v>
      </c>
      <c r="IO3">
        <f t="shared" si="76"/>
        <v>6.86659251210745E-2</v>
      </c>
      <c r="IP3">
        <f t="shared" si="76"/>
        <v>4.0835655721988974E-2</v>
      </c>
      <c r="IQ3">
        <f t="shared" si="76"/>
        <v>7.3207211486786272E-2</v>
      </c>
      <c r="IS3" t="s">
        <v>35</v>
      </c>
      <c r="IT3">
        <f t="shared" ref="IT3:JF3" si="77">(HY3-AVERAGE(HY$3:HY$13))/_xlfn.STDEV.S(HY$3:HY$13)</f>
        <v>0.93286428898600848</v>
      </c>
      <c r="IU3">
        <f t="shared" si="77"/>
        <v>-6.4271845278437281E-2</v>
      </c>
      <c r="IV3">
        <f t="shared" si="77"/>
        <v>-1.1332556435091194</v>
      </c>
      <c r="IW3">
        <f t="shared" si="77"/>
        <v>-1.0428245803268732</v>
      </c>
      <c r="IX3">
        <f t="shared" si="77"/>
        <v>-8.3277102321831928E-2</v>
      </c>
      <c r="IY3">
        <f t="shared" si="77"/>
        <v>-1.8330132853489347</v>
      </c>
      <c r="IZ3">
        <f t="shared" si="77"/>
        <v>-1.9543843284816715</v>
      </c>
      <c r="JA3">
        <f t="shared" si="77"/>
        <v>1.7780783699230436</v>
      </c>
      <c r="JB3">
        <f t="shared" si="77"/>
        <v>2.107355081601582</v>
      </c>
      <c r="JC3">
        <f t="shared" si="77"/>
        <v>0.89704738214404678</v>
      </c>
      <c r="JD3">
        <f t="shared" si="77"/>
        <v>-1.2672867086488586</v>
      </c>
      <c r="JE3">
        <f t="shared" si="77"/>
        <v>-0.98637171206275154</v>
      </c>
      <c r="JF3">
        <f t="shared" si="77"/>
        <v>-0.54430543958117039</v>
      </c>
      <c r="JG3">
        <f>(IL3-AVERAGE(IL$3:IL$11))/_xlfn.STDEV.S(IL$3:IL$11)</f>
        <v>1.008400726450293</v>
      </c>
      <c r="JH3">
        <f t="shared" ref="JH3:JH13" si="78">(IM3-AVERAGE(IM$3:IM$13))/_xlfn.STDEV.S(IM$3:IM$13)</f>
        <v>-1.6557892171507158</v>
      </c>
      <c r="JI3">
        <f t="shared" ref="JI3:JI13" si="79">(IN3-AVERAGE(IN$3:IN$13))/_xlfn.STDEV.S(IN$3:IN$13)</f>
        <v>0.28448535759391358</v>
      </c>
      <c r="JJ3">
        <f t="shared" ref="JJ3:JJ13" si="80">(IO3-AVERAGE(IO$3:IO$13))/_xlfn.STDEV.S(IO$3:IO$13)</f>
        <v>0.23441012476595016</v>
      </c>
      <c r="JK3">
        <f t="shared" ref="JK3:JK13" si="81">(IP3-AVERAGE(IP$3:IP$13))/_xlfn.STDEV.S(IP$3:IP$13)</f>
        <v>-0.3281818753044301</v>
      </c>
      <c r="JL3">
        <f t="shared" ref="JL3:JL13" si="82">(IQ3-AVERAGE(IQ$3:IQ$13))/_xlfn.STDEV.S(IQ$3:IQ$13)</f>
        <v>1.3842925518158558</v>
      </c>
      <c r="JN3" t="s">
        <v>35</v>
      </c>
      <c r="JO3">
        <f t="shared" ref="JO3:JO13" si="83">(D4-D3)/D3</f>
        <v>8.0536912751677833E-2</v>
      </c>
      <c r="JP3">
        <f t="shared" ref="JP3:JP13" si="84">(E4-E3)/E3</f>
        <v>2.746878547105569E-2</v>
      </c>
      <c r="JQ3">
        <f t="shared" ref="JQ3:JQ13" si="85">(F4-F3)/F3</f>
        <v>0</v>
      </c>
      <c r="JR3">
        <f t="shared" ref="JR3:JR13" si="86">(G4-G3)/G3</f>
        <v>7.7818962282162445E-3</v>
      </c>
      <c r="JS3">
        <f t="shared" ref="JS3:JS13" si="87">(H4-H3)/H3</f>
        <v>1.0996647704381132E-2</v>
      </c>
      <c r="JT3">
        <f t="shared" ref="JT3:JT13" si="88">(L4-L3)/L3</f>
        <v>0.44444444444444453</v>
      </c>
      <c r="JU3">
        <f t="shared" ref="JU3:JU13" si="89">(M4-M3)/M3</f>
        <v>7.1428571428571494E-2</v>
      </c>
      <c r="JV3">
        <f t="shared" ref="JV3:JV13" si="90">(N4-N3)/N3</f>
        <v>0.10096383846911494</v>
      </c>
      <c r="JW3">
        <f t="shared" ref="JW3:JW13" si="91">(O4-O3)/O3</f>
        <v>-9.3003412969283328E-2</v>
      </c>
      <c r="JX3">
        <f t="shared" ref="JX3:JX13" si="92">(P4-P3)/P3</f>
        <v>-1.0626992561104604E-3</v>
      </c>
      <c r="JY3">
        <f t="shared" ref="JY3:JY13" si="93">(Q4-Q3)/Q3</f>
        <v>0.13329815303430073</v>
      </c>
      <c r="KA3" t="s">
        <v>35</v>
      </c>
      <c r="KB3">
        <f>(JO3-AVERAGE(JO$3:JO$13))/_xlfn.STDEV.S(JO$3:JO$13)</f>
        <v>0.65223309556499987</v>
      </c>
      <c r="KC3">
        <f t="shared" ref="KC3:KL13" si="94">(JP3-AVERAGE(JP$3:JP$13))/_xlfn.STDEV.S(JP$3:JP$13)</f>
        <v>-3.7846407474549169E-2</v>
      </c>
      <c r="KD3">
        <f t="shared" si="94"/>
        <v>-0.25474568805491693</v>
      </c>
      <c r="KE3">
        <f t="shared" si="94"/>
        <v>4.3373641968414318E-2</v>
      </c>
      <c r="KF3">
        <f t="shared" si="94"/>
        <v>6.4150798278379099E-3</v>
      </c>
      <c r="KG3">
        <f t="shared" si="94"/>
        <v>1.2932431095618324</v>
      </c>
      <c r="KH3">
        <f t="shared" si="94"/>
        <v>0.71750302432821744</v>
      </c>
      <c r="KI3">
        <f t="shared" si="94"/>
        <v>0.45760412794541933</v>
      </c>
      <c r="KJ3">
        <f>(JW3-AVERAGE(JW$3:JW$11))/_xlfn.STDEV.S(JW$3:JW$11)</f>
        <v>-0.40332932296763713</v>
      </c>
      <c r="KK3">
        <f t="shared" si="94"/>
        <v>-0.65180788178029025</v>
      </c>
      <c r="KL3">
        <f t="shared" si="94"/>
        <v>0.31176006180809906</v>
      </c>
    </row>
    <row r="4" spans="1:298" x14ac:dyDescent="0.35">
      <c r="A4" t="s">
        <v>35</v>
      </c>
      <c r="B4">
        <f>'Sorting Y'!B3/100</f>
        <v>5.5E-2</v>
      </c>
      <c r="C4">
        <f>'Sorting Y'!C3/100</f>
        <v>0.03</v>
      </c>
      <c r="D4">
        <f>'Sorting Y'!D3/100</f>
        <v>3.2199999999999999E-2</v>
      </c>
      <c r="E4">
        <f>'Sorting Y'!E3</f>
        <v>3.1682000000000001</v>
      </c>
      <c r="F4">
        <f>'Sorting Y'!F3/100</f>
        <v>3.1E-2</v>
      </c>
      <c r="G4">
        <f>'Sorting Y'!G3</f>
        <v>1530.73</v>
      </c>
      <c r="H4">
        <f>'Sorting Y'!H3</f>
        <v>10489.07</v>
      </c>
      <c r="I4">
        <f>'Sorting Y'!I3/100</f>
        <v>5.5999999999999994E-2</v>
      </c>
      <c r="J4">
        <f>'Sorting Y'!J3/100</f>
        <v>7.400000000000001E-2</v>
      </c>
      <c r="K4">
        <f>'Sorting Y'!K3/100</f>
        <v>6.4000000000000001E-2</v>
      </c>
      <c r="L4">
        <f>'Sorting Y'!L3/100</f>
        <v>0.13</v>
      </c>
      <c r="M4">
        <f>'Sorting Y'!M3/100</f>
        <v>0.03</v>
      </c>
      <c r="N4">
        <f>'Sorting Y'!N3</f>
        <v>1564.91</v>
      </c>
      <c r="O4">
        <f>'Sorting Y'!O3</f>
        <v>106.3</v>
      </c>
      <c r="P4">
        <f>'Sorting Y'!P3</f>
        <v>94</v>
      </c>
      <c r="Q4">
        <f>'Sorting Y'!Q3</f>
        <v>107.38</v>
      </c>
      <c r="R4">
        <f>'Sorting Y'!R3/100</f>
        <v>7.1719281728402251E-2</v>
      </c>
      <c r="S4">
        <f>'Sorting Y'!S3/100</f>
        <v>0.2100789137750958</v>
      </c>
      <c r="T4">
        <f>'Sorting Y'!T3/100</f>
        <v>3.3645805608782275E-2</v>
      </c>
      <c r="V4" t="s">
        <v>36</v>
      </c>
      <c r="W4">
        <f t="shared" ref="W4:W13" si="95">B4</f>
        <v>5.5E-2</v>
      </c>
      <c r="X4">
        <f t="shared" si="20"/>
        <v>0.03</v>
      </c>
      <c r="Y4">
        <f t="shared" si="20"/>
        <v>3.2199999999999999E-2</v>
      </c>
      <c r="Z4">
        <f t="shared" si="20"/>
        <v>3.1682000000000001</v>
      </c>
      <c r="AA4">
        <f t="shared" si="20"/>
        <v>3.1E-2</v>
      </c>
      <c r="AB4">
        <f t="shared" si="20"/>
        <v>1530.73</v>
      </c>
      <c r="AC4">
        <f t="shared" si="20"/>
        <v>10489.07</v>
      </c>
      <c r="AD4">
        <f t="shared" si="20"/>
        <v>5.5999999999999994E-2</v>
      </c>
      <c r="AE4">
        <f t="shared" si="20"/>
        <v>7.400000000000001E-2</v>
      </c>
      <c r="AF4">
        <f t="shared" si="20"/>
        <v>6.4000000000000001E-2</v>
      </c>
      <c r="AG4">
        <f t="shared" si="20"/>
        <v>0.13</v>
      </c>
      <c r="AH4">
        <f t="shared" si="20"/>
        <v>0.03</v>
      </c>
      <c r="AI4">
        <f t="shared" si="20"/>
        <v>1564.91</v>
      </c>
      <c r="AJ4">
        <f t="shared" si="20"/>
        <v>106.3</v>
      </c>
      <c r="AK4">
        <f t="shared" si="20"/>
        <v>94</v>
      </c>
      <c r="AL4">
        <f t="shared" si="20"/>
        <v>107.38</v>
      </c>
      <c r="AM4">
        <f t="shared" si="20"/>
        <v>7.1719281728402251E-2</v>
      </c>
      <c r="AN4">
        <f t="shared" si="20"/>
        <v>0.2100789137750958</v>
      </c>
      <c r="AO4">
        <f t="shared" si="20"/>
        <v>3.3645805608782275E-2</v>
      </c>
      <c r="AQ4" t="s">
        <v>36</v>
      </c>
      <c r="AR4">
        <f>(B5-AVERAGE(B$4:B$14))/_xlfn.STDEV.S(B$4:B$14)</f>
        <v>0.85003217188854163</v>
      </c>
      <c r="AS4">
        <f t="shared" si="21"/>
        <v>-0.46207752397241864</v>
      </c>
      <c r="AT4">
        <f t="shared" si="21"/>
        <v>-2.8281765594028604E-3</v>
      </c>
      <c r="AU4">
        <f t="shared" si="21"/>
        <v>-1.5773775462276058</v>
      </c>
      <c r="AV4">
        <f t="shared" si="21"/>
        <v>-0.32362629018934386</v>
      </c>
      <c r="AW4">
        <f t="shared" si="21"/>
        <v>0.11236003227781349</v>
      </c>
      <c r="AX4">
        <f t="shared" si="21"/>
        <v>-0.40815712232125184</v>
      </c>
      <c r="AY4">
        <f t="shared" si="21"/>
        <v>-1.4066254222310051</v>
      </c>
      <c r="AZ4">
        <f t="shared" si="21"/>
        <v>-1.2270537857139441</v>
      </c>
      <c r="BA4">
        <f t="shared" si="21"/>
        <v>1.9504336210915161</v>
      </c>
      <c r="BB4">
        <f t="shared" si="21"/>
        <v>0.10255872911249678</v>
      </c>
      <c r="BC4">
        <f t="shared" si="21"/>
        <v>0.25125945381480397</v>
      </c>
      <c r="BD4">
        <f t="shared" si="21"/>
        <v>0.87178660704763844</v>
      </c>
      <c r="BE4">
        <f t="shared" ref="BE4:BE13" si="96">(O5-AVERAGE(O$4:O$12))/_xlfn.STDEV.S(O$4:O$12)</f>
        <v>1.8130110638276966</v>
      </c>
      <c r="BF4">
        <f t="shared" si="21"/>
        <v>-1.0459242735728431</v>
      </c>
      <c r="BG4">
        <f t="shared" si="21"/>
        <v>1.4856826478642984</v>
      </c>
      <c r="BH4">
        <f t="shared" si="21"/>
        <v>0.28741367761063374</v>
      </c>
      <c r="BI4">
        <f t="shared" si="21"/>
        <v>-0.57131380860942649</v>
      </c>
      <c r="BJ4">
        <f t="shared" si="21"/>
        <v>1.2364488692664162</v>
      </c>
      <c r="BL4" t="s">
        <v>35</v>
      </c>
      <c r="BM4">
        <f t="shared" ref="BM4:BM14" si="97">(B4-AVERAGE(B$3:B$14))/_xlfn.STDEV.S(B$3:B$14)</f>
        <v>0.46948581058347705</v>
      </c>
      <c r="BN4">
        <f t="shared" ref="BN4:BN14" si="98">(C4-AVERAGE(C$3:C$14))/_xlfn.STDEV.S(C$3:C$14)</f>
        <v>0.72781975459886272</v>
      </c>
      <c r="BO4">
        <f t="shared" ref="BO4:BO14" si="99">(D4-AVERAGE(D$3:D$14))/_xlfn.STDEV.S(D$3:D$14)</f>
        <v>4.4599022434990643E-2</v>
      </c>
      <c r="BP4">
        <f t="shared" ref="BP4:BP14" si="100">(E4-AVERAGE(E$3:E$14))/_xlfn.STDEV.S(E$3:E$14)</f>
        <v>-1.1696154452750498</v>
      </c>
      <c r="BQ4">
        <f t="shared" ref="BQ4:BQ14" si="101">(F4-AVERAGE(F$3:F$14))/_xlfn.STDEV.S(F$3:F$14)</f>
        <v>-0.6399800528806403</v>
      </c>
      <c r="BR4">
        <f t="shared" ref="BR4:BR14" si="102">(G4-AVERAGE(G$3:G$14))/_xlfn.STDEV.S(G$3:G$14)</f>
        <v>-1.2479836670299698</v>
      </c>
      <c r="BS4">
        <f t="shared" ref="BS4:BS14" si="103">(H4-AVERAGE(H$3:H$14))/_xlfn.STDEV.S(H$3:H$14)</f>
        <v>-1.4501062187331542</v>
      </c>
      <c r="BT4">
        <f t="shared" ref="BT4:BT14" si="104">(I4-AVERAGE(I$3:I$14))/_xlfn.STDEV.S(I$3:I$14)</f>
        <v>0.62778081746863756</v>
      </c>
      <c r="BU4">
        <f t="shared" ref="BU4:BU14" si="105">(J4-AVERAGE(J$3:J$14))/_xlfn.STDEV.S(J$3:J$14)</f>
        <v>0.7873396802730126</v>
      </c>
      <c r="BV4">
        <f t="shared" ref="BV4:BV14" si="106">(K4-AVERAGE(K$3:K$14))/_xlfn.STDEV.S(K$3:K$14)</f>
        <v>0.43741321052533549</v>
      </c>
      <c r="BW4">
        <f t="shared" ref="BW4:BW14" si="107">(L4-AVERAGE(L$3:L$14))/_xlfn.STDEV.S(L$3:L$14)</f>
        <v>-0.33770673908424181</v>
      </c>
      <c r="BX4">
        <f t="shared" ref="BX4:BX14" si="108">(M4-AVERAGE(M$3:M$14))/_xlfn.STDEV.S(M$3:M$14)</f>
        <v>0.27359890796126979</v>
      </c>
      <c r="BY4">
        <f t="shared" ref="BY4:BY14" si="109">(N4-AVERAGE(N$3:N$14))/_xlfn.STDEV.S(N$3:N$14)</f>
        <v>0.51325900206280428</v>
      </c>
      <c r="BZ4">
        <f t="shared" ref="BZ4:BZ14" si="110">(O4-AVERAGE(O$3:O$12))/_xlfn.STDEV.S(O$3:O$12)</f>
        <v>0.84462897264927761</v>
      </c>
      <c r="CA4">
        <f t="shared" si="23"/>
        <v>-1.1927881457804126</v>
      </c>
      <c r="CB4">
        <f t="shared" si="24"/>
        <v>1.2902343898215436</v>
      </c>
      <c r="CC4">
        <f t="shared" si="25"/>
        <v>0.40488296475295582</v>
      </c>
      <c r="CD4">
        <f t="shared" si="26"/>
        <v>2.7868148292092942</v>
      </c>
      <c r="CE4">
        <f t="shared" si="27"/>
        <v>-0.22727122560638843</v>
      </c>
      <c r="CG4" t="s">
        <v>36</v>
      </c>
      <c r="CH4">
        <f t="shared" ref="CH4:CH13" si="111">(W4-AVERAGE(W$3:W$13))/_xlfn.STDEV.S(W$3:W$13)</f>
        <v>0.42509300099516134</v>
      </c>
      <c r="CI4">
        <f t="shared" ref="CI4:CI13" si="112">(X4-AVERAGE(X$3:X$13))/_xlfn.STDEV.S(X$3:X$13)</f>
        <v>0.79903002729941985</v>
      </c>
      <c r="CJ4">
        <f t="shared" ref="CJ4:CJ13" si="113">(Y4-AVERAGE(Y$3:Y$13))/_xlfn.STDEV.S(Y$3:Y$13)</f>
        <v>-0.14540168172557472</v>
      </c>
      <c r="CK4">
        <f t="shared" ref="CK4:CK13" si="114">(Z4-AVERAGE(Z$3:Z$13))/_xlfn.STDEV.S(Z$3:Z$13)</f>
        <v>-1.0807579999792469</v>
      </c>
      <c r="CL4">
        <f t="shared" ref="CL4:CL13" si="115">(AA4-AVERAGE(AA$3:AA$13))/_xlfn.STDEV.S(AA$3:AA$13)</f>
        <v>-0.54525630647091183</v>
      </c>
      <c r="CM4">
        <f t="shared" ref="CM4:CM13" si="116">(AB4-AVERAGE(AB$3:AB$13))/_xlfn.STDEV.S(AB$3:AB$13)</f>
        <v>-1.3230566486646647</v>
      </c>
      <c r="CN4">
        <f t="shared" ref="CN4:CN13" si="117">(AC4-AVERAGE(AC$3:AC$13))/_xlfn.STDEV.S(AC$3:AC$13)</f>
        <v>-1.4274839006089215</v>
      </c>
      <c r="CO4">
        <f t="shared" ref="CO4:CO13" si="118">(AD4-AVERAGE(AD$3:AD$13))/_xlfn.STDEV.S(AD$3:AD$13)</f>
        <v>1.1206646164234395</v>
      </c>
      <c r="CP4">
        <f t="shared" ref="CP4:CP13" si="119">(AE4-AVERAGE(AE$3:AE$13))/_xlfn.STDEV.S(AE$3:AE$13)</f>
        <v>1.2880143778106055</v>
      </c>
      <c r="CQ4">
        <f t="shared" ref="CQ4:CQ13" si="120">(AF4-AVERAGE(AF$3:AF$13))/_xlfn.STDEV.S(AF$3:AF$13)</f>
        <v>0.35416622132955111</v>
      </c>
      <c r="CR4">
        <f t="shared" ref="CR4:CR13" si="121">(AG4-AVERAGE(AG$3:AG$13))/_xlfn.STDEV.S(AG$3:AG$13)</f>
        <v>-0.41769312731066843</v>
      </c>
      <c r="CS4">
        <f t="shared" ref="CS4:CS13" si="122">(AH4-AVERAGE(AH$3:AH$13))/_xlfn.STDEV.S(AH$3:AH$13)</f>
        <v>0.10936965981494998</v>
      </c>
      <c r="CT4">
        <f t="shared" ref="CT4:CT13" si="123">(AI4-AVERAGE(AI$3:AI$13))/_xlfn.STDEV.S(AI$3:AI$13)</f>
        <v>0.69698071823454633</v>
      </c>
      <c r="CU4">
        <f t="shared" ref="CU4:CU13" si="124">(AJ4-AVERAGE(AJ$3:AJ$12))/_xlfn.STDEV.S(AJ$3:AJ$12)</f>
        <v>0.84462897264927761</v>
      </c>
      <c r="CV4">
        <f t="shared" si="29"/>
        <v>-1.2593179559208687</v>
      </c>
      <c r="CW4">
        <f t="shared" si="30"/>
        <v>1.2430552681391014</v>
      </c>
      <c r="CX4">
        <f t="shared" si="31"/>
        <v>0.33415026135445597</v>
      </c>
      <c r="CY4">
        <f t="shared" si="32"/>
        <v>2.644568270998374</v>
      </c>
      <c r="CZ4">
        <f t="shared" si="33"/>
        <v>-0.10332573259644501</v>
      </c>
      <c r="DB4" t="s">
        <v>36</v>
      </c>
      <c r="DC4">
        <f t="shared" si="34"/>
        <v>0.46948581058347705</v>
      </c>
      <c r="DD4">
        <f t="shared" si="35"/>
        <v>0.72781975459886272</v>
      </c>
      <c r="DE4">
        <f t="shared" si="36"/>
        <v>4.4599022434990643E-2</v>
      </c>
      <c r="DF4">
        <f t="shared" si="37"/>
        <v>-1.1696154452750498</v>
      </c>
      <c r="DG4">
        <f t="shared" si="38"/>
        <v>-0.6399800528806403</v>
      </c>
      <c r="DH4">
        <f t="shared" si="39"/>
        <v>-1.2479836670299698</v>
      </c>
      <c r="DI4">
        <f t="shared" si="40"/>
        <v>-1.4501062187331542</v>
      </c>
      <c r="DJ4">
        <f t="shared" si="41"/>
        <v>0.62778081746863756</v>
      </c>
      <c r="DK4">
        <f t="shared" si="42"/>
        <v>0.7873396802730126</v>
      </c>
      <c r="DL4">
        <f t="shared" si="43"/>
        <v>0.43741321052533549</v>
      </c>
      <c r="DM4">
        <f t="shared" si="44"/>
        <v>-0.33770673908424181</v>
      </c>
      <c r="DN4">
        <f t="shared" si="45"/>
        <v>0.27359890796126979</v>
      </c>
      <c r="DO4">
        <f t="shared" si="46"/>
        <v>0.51325900206280428</v>
      </c>
      <c r="DP4">
        <f t="shared" si="47"/>
        <v>0.84462897264927761</v>
      </c>
      <c r="DQ4">
        <f t="shared" si="48"/>
        <v>-1.1927881457804126</v>
      </c>
      <c r="DR4">
        <f t="shared" si="49"/>
        <v>1.2902343898215436</v>
      </c>
      <c r="DS4">
        <f t="shared" si="50"/>
        <v>0.40488296475295582</v>
      </c>
      <c r="DT4">
        <f t="shared" si="51"/>
        <v>2.7868148292092942</v>
      </c>
      <c r="DU4">
        <f t="shared" si="52"/>
        <v>-0.22727122560638843</v>
      </c>
      <c r="DW4" t="s">
        <v>36</v>
      </c>
      <c r="DX4">
        <f t="shared" ref="DX4:DX13" si="125">B20/100</f>
        <v>5.45E-2</v>
      </c>
      <c r="DY4">
        <f t="shared" ref="DY4:DY13" si="126">C20/100</f>
        <v>1.55E-2</v>
      </c>
      <c r="DZ4">
        <f t="shared" ref="DZ4:DZ13" si="127">D20/100</f>
        <v>3.1974999999999996E-2</v>
      </c>
      <c r="EA4">
        <f t="shared" si="53"/>
        <v>3.0898750000000001</v>
      </c>
      <c r="EB4">
        <f t="shared" ref="EB4:EB13" si="128">F20/100</f>
        <v>3.1000000000000007E-2</v>
      </c>
      <c r="EC4">
        <f t="shared" si="53"/>
        <v>1630.2725</v>
      </c>
      <c r="ED4">
        <f t="shared" si="53"/>
        <v>11100.492499999998</v>
      </c>
      <c r="EE4">
        <f t="shared" ref="EE4:EE13" si="129">I20/100</f>
        <v>-1.7000000000000001E-2</v>
      </c>
      <c r="EF4">
        <f t="shared" ref="EF4:EF13" si="130">J20/100</f>
        <v>3.0750000000000003E-2</v>
      </c>
      <c r="EG4">
        <f t="shared" ref="EG4:EG13" si="131">K20/100</f>
        <v>0.18924999999999997</v>
      </c>
      <c r="EH4">
        <f t="shared" ref="EH4:EH13" si="132">L20/100</f>
        <v>0.17825000000000002</v>
      </c>
      <c r="EI4">
        <f t="shared" ref="EI4:EI13" si="133">M20/100</f>
        <v>0.03</v>
      </c>
      <c r="EJ4">
        <f t="shared" si="53"/>
        <v>1678.3000000000002</v>
      </c>
      <c r="EK4">
        <f t="shared" si="53"/>
        <v>116.55</v>
      </c>
      <c r="EL4">
        <f t="shared" si="53"/>
        <v>95.25</v>
      </c>
      <c r="EM4">
        <f t="shared" si="53"/>
        <v>111.045</v>
      </c>
      <c r="EN4">
        <f t="shared" ref="EN4:EN13" si="134">R20/100</f>
        <v>8.3554460800505007E-2</v>
      </c>
      <c r="EO4">
        <f t="shared" ref="EO4:EO13" si="135">S20/100</f>
        <v>6.3694854971433901E-2</v>
      </c>
      <c r="EP4">
        <f t="shared" ref="EP4:EP13" si="136">T20/100</f>
        <v>4.1952858939914128E-2</v>
      </c>
      <c r="ER4" t="s">
        <v>35</v>
      </c>
      <c r="ES4">
        <f t="shared" si="54"/>
        <v>5.2750000000000005E-2</v>
      </c>
      <c r="ET4">
        <f t="shared" si="55"/>
        <v>3.2250000000000001E-2</v>
      </c>
      <c r="EU4">
        <f t="shared" si="56"/>
        <v>3.2024999999999998E-2</v>
      </c>
      <c r="EV4">
        <f t="shared" si="57"/>
        <v>3.1005500000000001</v>
      </c>
      <c r="EW4">
        <f t="shared" si="58"/>
        <v>3.15E-2</v>
      </c>
      <c r="EX4">
        <f t="shared" si="59"/>
        <v>1510.5149999999999</v>
      </c>
      <c r="EY4">
        <f t="shared" si="60"/>
        <v>10335.3375</v>
      </c>
      <c r="EZ4">
        <f t="shared" si="61"/>
        <v>4.1749999999999995E-2</v>
      </c>
      <c r="FA4">
        <f t="shared" si="62"/>
        <v>6.4000000000000001E-2</v>
      </c>
      <c r="FB4">
        <f t="shared" si="63"/>
        <v>6.5000000000000002E-2</v>
      </c>
      <c r="FC4">
        <f t="shared" si="64"/>
        <v>0.15375</v>
      </c>
      <c r="FD4">
        <f t="shared" si="65"/>
        <v>2.9500000000000002E-2</v>
      </c>
      <c r="FE4">
        <f t="shared" si="66"/>
        <v>1530.27</v>
      </c>
      <c r="FF4">
        <f t="shared" si="67"/>
        <v>107.77500000000001</v>
      </c>
      <c r="FG4">
        <f t="shared" si="68"/>
        <v>93.45</v>
      </c>
      <c r="FH4">
        <f t="shared" si="69"/>
        <v>109.995</v>
      </c>
      <c r="FI4">
        <f t="shared" si="70"/>
        <v>6.8519938514500112E-2</v>
      </c>
      <c r="FJ4">
        <f t="shared" si="71"/>
        <v>0.1329291798579339</v>
      </c>
      <c r="FK4">
        <f t="shared" si="72"/>
        <v>2.3876701689565297E-2</v>
      </c>
      <c r="FM4" t="s">
        <v>36</v>
      </c>
      <c r="FN4">
        <f t="shared" ref="FN4:FN13" si="137">(DX4-AVERAGE(DX$3:DX$13))/_xlfn.STDEV.S(DX$3:DX$13)</f>
        <v>0.44281735542535883</v>
      </c>
      <c r="FO4">
        <f t="shared" si="73"/>
        <v>-0.25846245758488356</v>
      </c>
      <c r="FP4">
        <f t="shared" si="73"/>
        <v>-2.8084612413305038E-2</v>
      </c>
      <c r="FQ4">
        <f t="shared" si="73"/>
        <v>-1.4175923821809344</v>
      </c>
      <c r="FR4">
        <f t="shared" si="73"/>
        <v>-0.61398972286152009</v>
      </c>
      <c r="FS4">
        <f t="shared" si="73"/>
        <v>-0.30951282470467245</v>
      </c>
      <c r="FT4">
        <f t="shared" si="73"/>
        <v>-0.70472454164086995</v>
      </c>
      <c r="FU4">
        <f t="shared" si="73"/>
        <v>-0.64852872783554594</v>
      </c>
      <c r="FV4">
        <f t="shared" si="73"/>
        <v>-4.7942808667763639E-2</v>
      </c>
      <c r="FW4">
        <f t="shared" si="73"/>
        <v>1.9604351568592029</v>
      </c>
      <c r="FX4">
        <f t="shared" si="73"/>
        <v>0.45624635321638934</v>
      </c>
      <c r="FY4">
        <f t="shared" si="73"/>
        <v>0.22810893127191334</v>
      </c>
      <c r="FZ4">
        <f t="shared" si="73"/>
        <v>1.0991640324334984</v>
      </c>
      <c r="GA4">
        <f t="shared" ref="GA4:GA13" si="138">(EK4-AVERAGE(EK$3:EK$10))/_xlfn.STDEV.S(EK$3:EK$10)</f>
        <v>1.2675766245045836</v>
      </c>
      <c r="GB4">
        <f t="shared" si="73"/>
        <v>-1.1398821420097949</v>
      </c>
      <c r="GC4">
        <f t="shared" si="73"/>
        <v>1.3595039967421874</v>
      </c>
      <c r="GD4">
        <f t="shared" si="73"/>
        <v>0.74608071578317281</v>
      </c>
      <c r="GE4">
        <f t="shared" si="73"/>
        <v>0.36053007037661355</v>
      </c>
      <c r="GF4">
        <f t="shared" si="73"/>
        <v>0.25693101146770497</v>
      </c>
      <c r="GH4" t="s">
        <v>35</v>
      </c>
      <c r="GI4">
        <f t="shared" ref="GI4:GI14" si="139">(ES4-AVERAGE(ES$3:ES$14))/_xlfn.STDEV.S(ES$3:ES$14)</f>
        <v>0.29680856308425801</v>
      </c>
      <c r="GJ4">
        <f t="shared" si="74"/>
        <v>0.96436184667175207</v>
      </c>
      <c r="GK4">
        <f t="shared" si="74"/>
        <v>4.2471379366847271E-2</v>
      </c>
      <c r="GL4">
        <f t="shared" si="74"/>
        <v>-1.2651509288063014</v>
      </c>
      <c r="GM4">
        <f t="shared" si="74"/>
        <v>-0.52766028575422552</v>
      </c>
      <c r="GN4">
        <f t="shared" si="74"/>
        <v>-1.008994233563721</v>
      </c>
      <c r="GO4">
        <f t="shared" si="74"/>
        <v>-1.1739188807251939</v>
      </c>
      <c r="GP4">
        <f t="shared" si="74"/>
        <v>0.14252206833560502</v>
      </c>
      <c r="GQ4">
        <f t="shared" si="74"/>
        <v>0.24962641389415294</v>
      </c>
      <c r="GR4">
        <f t="shared" si="74"/>
        <v>0.3165932236296089</v>
      </c>
      <c r="GS4">
        <f t="shared" si="74"/>
        <v>-3.3800198381272434E-2</v>
      </c>
      <c r="GT4">
        <f t="shared" si="74"/>
        <v>0.18148872397437349</v>
      </c>
      <c r="GU4">
        <f t="shared" si="74"/>
        <v>0.52298467093257672</v>
      </c>
      <c r="GV4">
        <f t="shared" ref="GV4:GV14" si="140">(FF4-AVERAGE(FF$3:FF$11))/_xlfn.STDEV.S(FF$3:FF$11)</f>
        <v>0.63856592211630103</v>
      </c>
      <c r="GW4">
        <f t="shared" si="74"/>
        <v>-1.3040623616110811</v>
      </c>
      <c r="GX4">
        <f t="shared" si="74"/>
        <v>1.349712863487448</v>
      </c>
      <c r="GY4">
        <f t="shared" si="74"/>
        <v>0.31721712756730597</v>
      </c>
      <c r="GZ4">
        <f t="shared" si="74"/>
        <v>2.7312445267868459</v>
      </c>
      <c r="HA4">
        <f t="shared" si="74"/>
        <v>-0.45859062284773056</v>
      </c>
      <c r="HC4" t="s">
        <v>36</v>
      </c>
      <c r="HD4">
        <f t="shared" ref="HD4:HD13" si="141">GI4</f>
        <v>0.29680856308425801</v>
      </c>
      <c r="HE4">
        <f t="shared" si="75"/>
        <v>0.96436184667175207</v>
      </c>
      <c r="HF4">
        <f t="shared" si="75"/>
        <v>4.2471379366847271E-2</v>
      </c>
      <c r="HG4">
        <f t="shared" si="75"/>
        <v>-1.2651509288063014</v>
      </c>
      <c r="HH4">
        <f t="shared" si="75"/>
        <v>-0.52766028575422552</v>
      </c>
      <c r="HI4">
        <f t="shared" si="75"/>
        <v>-1.008994233563721</v>
      </c>
      <c r="HJ4">
        <f t="shared" si="75"/>
        <v>-1.1739188807251939</v>
      </c>
      <c r="HK4">
        <f t="shared" si="75"/>
        <v>0.14252206833560502</v>
      </c>
      <c r="HL4">
        <f t="shared" si="75"/>
        <v>0.24962641389415294</v>
      </c>
      <c r="HM4">
        <f t="shared" si="75"/>
        <v>0.3165932236296089</v>
      </c>
      <c r="HN4">
        <f t="shared" si="75"/>
        <v>-3.3800198381272434E-2</v>
      </c>
      <c r="HO4">
        <f t="shared" si="75"/>
        <v>0.18148872397437349</v>
      </c>
      <c r="HP4">
        <f t="shared" si="75"/>
        <v>0.52298467093257672</v>
      </c>
      <c r="HQ4">
        <f t="shared" si="75"/>
        <v>0.63856592211630103</v>
      </c>
      <c r="HR4">
        <f t="shared" si="75"/>
        <v>-1.3040623616110811</v>
      </c>
      <c r="HS4">
        <f t="shared" si="75"/>
        <v>1.349712863487448</v>
      </c>
      <c r="HT4">
        <f t="shared" si="75"/>
        <v>0.31721712756730597</v>
      </c>
      <c r="HU4">
        <f t="shared" si="75"/>
        <v>2.7312445267868459</v>
      </c>
      <c r="HV4">
        <f t="shared" si="75"/>
        <v>-0.45859062284773056</v>
      </c>
      <c r="HX4" t="s">
        <v>36</v>
      </c>
      <c r="HY4">
        <f t="shared" ref="HY4:HY13" si="142">ES4</f>
        <v>5.2750000000000005E-2</v>
      </c>
      <c r="HZ4">
        <f t="shared" ref="HZ4:HZ13" si="143">ET4</f>
        <v>3.2250000000000001E-2</v>
      </c>
      <c r="IA4">
        <f t="shared" ref="IA4:IA13" si="144">EU4</f>
        <v>3.2024999999999998E-2</v>
      </c>
      <c r="IB4">
        <f t="shared" ref="IB4:IB13" si="145">EV4</f>
        <v>3.1005500000000001</v>
      </c>
      <c r="IC4">
        <f t="shared" ref="IC4:IC13" si="146">EW4</f>
        <v>3.15E-2</v>
      </c>
      <c r="ID4">
        <f t="shared" ref="ID4:ID13" si="147">EX4</f>
        <v>1510.5149999999999</v>
      </c>
      <c r="IE4">
        <f t="shared" ref="IE4:IE13" si="148">EY4</f>
        <v>10335.3375</v>
      </c>
      <c r="IF4">
        <f t="shared" ref="IF4:IF13" si="149">EZ4</f>
        <v>4.1749999999999995E-2</v>
      </c>
      <c r="IG4">
        <f t="shared" ref="IG4:IG13" si="150">FA4</f>
        <v>6.4000000000000001E-2</v>
      </c>
      <c r="IH4">
        <f t="shared" ref="IH4:IH13" si="151">FB4</f>
        <v>6.5000000000000002E-2</v>
      </c>
      <c r="II4">
        <f t="shared" ref="II4:II13" si="152">FC4</f>
        <v>0.15375</v>
      </c>
      <c r="IJ4">
        <f t="shared" ref="IJ4:IJ13" si="153">FD4</f>
        <v>2.9500000000000002E-2</v>
      </c>
      <c r="IK4">
        <f t="shared" ref="IK4:IK13" si="154">FE4</f>
        <v>1530.27</v>
      </c>
      <c r="IL4">
        <f t="shared" ref="IL4:IL13" si="155">FF4</f>
        <v>107.77500000000001</v>
      </c>
      <c r="IM4">
        <f t="shared" ref="IM4:IM13" si="156">FG4</f>
        <v>93.45</v>
      </c>
      <c r="IN4">
        <f t="shared" ref="IN4:IN13" si="157">FH4</f>
        <v>109.995</v>
      </c>
      <c r="IO4">
        <f t="shared" ref="IO4:IO13" si="158">FI4</f>
        <v>6.8519938514500112E-2</v>
      </c>
      <c r="IP4">
        <f t="shared" ref="IP4:IP13" si="159">FJ4</f>
        <v>0.1329291798579339</v>
      </c>
      <c r="IQ4">
        <f t="shared" ref="IQ4:IQ13" si="160">FK4</f>
        <v>2.3876701689565297E-2</v>
      </c>
      <c r="IS4" t="s">
        <v>36</v>
      </c>
      <c r="IT4">
        <f t="shared" ref="IT4:IT13" si="161">(HY4-AVERAGE(HY$3:HY$13))/_xlfn.STDEV.S(HY$3:HY$13)</f>
        <v>0.26538955469366077</v>
      </c>
      <c r="IU4">
        <f t="shared" ref="IU4:IU13" si="162">(HZ4-AVERAGE(HZ$3:HZ$13))/_xlfn.STDEV.S(HZ$3:HZ$13)</f>
        <v>0.97853884436420879</v>
      </c>
      <c r="IV4">
        <f t="shared" ref="IV4:IV13" si="163">(IA4-AVERAGE(IA$3:IA$13))/_xlfn.STDEV.S(IA$3:IA$13)</f>
        <v>-0.19478634416778126</v>
      </c>
      <c r="IW4">
        <f t="shared" ref="IW4:IW13" si="164">(IB4-AVERAGE(IB$3:IB$13))/_xlfn.STDEV.S(IB$3:IB$13)</f>
        <v>-1.1755085603741402</v>
      </c>
      <c r="IX4">
        <f t="shared" ref="IX4:IX13" si="165">(IC4-AVERAGE(IC$3:IC$13))/_xlfn.STDEV.S(IC$3:IC$13)</f>
        <v>-0.42679514939938806</v>
      </c>
      <c r="IY4">
        <f t="shared" ref="IY4:IY13" si="166">(ID4-AVERAGE(ID$3:ID$13))/_xlfn.STDEV.S(ID$3:ID$13)</f>
        <v>-1.0465405878119338</v>
      </c>
      <c r="IZ4">
        <f t="shared" ref="IZ4:IZ13" si="167">(IE4-AVERAGE(IE$3:IE$13))/_xlfn.STDEV.S(IE$3:IE$13)</f>
        <v>-1.1311063420630865</v>
      </c>
      <c r="JA4">
        <f t="shared" ref="JA4:JA13" si="168">(IF4-AVERAGE(IF$3:IF$13))/_xlfn.STDEV.S(IF$3:IF$13)</f>
        <v>0.39610243498989867</v>
      </c>
      <c r="JB4">
        <f t="shared" ref="JB4:JB13" si="169">(IG4-AVERAGE(IG$3:IG$13))/_xlfn.STDEV.S(IG$3:IG$13)</f>
        <v>0.48818627769765294</v>
      </c>
      <c r="JC4">
        <f t="shared" ref="JC4:JC13" si="170">(IH4-AVERAGE(IH$3:IH$13))/_xlfn.STDEV.S(IH$3:IH$13)</f>
        <v>0.26053042281774524</v>
      </c>
      <c r="JD4">
        <f t="shared" ref="JD4:JD13" si="171">(II4-AVERAGE(II$3:II$13))/_xlfn.STDEV.S(II$3:II$13)</f>
        <v>-0.1322720211279238</v>
      </c>
      <c r="JE4">
        <f t="shared" ref="JE4:JE13" si="172">(IJ4-AVERAGE(IJ$3:IJ$13))/_xlfn.STDEV.S(IJ$3:IJ$13)</f>
        <v>-2.4971435748422716E-2</v>
      </c>
      <c r="JF4">
        <f t="shared" ref="JF4:JF13" si="173">(IK4-AVERAGE(IK$3:IK$13))/_xlfn.STDEV.S(IK$3:IK$13)</f>
        <v>0.7329619747328735</v>
      </c>
      <c r="JG4">
        <f t="shared" ref="JG4:JG13" si="174">(IL4-AVERAGE(IL$3:IL$11))/_xlfn.STDEV.S(IL$3:IL$11)</f>
        <v>0.63856592211630103</v>
      </c>
      <c r="JH4">
        <f t="shared" si="78"/>
        <v>-1.4440816344554068</v>
      </c>
      <c r="JI4">
        <f t="shared" si="79"/>
        <v>1.2797326270144624</v>
      </c>
      <c r="JJ4">
        <f t="shared" si="80"/>
        <v>0.23021520936475737</v>
      </c>
      <c r="JK4">
        <f t="shared" si="81"/>
        <v>2.621859523439849</v>
      </c>
      <c r="JL4">
        <f t="shared" si="82"/>
        <v>-0.35268270476939412</v>
      </c>
      <c r="JN4" t="s">
        <v>36</v>
      </c>
      <c r="JO4">
        <f t="shared" si="83"/>
        <v>-3.1055900621118904E-3</v>
      </c>
      <c r="JP4">
        <f t="shared" si="84"/>
        <v>-3.4625339309387076E-2</v>
      </c>
      <c r="JQ4">
        <f t="shared" si="85"/>
        <v>6.4516129032258118E-2</v>
      </c>
      <c r="JR4">
        <f t="shared" si="86"/>
        <v>0.10336244798233524</v>
      </c>
      <c r="JS4">
        <f t="shared" si="87"/>
        <v>9.0481806299319165E-2</v>
      </c>
      <c r="JT4">
        <f t="shared" si="88"/>
        <v>0.15384615384615377</v>
      </c>
      <c r="JU4">
        <f t="shared" si="89"/>
        <v>0</v>
      </c>
      <c r="JV4">
        <f t="shared" si="90"/>
        <v>7.0572748592570705E-2</v>
      </c>
      <c r="JW4">
        <f t="shared" si="91"/>
        <v>0.11665098777046101</v>
      </c>
      <c r="JX4">
        <f t="shared" si="92"/>
        <v>1.5957446808510637E-2</v>
      </c>
      <c r="JY4">
        <f t="shared" si="93"/>
        <v>3.4736449990687319E-2</v>
      </c>
      <c r="KA4" t="s">
        <v>36</v>
      </c>
      <c r="KB4">
        <f t="shared" ref="KB4:KB13" si="175">(JO4-AVERAGE(JO$3:JO$13))/_xlfn.STDEV.S(JO$3:JO$13)</f>
        <v>0.10845877643304044</v>
      </c>
      <c r="KC4">
        <f t="shared" si="94"/>
        <v>-0.79693753272501922</v>
      </c>
      <c r="KD4">
        <f t="shared" si="94"/>
        <v>0.16609296278540053</v>
      </c>
      <c r="KE4">
        <f t="shared" si="94"/>
        <v>1.4650743868470766</v>
      </c>
      <c r="KF4">
        <f t="shared" si="94"/>
        <v>1.0389367731367281</v>
      </c>
      <c r="KG4">
        <f t="shared" si="94"/>
        <v>0.31805549948779238</v>
      </c>
      <c r="KH4">
        <f t="shared" si="94"/>
        <v>0.20317917395076276</v>
      </c>
      <c r="KI4">
        <f t="shared" si="94"/>
        <v>0.25123842541407443</v>
      </c>
      <c r="KJ4">
        <f t="shared" ref="KJ4:KJ13" si="176">(JW4-AVERAGE(JW$3:JW$11))/_xlfn.STDEV.S(JW$3:JW$11)</f>
        <v>0.7712424479199953</v>
      </c>
      <c r="KK4">
        <f t="shared" si="94"/>
        <v>7.8342436661836736E-3</v>
      </c>
      <c r="KL4">
        <f t="shared" si="94"/>
        <v>8.5158547478799227E-3</v>
      </c>
    </row>
    <row r="5" spans="1:298" x14ac:dyDescent="0.35">
      <c r="A5" t="s">
        <v>36</v>
      </c>
      <c r="B5">
        <f>'Sorting Y'!B4/100</f>
        <v>6.5000000000000002E-2</v>
      </c>
      <c r="C5">
        <f>'Sorting Y'!C4/100</f>
        <v>1.2E-2</v>
      </c>
      <c r="D5">
        <f>'Sorting Y'!D4/100</f>
        <v>3.2099999999999997E-2</v>
      </c>
      <c r="E5">
        <f>'Sorting Y'!E4</f>
        <v>3.0585</v>
      </c>
      <c r="F5">
        <f>'Sorting Y'!F4/100</f>
        <v>3.3000000000000002E-2</v>
      </c>
      <c r="G5">
        <f>'Sorting Y'!G4</f>
        <v>1688.95</v>
      </c>
      <c r="H5">
        <f>'Sorting Y'!H4</f>
        <v>11438.14</v>
      </c>
      <c r="I5">
        <f>'Sorting Y'!I4/100</f>
        <v>-0.04</v>
      </c>
      <c r="J5">
        <f>'Sorting Y'!J4/100</f>
        <v>-3.3000000000000002E-2</v>
      </c>
      <c r="K5">
        <f>'Sorting Y'!K4/100</f>
        <v>0.155</v>
      </c>
      <c r="L5">
        <f>'Sorting Y'!L4/100</f>
        <v>0.15</v>
      </c>
      <c r="M5">
        <f>'Sorting Y'!M4/100</f>
        <v>0.03</v>
      </c>
      <c r="N5">
        <f>'Sorting Y'!N4</f>
        <v>1675.35</v>
      </c>
      <c r="O5">
        <f>'Sorting Y'!O4</f>
        <v>118.7</v>
      </c>
      <c r="P5">
        <f>'Sorting Y'!P4</f>
        <v>95.5</v>
      </c>
      <c r="Q5">
        <f>'Sorting Y'!Q4</f>
        <v>111.11</v>
      </c>
      <c r="R5">
        <f>'Sorting Y'!R4/100</f>
        <v>6.7651903367496269E-2</v>
      </c>
      <c r="S5">
        <f>'Sorting Y'!S4/100</f>
        <v>7.5523268359347639E-3</v>
      </c>
      <c r="T5">
        <f>'Sorting Y'!T4/100</f>
        <v>6.5515411565639114E-2</v>
      </c>
      <c r="V5" t="s">
        <v>37</v>
      </c>
      <c r="W5">
        <f t="shared" si="95"/>
        <v>6.5000000000000002E-2</v>
      </c>
      <c r="X5">
        <f t="shared" si="20"/>
        <v>1.2E-2</v>
      </c>
      <c r="Y5">
        <f t="shared" si="20"/>
        <v>3.2099999999999997E-2</v>
      </c>
      <c r="Z5">
        <f t="shared" si="20"/>
        <v>3.0585</v>
      </c>
      <c r="AA5">
        <f t="shared" si="20"/>
        <v>3.3000000000000002E-2</v>
      </c>
      <c r="AB5">
        <f t="shared" si="20"/>
        <v>1688.95</v>
      </c>
      <c r="AC5">
        <f t="shared" si="20"/>
        <v>11438.14</v>
      </c>
      <c r="AD5">
        <f t="shared" si="20"/>
        <v>-0.04</v>
      </c>
      <c r="AE5">
        <f t="shared" si="20"/>
        <v>-3.3000000000000002E-2</v>
      </c>
      <c r="AF5">
        <f t="shared" si="20"/>
        <v>0.155</v>
      </c>
      <c r="AG5">
        <f t="shared" si="20"/>
        <v>0.15</v>
      </c>
      <c r="AH5">
        <f t="shared" si="20"/>
        <v>0.03</v>
      </c>
      <c r="AI5">
        <f t="shared" si="20"/>
        <v>1675.35</v>
      </c>
      <c r="AJ5">
        <f t="shared" si="20"/>
        <v>118.7</v>
      </c>
      <c r="AK5">
        <f t="shared" si="20"/>
        <v>95.5</v>
      </c>
      <c r="AL5">
        <f t="shared" si="20"/>
        <v>111.11</v>
      </c>
      <c r="AM5">
        <f t="shared" si="20"/>
        <v>6.7651903367496269E-2</v>
      </c>
      <c r="AN5">
        <f t="shared" si="20"/>
        <v>7.5523268359347639E-3</v>
      </c>
      <c r="AO5">
        <f t="shared" si="20"/>
        <v>6.5515411565639114E-2</v>
      </c>
      <c r="AQ5" t="s">
        <v>37</v>
      </c>
      <c r="AR5">
        <f t="shared" ref="AR4:AR13" si="177">(B6-AVERAGE(B$4:B$14))/_xlfn.STDEV.S(B$4:B$14)</f>
        <v>0.28448657365624591</v>
      </c>
      <c r="AS5">
        <f t="shared" si="21"/>
        <v>0.8412180564626075</v>
      </c>
      <c r="AT5">
        <f t="shared" si="21"/>
        <v>0.16827650528445398</v>
      </c>
      <c r="AU5">
        <f t="shared" si="21"/>
        <v>-1.1391151145713421</v>
      </c>
      <c r="AV5">
        <f t="shared" si="21"/>
        <v>-0.85760966900176228</v>
      </c>
      <c r="AW5">
        <f t="shared" si="21"/>
        <v>1.8664324456039978</v>
      </c>
      <c r="AX5">
        <f t="shared" si="21"/>
        <v>1.608037231789887</v>
      </c>
      <c r="AY5">
        <f t="shared" si="21"/>
        <v>0.48843789897119688</v>
      </c>
      <c r="AZ5">
        <f t="shared" si="21"/>
        <v>0.67454061700849433</v>
      </c>
      <c r="BA5">
        <f t="shared" si="21"/>
        <v>0.54894066472693825</v>
      </c>
      <c r="BB5">
        <f t="shared" si="21"/>
        <v>-0.32430733259897804</v>
      </c>
      <c r="BC5">
        <f t="shared" si="21"/>
        <v>0.25125945381480397</v>
      </c>
      <c r="BD5">
        <f t="shared" si="21"/>
        <v>-0.77182572131555915</v>
      </c>
      <c r="BE5">
        <f t="shared" si="96"/>
        <v>-0.29560664550839527</v>
      </c>
      <c r="BF5">
        <f t="shared" si="21"/>
        <v>-0.60489287154962801</v>
      </c>
      <c r="BG5">
        <f t="shared" si="21"/>
        <v>1.4737689571738242</v>
      </c>
      <c r="BH5">
        <f t="shared" si="21"/>
        <v>0.5326570898384414</v>
      </c>
      <c r="BI5">
        <f t="shared" si="21"/>
        <v>0.1727140998302896</v>
      </c>
      <c r="BJ5">
        <f t="shared" si="21"/>
        <v>-0.4109647712527506</v>
      </c>
      <c r="BL5" t="s">
        <v>36</v>
      </c>
      <c r="BM5">
        <f t="shared" si="97"/>
        <v>0.8634599173668146</v>
      </c>
      <c r="BN5">
        <f t="shared" si="98"/>
        <v>-0.50037608128671829</v>
      </c>
      <c r="BO5">
        <f t="shared" si="99"/>
        <v>2.838119609499384E-2</v>
      </c>
      <c r="BP5">
        <f t="shared" si="100"/>
        <v>-1.3805365351898524</v>
      </c>
      <c r="BQ5">
        <f t="shared" si="101"/>
        <v>-0.27427716552027442</v>
      </c>
      <c r="BR5">
        <f t="shared" si="102"/>
        <v>0.23000788069721378</v>
      </c>
      <c r="BS5">
        <f t="shared" si="103"/>
        <v>-0.22475035727887047</v>
      </c>
      <c r="BT5">
        <f t="shared" si="104"/>
        <v>-1.4684612165135957</v>
      </c>
      <c r="BU5">
        <f t="shared" si="105"/>
        <v>-1.3013879012777068</v>
      </c>
      <c r="BV5">
        <f t="shared" si="106"/>
        <v>1.7214326349706752</v>
      </c>
      <c r="BW5">
        <f t="shared" si="107"/>
        <v>0.22907380203616409</v>
      </c>
      <c r="BX5">
        <f t="shared" si="108"/>
        <v>0.27359890796126979</v>
      </c>
      <c r="BY5">
        <f t="shared" si="109"/>
        <v>0.91514959794813067</v>
      </c>
      <c r="BZ5">
        <f t="shared" si="110"/>
        <v>1.5058284209353285</v>
      </c>
      <c r="CA5">
        <f t="shared" si="23"/>
        <v>-0.91249850316882763</v>
      </c>
      <c r="CB5">
        <f t="shared" si="24"/>
        <v>1.4357612804787665</v>
      </c>
      <c r="CC5">
        <f t="shared" si="25"/>
        <v>0.2775861140968976</v>
      </c>
      <c r="CD5">
        <f t="shared" si="26"/>
        <v>-0.58074650235685221</v>
      </c>
      <c r="CE5">
        <f t="shared" si="27"/>
        <v>1.3012509174243727</v>
      </c>
      <c r="CG5" t="s">
        <v>37</v>
      </c>
      <c r="CH5">
        <f t="shared" si="111"/>
        <v>0.80219163091022383</v>
      </c>
      <c r="CI5">
        <f t="shared" si="112"/>
        <v>-0.41795416812585068</v>
      </c>
      <c r="CJ5">
        <f t="shared" si="113"/>
        <v>-0.16444237814201978</v>
      </c>
      <c r="CK5">
        <f t="shared" si="114"/>
        <v>-1.2877003482139278</v>
      </c>
      <c r="CL5">
        <f t="shared" si="115"/>
        <v>-0.14540168172557666</v>
      </c>
      <c r="CM5">
        <f t="shared" si="116"/>
        <v>0.14701380242221662</v>
      </c>
      <c r="CN5">
        <f t="shared" si="117"/>
        <v>-0.25015888444841722</v>
      </c>
      <c r="CO5">
        <f t="shared" si="118"/>
        <v>-1.703731171030384</v>
      </c>
      <c r="CP5">
        <f t="shared" si="119"/>
        <v>-1.4435044017985525</v>
      </c>
      <c r="CQ5">
        <f t="shared" si="120"/>
        <v>1.6294194139586182</v>
      </c>
      <c r="CR5">
        <f t="shared" si="121"/>
        <v>0.14606446783256491</v>
      </c>
      <c r="CS5">
        <f t="shared" si="122"/>
        <v>0.10936965981494998</v>
      </c>
      <c r="CT5">
        <f t="shared" si="123"/>
        <v>1.129682783697928</v>
      </c>
      <c r="CU5">
        <f t="shared" si="124"/>
        <v>1.5058284209353285</v>
      </c>
      <c r="CV5">
        <f t="shared" si="29"/>
        <v>-0.90832562023346486</v>
      </c>
      <c r="CW5">
        <f t="shared" si="30"/>
        <v>1.3819359936911857</v>
      </c>
      <c r="CX5">
        <f t="shared" si="31"/>
        <v>0.20979704258356141</v>
      </c>
      <c r="CY5">
        <f t="shared" si="32"/>
        <v>-0.59789682749203321</v>
      </c>
      <c r="CZ5">
        <f t="shared" si="33"/>
        <v>1.5309742496624619</v>
      </c>
      <c r="DB5" t="s">
        <v>37</v>
      </c>
      <c r="DC5">
        <f t="shared" si="34"/>
        <v>0.8634599173668146</v>
      </c>
      <c r="DD5">
        <f t="shared" si="35"/>
        <v>-0.50037608128671829</v>
      </c>
      <c r="DE5">
        <f t="shared" si="36"/>
        <v>2.838119609499384E-2</v>
      </c>
      <c r="DF5">
        <f t="shared" si="37"/>
        <v>-1.3805365351898524</v>
      </c>
      <c r="DG5">
        <f t="shared" si="38"/>
        <v>-0.27427716552027442</v>
      </c>
      <c r="DH5">
        <f t="shared" si="39"/>
        <v>0.23000788069721378</v>
      </c>
      <c r="DI5">
        <f t="shared" si="40"/>
        <v>-0.22475035727887047</v>
      </c>
      <c r="DJ5">
        <f t="shared" si="41"/>
        <v>-1.4684612165135957</v>
      </c>
      <c r="DK5">
        <f t="shared" si="42"/>
        <v>-1.3013879012777068</v>
      </c>
      <c r="DL5">
        <f t="shared" si="43"/>
        <v>1.7214326349706752</v>
      </c>
      <c r="DM5">
        <f t="shared" si="44"/>
        <v>0.22907380203616409</v>
      </c>
      <c r="DN5">
        <f t="shared" si="45"/>
        <v>0.27359890796126979</v>
      </c>
      <c r="DO5">
        <f t="shared" si="46"/>
        <v>0.91514959794813067</v>
      </c>
      <c r="DP5">
        <f t="shared" si="47"/>
        <v>1.5058284209353285</v>
      </c>
      <c r="DQ5">
        <f t="shared" si="48"/>
        <v>-0.91249850316882763</v>
      </c>
      <c r="DR5">
        <f t="shared" si="49"/>
        <v>1.4357612804787665</v>
      </c>
      <c r="DS5">
        <f t="shared" si="50"/>
        <v>0.2775861140968976</v>
      </c>
      <c r="DT5">
        <f t="shared" si="51"/>
        <v>-0.58074650235685221</v>
      </c>
      <c r="DU5">
        <f t="shared" si="52"/>
        <v>1.3012509174243727</v>
      </c>
      <c r="DW5" t="s">
        <v>37</v>
      </c>
      <c r="DX5">
        <f t="shared" si="125"/>
        <v>4.6999999999999993E-2</v>
      </c>
      <c r="DY5">
        <f t="shared" si="126"/>
        <v>2.3E-2</v>
      </c>
      <c r="DZ5">
        <f t="shared" si="127"/>
        <v>3.2350000000000004E-2</v>
      </c>
      <c r="EA5">
        <f t="shared" si="53"/>
        <v>3.1973250000000002</v>
      </c>
      <c r="EB5">
        <f t="shared" si="128"/>
        <v>3.0499999999999999E-2</v>
      </c>
      <c r="EC5">
        <f t="shared" si="53"/>
        <v>1770.1875</v>
      </c>
      <c r="ED5">
        <f t="shared" si="53"/>
        <v>12217.17</v>
      </c>
      <c r="EE5">
        <f t="shared" si="129"/>
        <v>3.0000000000000005E-3</v>
      </c>
      <c r="EF5">
        <f t="shared" si="130"/>
        <v>1.7250000000000001E-2</v>
      </c>
      <c r="EG5">
        <f t="shared" si="131"/>
        <v>8.3000000000000004E-2</v>
      </c>
      <c r="EH5">
        <f t="shared" si="132"/>
        <v>0.17374999999999999</v>
      </c>
      <c r="EI5">
        <f t="shared" si="133"/>
        <v>0.03</v>
      </c>
      <c r="EJ5">
        <f t="shared" si="53"/>
        <v>1340.675</v>
      </c>
      <c r="EK5">
        <f t="shared" si="53"/>
        <v>104.25</v>
      </c>
      <c r="EL5">
        <f t="shared" si="53"/>
        <v>98.125</v>
      </c>
      <c r="EM5">
        <f t="shared" si="53"/>
        <v>107.83750000000001</v>
      </c>
      <c r="EN5">
        <f t="shared" si="134"/>
        <v>7.2257371157817829E-2</v>
      </c>
      <c r="EO5">
        <f t="shared" si="135"/>
        <v>5.7710404083925526E-2</v>
      </c>
      <c r="EP5">
        <f t="shared" si="136"/>
        <v>3.438910606773582E-2</v>
      </c>
      <c r="ER5" t="s">
        <v>36</v>
      </c>
      <c r="ES5">
        <f t="shared" si="54"/>
        <v>5.45E-2</v>
      </c>
      <c r="ET5">
        <f t="shared" si="55"/>
        <v>1.55E-2</v>
      </c>
      <c r="EU5">
        <f t="shared" si="56"/>
        <v>3.1974999999999996E-2</v>
      </c>
      <c r="EV5">
        <f t="shared" si="57"/>
        <v>3.0898750000000001</v>
      </c>
      <c r="EW5">
        <f t="shared" si="58"/>
        <v>3.1000000000000007E-2</v>
      </c>
      <c r="EX5">
        <f t="shared" si="59"/>
        <v>1630.2725</v>
      </c>
      <c r="EY5">
        <f t="shared" si="60"/>
        <v>11100.492499999998</v>
      </c>
      <c r="EZ5">
        <f t="shared" si="61"/>
        <v>-1.7000000000000001E-2</v>
      </c>
      <c r="FA5">
        <f t="shared" si="62"/>
        <v>3.0750000000000003E-2</v>
      </c>
      <c r="FB5">
        <f t="shared" si="63"/>
        <v>0.18924999999999997</v>
      </c>
      <c r="FC5">
        <f t="shared" si="64"/>
        <v>0.17825000000000002</v>
      </c>
      <c r="FD5">
        <f t="shared" si="65"/>
        <v>0.03</v>
      </c>
      <c r="FE5">
        <f t="shared" si="66"/>
        <v>1678.3000000000002</v>
      </c>
      <c r="FF5">
        <f t="shared" si="67"/>
        <v>116.55</v>
      </c>
      <c r="FG5">
        <f t="shared" si="68"/>
        <v>95.25</v>
      </c>
      <c r="FH5">
        <f t="shared" si="69"/>
        <v>111.045</v>
      </c>
      <c r="FI5">
        <f t="shared" si="70"/>
        <v>8.3554460800505007E-2</v>
      </c>
      <c r="FJ5">
        <f t="shared" si="71"/>
        <v>6.3694854971433901E-2</v>
      </c>
      <c r="FK5">
        <f t="shared" si="72"/>
        <v>4.1952858939914128E-2</v>
      </c>
      <c r="FM5" t="s">
        <v>37</v>
      </c>
      <c r="FN5">
        <f t="shared" si="137"/>
        <v>0.2115994324975605</v>
      </c>
      <c r="FO5">
        <f t="shared" si="73"/>
        <v>0.26480509458083179</v>
      </c>
      <c r="FP5">
        <f t="shared" si="73"/>
        <v>3.6275957700516677E-2</v>
      </c>
      <c r="FQ5">
        <f t="shared" si="73"/>
        <v>-1.198928449662549</v>
      </c>
      <c r="FR5">
        <f t="shared" si="73"/>
        <v>-0.70113665126767299</v>
      </c>
      <c r="FS5">
        <f t="shared" si="73"/>
        <v>0.92224389487305403</v>
      </c>
      <c r="FT5">
        <f t="shared" si="73"/>
        <v>0.73174997853877666</v>
      </c>
      <c r="FU5">
        <f t="shared" si="73"/>
        <v>-0.33632671443550194</v>
      </c>
      <c r="FV5">
        <f t="shared" si="73"/>
        <v>-0.24708986005693573</v>
      </c>
      <c r="FW5">
        <f t="shared" si="73"/>
        <v>0.63120609836510977</v>
      </c>
      <c r="FX5">
        <f t="shared" si="73"/>
        <v>0.34634759660222197</v>
      </c>
      <c r="FY5">
        <f t="shared" si="73"/>
        <v>0.22810893127191334</v>
      </c>
      <c r="FZ5">
        <f t="shared" si="73"/>
        <v>-0.3756785611059002</v>
      </c>
      <c r="GA5">
        <f t="shared" si="138"/>
        <v>0.5737674750052042</v>
      </c>
      <c r="GB5">
        <f t="shared" si="73"/>
        <v>-0.4926869401954363</v>
      </c>
      <c r="GC5">
        <f t="shared" si="73"/>
        <v>1.2376157041976388</v>
      </c>
      <c r="GD5">
        <f t="shared" si="73"/>
        <v>0.43495088888900335</v>
      </c>
      <c r="GE5">
        <f t="shared" si="73"/>
        <v>0.16785258078148074</v>
      </c>
      <c r="GF5">
        <f t="shared" si="73"/>
        <v>-1.5131432746682519E-3</v>
      </c>
      <c r="GH5" t="s">
        <v>36</v>
      </c>
      <c r="GI5">
        <f t="shared" si="139"/>
        <v>0.3505411477805459</v>
      </c>
      <c r="GJ5">
        <f t="shared" si="74"/>
        <v>-0.26051481166014151</v>
      </c>
      <c r="GK5">
        <f t="shared" si="74"/>
        <v>3.3684197428878411E-2</v>
      </c>
      <c r="GL5">
        <f t="shared" si="74"/>
        <v>-1.2864407846300729</v>
      </c>
      <c r="GM5">
        <f t="shared" si="74"/>
        <v>-0.61876709768301141</v>
      </c>
      <c r="GN5">
        <f t="shared" si="74"/>
        <v>-0.10148670877207698</v>
      </c>
      <c r="GO5">
        <f t="shared" si="74"/>
        <v>-0.38190802979594068</v>
      </c>
      <c r="GP5">
        <f t="shared" si="74"/>
        <v>-0.73886440689774224</v>
      </c>
      <c r="GQ5">
        <f t="shared" si="74"/>
        <v>-0.19157375950016362</v>
      </c>
      <c r="GR5">
        <f t="shared" si="74"/>
        <v>1.8680821190503047</v>
      </c>
      <c r="GS5">
        <f t="shared" si="74"/>
        <v>0.55074440891837639</v>
      </c>
      <c r="GT5">
        <f t="shared" si="74"/>
        <v>0.28519656624544293</v>
      </c>
      <c r="GU5">
        <f t="shared" si="74"/>
        <v>1.1873182432695344</v>
      </c>
      <c r="GV5">
        <f t="shared" si="140"/>
        <v>1.1284225874794371</v>
      </c>
      <c r="GW5">
        <f t="shared" si="74"/>
        <v>-0.92711024370142103</v>
      </c>
      <c r="GX5">
        <f t="shared" si="74"/>
        <v>1.3913663315639435</v>
      </c>
      <c r="GY5">
        <f t="shared" si="74"/>
        <v>0.7492580200562623</v>
      </c>
      <c r="GZ5">
        <f t="shared" si="74"/>
        <v>0.40831238409959053</v>
      </c>
      <c r="HA5">
        <f t="shared" si="74"/>
        <v>0.14263160623511342</v>
      </c>
      <c r="HC5" t="s">
        <v>37</v>
      </c>
      <c r="HD5">
        <f t="shared" si="141"/>
        <v>0.3505411477805459</v>
      </c>
      <c r="HE5">
        <f t="shared" si="75"/>
        <v>-0.26051481166014151</v>
      </c>
      <c r="HF5">
        <f t="shared" si="75"/>
        <v>3.3684197428878411E-2</v>
      </c>
      <c r="HG5">
        <f t="shared" si="75"/>
        <v>-1.2864407846300729</v>
      </c>
      <c r="HH5">
        <f t="shared" si="75"/>
        <v>-0.61876709768301141</v>
      </c>
      <c r="HI5">
        <f t="shared" si="75"/>
        <v>-0.10148670877207698</v>
      </c>
      <c r="HJ5">
        <f t="shared" si="75"/>
        <v>-0.38190802979594068</v>
      </c>
      <c r="HK5">
        <f t="shared" si="75"/>
        <v>-0.73886440689774224</v>
      </c>
      <c r="HL5">
        <f t="shared" si="75"/>
        <v>-0.19157375950016362</v>
      </c>
      <c r="HM5">
        <f t="shared" si="75"/>
        <v>1.8680821190503047</v>
      </c>
      <c r="HN5">
        <f t="shared" si="75"/>
        <v>0.55074440891837639</v>
      </c>
      <c r="HO5">
        <f t="shared" si="75"/>
        <v>0.28519656624544293</v>
      </c>
      <c r="HP5">
        <f t="shared" si="75"/>
        <v>1.1873182432695344</v>
      </c>
      <c r="HQ5">
        <f t="shared" si="75"/>
        <v>1.1284225874794371</v>
      </c>
      <c r="HR5">
        <f t="shared" si="75"/>
        <v>-0.92711024370142103</v>
      </c>
      <c r="HS5">
        <f t="shared" si="75"/>
        <v>1.3913663315639435</v>
      </c>
      <c r="HT5">
        <f t="shared" si="75"/>
        <v>0.7492580200562623</v>
      </c>
      <c r="HU5">
        <f t="shared" si="75"/>
        <v>0.40831238409959053</v>
      </c>
      <c r="HV5">
        <f t="shared" si="75"/>
        <v>0.14263160623511342</v>
      </c>
      <c r="HX5" t="s">
        <v>37</v>
      </c>
      <c r="HY5">
        <f t="shared" si="142"/>
        <v>5.45E-2</v>
      </c>
      <c r="HZ5">
        <f t="shared" si="143"/>
        <v>1.55E-2</v>
      </c>
      <c r="IA5">
        <f t="shared" si="144"/>
        <v>3.1974999999999996E-2</v>
      </c>
      <c r="IB5">
        <f t="shared" si="145"/>
        <v>3.0898750000000001</v>
      </c>
      <c r="IC5">
        <f t="shared" si="146"/>
        <v>3.1000000000000007E-2</v>
      </c>
      <c r="ID5">
        <f t="shared" si="147"/>
        <v>1630.2725</v>
      </c>
      <c r="IE5">
        <f t="shared" si="148"/>
        <v>11100.492499999998</v>
      </c>
      <c r="IF5">
        <f t="shared" si="149"/>
        <v>-1.7000000000000001E-2</v>
      </c>
      <c r="IG5">
        <f t="shared" si="150"/>
        <v>3.0750000000000003E-2</v>
      </c>
      <c r="IH5">
        <f t="shared" si="151"/>
        <v>0.18924999999999997</v>
      </c>
      <c r="II5">
        <f t="shared" si="152"/>
        <v>0.17825000000000002</v>
      </c>
      <c r="IJ5">
        <f t="shared" si="153"/>
        <v>0.03</v>
      </c>
      <c r="IK5">
        <f t="shared" si="154"/>
        <v>1678.3000000000002</v>
      </c>
      <c r="IL5">
        <f t="shared" si="155"/>
        <v>116.55</v>
      </c>
      <c r="IM5">
        <f t="shared" si="156"/>
        <v>95.25</v>
      </c>
      <c r="IN5">
        <f t="shared" si="157"/>
        <v>111.045</v>
      </c>
      <c r="IO5">
        <f t="shared" si="158"/>
        <v>8.3554460800505007E-2</v>
      </c>
      <c r="IP5">
        <f t="shared" si="159"/>
        <v>6.3694854971433901E-2</v>
      </c>
      <c r="IQ5">
        <f t="shared" si="160"/>
        <v>4.1952858939914128E-2</v>
      </c>
      <c r="IS5" t="s">
        <v>37</v>
      </c>
      <c r="IT5">
        <f t="shared" si="161"/>
        <v>0.31673376502384121</v>
      </c>
      <c r="IU5">
        <f t="shared" si="162"/>
        <v>-0.20566990489099959</v>
      </c>
      <c r="IV5">
        <f t="shared" si="163"/>
        <v>-0.20609320319599048</v>
      </c>
      <c r="IW5">
        <f t="shared" si="164"/>
        <v>-1.1965781250748406</v>
      </c>
      <c r="IX5">
        <f t="shared" si="165"/>
        <v>-0.54130116509190518</v>
      </c>
      <c r="IY5">
        <f t="shared" si="166"/>
        <v>-0.16020920800402338</v>
      </c>
      <c r="IZ5">
        <f t="shared" si="167"/>
        <v>-0.37535784298014158</v>
      </c>
      <c r="JA5">
        <f t="shared" si="168"/>
        <v>-0.68284887633664293</v>
      </c>
      <c r="JB5">
        <f t="shared" si="169"/>
        <v>-2.8239264075062987E-2</v>
      </c>
      <c r="JC5">
        <f t="shared" si="170"/>
        <v>1.7598144454962854</v>
      </c>
      <c r="JD5">
        <f t="shared" si="171"/>
        <v>0.45938457130320254</v>
      </c>
      <c r="JE5">
        <f t="shared" si="172"/>
        <v>0.11237146086790889</v>
      </c>
      <c r="JF5">
        <f t="shared" si="173"/>
        <v>1.4633224554270556</v>
      </c>
      <c r="JG5">
        <f t="shared" si="174"/>
        <v>1.1284225874794371</v>
      </c>
      <c r="JH5">
        <f t="shared" si="78"/>
        <v>-0.9523737004533942</v>
      </c>
      <c r="JI5">
        <f t="shared" si="79"/>
        <v>1.3194630569314503</v>
      </c>
      <c r="JJ5">
        <f t="shared" si="80"/>
        <v>0.66223120430468452</v>
      </c>
      <c r="JK5">
        <f t="shared" si="81"/>
        <v>0.40406922226960629</v>
      </c>
      <c r="JL5">
        <f t="shared" si="82"/>
        <v>0.28379638306214444</v>
      </c>
      <c r="JN5" t="s">
        <v>37</v>
      </c>
      <c r="JO5">
        <f t="shared" si="83"/>
        <v>3.4267912772585792E-2</v>
      </c>
      <c r="JP5">
        <f t="shared" si="84"/>
        <v>7.0949811999346107E-2</v>
      </c>
      <c r="JQ5">
        <f t="shared" si="85"/>
        <v>-9.0909090909090981E-2</v>
      </c>
      <c r="JR5">
        <f t="shared" si="86"/>
        <v>0.10539684419313775</v>
      </c>
      <c r="JS5">
        <f t="shared" si="87"/>
        <v>0.12375176383572853</v>
      </c>
      <c r="JT5">
        <f t="shared" si="88"/>
        <v>-9.333333333333324E-2</v>
      </c>
      <c r="JU5">
        <f t="shared" si="89"/>
        <v>0</v>
      </c>
      <c r="JV5">
        <f t="shared" si="90"/>
        <v>-0.28275285761184221</v>
      </c>
      <c r="JW5">
        <f t="shared" si="91"/>
        <v>-0.30581297388374051</v>
      </c>
      <c r="JX5">
        <f t="shared" si="92"/>
        <v>2.4083769633507824E-2</v>
      </c>
      <c r="JY5">
        <f t="shared" si="93"/>
        <v>-2.7900279002790233E-3</v>
      </c>
      <c r="KA5" t="s">
        <v>37</v>
      </c>
      <c r="KB5">
        <f t="shared" si="175"/>
        <v>0.35143035635763803</v>
      </c>
      <c r="KC5">
        <f t="shared" si="94"/>
        <v>0.49370245437205718</v>
      </c>
      <c r="KD5">
        <f t="shared" si="94"/>
        <v>-0.8477456051480915</v>
      </c>
      <c r="KE5">
        <f t="shared" si="94"/>
        <v>1.4953347542042006</v>
      </c>
      <c r="KF5">
        <f t="shared" si="94"/>
        <v>1.4711174908839022</v>
      </c>
      <c r="KG5">
        <f t="shared" si="94"/>
        <v>-0.51142760884577243</v>
      </c>
      <c r="KH5">
        <f t="shared" si="94"/>
        <v>0.20317917395076276</v>
      </c>
      <c r="KI5">
        <f t="shared" si="94"/>
        <v>-2.147961051895952</v>
      </c>
      <c r="KJ5">
        <f t="shared" si="176"/>
        <v>-1.5955776227560245</v>
      </c>
      <c r="KK5">
        <f t="shared" si="94"/>
        <v>0.32278247266451532</v>
      </c>
      <c r="KL5">
        <f t="shared" si="94"/>
        <v>-0.10694163716227344</v>
      </c>
    </row>
    <row r="6" spans="1:298" x14ac:dyDescent="0.35">
      <c r="A6" t="s">
        <v>37</v>
      </c>
      <c r="B6">
        <f>'Sorting Y'!B5/100</f>
        <v>0.05</v>
      </c>
      <c r="C6">
        <f>'Sorting Y'!C5/100</f>
        <v>3.2000000000000001E-2</v>
      </c>
      <c r="D6">
        <f>'Sorting Y'!D5/100</f>
        <v>3.32E-2</v>
      </c>
      <c r="E6">
        <f>'Sorting Y'!E5</f>
        <v>3.2755000000000001</v>
      </c>
      <c r="F6">
        <f>'Sorting Y'!F5/100</f>
        <v>0.03</v>
      </c>
      <c r="G6">
        <f>'Sorting Y'!G5</f>
        <v>1866.96</v>
      </c>
      <c r="H6">
        <f>'Sorting Y'!H5</f>
        <v>12853.63</v>
      </c>
      <c r="I6">
        <f>'Sorting Y'!I5/100</f>
        <v>5.0999999999999997E-2</v>
      </c>
      <c r="J6">
        <f>'Sorting Y'!J5/100</f>
        <v>6.9000000000000006E-2</v>
      </c>
      <c r="K6">
        <f>'Sorting Y'!K5/100</f>
        <v>6.0999999999999999E-2</v>
      </c>
      <c r="L6">
        <f>'Sorting Y'!L5/100</f>
        <v>0.13600000000000001</v>
      </c>
      <c r="M6">
        <f>'Sorting Y'!M5/100</f>
        <v>0.03</v>
      </c>
      <c r="N6">
        <f>'Sorting Y'!N5</f>
        <v>1201.6400000000001</v>
      </c>
      <c r="O6">
        <f>'Sorting Y'!O5</f>
        <v>82.4</v>
      </c>
      <c r="P6">
        <f>'Sorting Y'!P5</f>
        <v>97.8</v>
      </c>
      <c r="Q6">
        <f>'Sorting Y'!Q5</f>
        <v>110.8</v>
      </c>
      <c r="R6">
        <f>'Sorting Y'!R5/100</f>
        <v>7.5844454158202845E-2</v>
      </c>
      <c r="S6">
        <f>'Sorting Y'!S5/100</f>
        <v>5.4397487150199986E-2</v>
      </c>
      <c r="T6">
        <f>'Sorting Y'!T5/100</f>
        <v>2.9495024696621908E-2</v>
      </c>
      <c r="V6" t="s">
        <v>38</v>
      </c>
      <c r="W6">
        <f t="shared" si="95"/>
        <v>0.05</v>
      </c>
      <c r="X6">
        <f t="shared" si="20"/>
        <v>3.2000000000000001E-2</v>
      </c>
      <c r="Y6">
        <f t="shared" si="20"/>
        <v>3.32E-2</v>
      </c>
      <c r="Z6">
        <f t="shared" si="20"/>
        <v>3.2755000000000001</v>
      </c>
      <c r="AA6">
        <f t="shared" si="20"/>
        <v>0.03</v>
      </c>
      <c r="AB6">
        <f t="shared" si="20"/>
        <v>1866.96</v>
      </c>
      <c r="AC6">
        <f t="shared" si="20"/>
        <v>12853.63</v>
      </c>
      <c r="AD6">
        <f t="shared" si="20"/>
        <v>5.0999999999999997E-2</v>
      </c>
      <c r="AE6">
        <f t="shared" si="20"/>
        <v>6.9000000000000006E-2</v>
      </c>
      <c r="AF6">
        <f t="shared" si="20"/>
        <v>6.0999999999999999E-2</v>
      </c>
      <c r="AG6">
        <f t="shared" si="20"/>
        <v>0.13600000000000001</v>
      </c>
      <c r="AH6">
        <f t="shared" si="20"/>
        <v>0.03</v>
      </c>
      <c r="AI6">
        <f t="shared" si="20"/>
        <v>1201.6400000000001</v>
      </c>
      <c r="AJ6">
        <f t="shared" si="20"/>
        <v>82.4</v>
      </c>
      <c r="AK6">
        <f t="shared" si="20"/>
        <v>97.8</v>
      </c>
      <c r="AL6">
        <f t="shared" si="20"/>
        <v>110.8</v>
      </c>
      <c r="AM6">
        <f t="shared" si="20"/>
        <v>7.5844454158202845E-2</v>
      </c>
      <c r="AN6">
        <f t="shared" si="20"/>
        <v>5.4397487150199986E-2</v>
      </c>
      <c r="AO6">
        <f t="shared" si="20"/>
        <v>2.9495024696621908E-2</v>
      </c>
      <c r="AQ6" t="s">
        <v>38</v>
      </c>
      <c r="AR6">
        <f t="shared" si="177"/>
        <v>0.54840785283131721</v>
      </c>
      <c r="AS6">
        <f t="shared" si="21"/>
        <v>0.51539416135385108</v>
      </c>
      <c r="AT6">
        <f t="shared" si="21"/>
        <v>1.0082449434270204</v>
      </c>
      <c r="AU6">
        <f t="shared" si="21"/>
        <v>-0.69277411274629908</v>
      </c>
      <c r="AV6">
        <f t="shared" si="21"/>
        <v>-0.85760966900176228</v>
      </c>
      <c r="AW6">
        <f t="shared" si="21"/>
        <v>0.82478874686397741</v>
      </c>
      <c r="AX6">
        <f t="shared" si="21"/>
        <v>0.48655235749942755</v>
      </c>
      <c r="AY6">
        <f t="shared" si="21"/>
        <v>-0.2404326091834961</v>
      </c>
      <c r="AZ6">
        <f t="shared" si="21"/>
        <v>-0.18304117245456622</v>
      </c>
      <c r="BA6">
        <f t="shared" si="21"/>
        <v>0.28056967308265723</v>
      </c>
      <c r="BB6">
        <f t="shared" si="21"/>
        <v>1.1087430174323428E-2</v>
      </c>
      <c r="BC6">
        <f t="shared" si="21"/>
        <v>0.80403025220737523</v>
      </c>
      <c r="BD6">
        <f t="shared" si="21"/>
        <v>-0.83174673820528655</v>
      </c>
      <c r="BE6">
        <f t="shared" si="96"/>
        <v>-0.26075346023011309</v>
      </c>
      <c r="BF6">
        <f t="shared" si="21"/>
        <v>8.7160356131072755E-3</v>
      </c>
      <c r="BG6">
        <f t="shared" si="21"/>
        <v>-0.581150530631519</v>
      </c>
      <c r="BH6">
        <f t="shared" si="21"/>
        <v>0.54359213718465804</v>
      </c>
      <c r="BI6">
        <f t="shared" si="21"/>
        <v>-0.29840927637523934</v>
      </c>
      <c r="BJ6">
        <f t="shared" si="21"/>
        <v>0.92743066007929742</v>
      </c>
      <c r="BL6" t="s">
        <v>37</v>
      </c>
      <c r="BM6">
        <f t="shared" si="97"/>
        <v>0.27249875719180844</v>
      </c>
      <c r="BN6">
        <f t="shared" si="98"/>
        <v>0.86428595858614954</v>
      </c>
      <c r="BO6">
        <f t="shared" si="99"/>
        <v>0.20677728583495414</v>
      </c>
      <c r="BP6">
        <f t="shared" si="100"/>
        <v>-0.96330885504844732</v>
      </c>
      <c r="BQ6">
        <f t="shared" si="101"/>
        <v>-0.82283149656082322</v>
      </c>
      <c r="BR6">
        <f t="shared" si="102"/>
        <v>1.8928651390142148</v>
      </c>
      <c r="BS6">
        <f t="shared" si="103"/>
        <v>1.60280605934996</v>
      </c>
      <c r="BT6">
        <f t="shared" si="104"/>
        <v>0.51860154486539622</v>
      </c>
      <c r="BU6">
        <f t="shared" si="105"/>
        <v>0.68973558767718446</v>
      </c>
      <c r="BV6">
        <f t="shared" si="106"/>
        <v>0.39508289982933525</v>
      </c>
      <c r="BW6">
        <f t="shared" si="107"/>
        <v>-0.16767257674811978</v>
      </c>
      <c r="BX6">
        <f t="shared" si="108"/>
        <v>0.27359890796126979</v>
      </c>
      <c r="BY6">
        <f t="shared" si="109"/>
        <v>-0.80867867239629354</v>
      </c>
      <c r="BZ6">
        <f t="shared" si="110"/>
        <v>-0.42977964138593222</v>
      </c>
      <c r="CA6">
        <f t="shared" si="23"/>
        <v>-0.48272105116439801</v>
      </c>
      <c r="CB6">
        <f t="shared" si="24"/>
        <v>1.4236665523008203</v>
      </c>
      <c r="CC6">
        <f t="shared" si="25"/>
        <v>0.53398859794756415</v>
      </c>
      <c r="CD6">
        <f t="shared" si="26"/>
        <v>0.19818308328182671</v>
      </c>
      <c r="CE6">
        <f t="shared" si="27"/>
        <v>-0.42634995107589779</v>
      </c>
      <c r="CG6" t="s">
        <v>38</v>
      </c>
      <c r="CH6">
        <f t="shared" si="111"/>
        <v>0.23654368603763024</v>
      </c>
      <c r="CI6">
        <f t="shared" si="112"/>
        <v>0.93425049345778344</v>
      </c>
      <c r="CJ6">
        <f t="shared" si="113"/>
        <v>4.5005282438870628E-2</v>
      </c>
      <c r="CK6">
        <f t="shared" si="114"/>
        <v>-0.87834310512435898</v>
      </c>
      <c r="CL6">
        <f t="shared" si="115"/>
        <v>-0.74518361884357942</v>
      </c>
      <c r="CM6">
        <f t="shared" si="116"/>
        <v>1.8009592012212035</v>
      </c>
      <c r="CN6">
        <f t="shared" si="117"/>
        <v>1.505761950816666</v>
      </c>
      <c r="CO6">
        <f t="shared" si="118"/>
        <v>0.97356066916021933</v>
      </c>
      <c r="CP6">
        <f t="shared" si="119"/>
        <v>1.1603733133428877</v>
      </c>
      <c r="CQ6">
        <f t="shared" si="120"/>
        <v>0.31212490728683456</v>
      </c>
      <c r="CR6">
        <f t="shared" si="121"/>
        <v>-0.24856584876769819</v>
      </c>
      <c r="CS6">
        <f t="shared" si="122"/>
        <v>0.10936965981494998</v>
      </c>
      <c r="CT6">
        <f t="shared" si="123"/>
        <v>-0.72630504164306042</v>
      </c>
      <c r="CU6">
        <f t="shared" si="124"/>
        <v>-0.42977964138593222</v>
      </c>
      <c r="CV6">
        <f t="shared" si="29"/>
        <v>-0.37013737217944648</v>
      </c>
      <c r="CW6">
        <f t="shared" si="30"/>
        <v>1.3703936277605835</v>
      </c>
      <c r="CX6">
        <f t="shared" si="31"/>
        <v>0.46027043609924989</v>
      </c>
      <c r="CY6">
        <f t="shared" si="32"/>
        <v>0.15209752953439395</v>
      </c>
      <c r="CZ6">
        <f t="shared" si="33"/>
        <v>-0.31618124076581355</v>
      </c>
      <c r="DB6" t="s">
        <v>38</v>
      </c>
      <c r="DC6">
        <f t="shared" si="34"/>
        <v>0.27249875719180844</v>
      </c>
      <c r="DD6">
        <f t="shared" si="35"/>
        <v>0.86428595858614954</v>
      </c>
      <c r="DE6">
        <f t="shared" si="36"/>
        <v>0.20677728583495414</v>
      </c>
      <c r="DF6">
        <f t="shared" si="37"/>
        <v>-0.96330885504844732</v>
      </c>
      <c r="DG6">
        <f t="shared" si="38"/>
        <v>-0.82283149656082322</v>
      </c>
      <c r="DH6">
        <f t="shared" si="39"/>
        <v>1.8928651390142148</v>
      </c>
      <c r="DI6">
        <f t="shared" si="40"/>
        <v>1.60280605934996</v>
      </c>
      <c r="DJ6">
        <f t="shared" si="41"/>
        <v>0.51860154486539622</v>
      </c>
      <c r="DK6">
        <f t="shared" si="42"/>
        <v>0.68973558767718446</v>
      </c>
      <c r="DL6">
        <f t="shared" si="43"/>
        <v>0.39508289982933525</v>
      </c>
      <c r="DM6">
        <f t="shared" si="44"/>
        <v>-0.16767257674811978</v>
      </c>
      <c r="DN6">
        <f t="shared" si="45"/>
        <v>0.27359890796126979</v>
      </c>
      <c r="DO6">
        <f t="shared" si="46"/>
        <v>-0.80867867239629354</v>
      </c>
      <c r="DP6">
        <f t="shared" si="47"/>
        <v>-0.42977964138593222</v>
      </c>
      <c r="DQ6">
        <f t="shared" si="48"/>
        <v>-0.48272105116439801</v>
      </c>
      <c r="DR6">
        <f t="shared" si="49"/>
        <v>1.4236665523008203</v>
      </c>
      <c r="DS6">
        <f t="shared" si="50"/>
        <v>0.53398859794756415</v>
      </c>
      <c r="DT6">
        <f t="shared" si="51"/>
        <v>0.19818308328182671</v>
      </c>
      <c r="DU6">
        <f t="shared" si="52"/>
        <v>-0.42634995107589779</v>
      </c>
      <c r="DW6" t="s">
        <v>38</v>
      </c>
      <c r="DX6">
        <f t="shared" si="125"/>
        <v>6.0249999999999998E-2</v>
      </c>
      <c r="DY6">
        <f t="shared" si="126"/>
        <v>3.0250000000000003E-2</v>
      </c>
      <c r="DZ6">
        <f t="shared" si="127"/>
        <v>3.6200000000000003E-2</v>
      </c>
      <c r="EA6">
        <f t="shared" si="53"/>
        <v>3.3133749999999997</v>
      </c>
      <c r="EB6">
        <f t="shared" si="128"/>
        <v>2.8750000000000001E-2</v>
      </c>
      <c r="EC6">
        <f t="shared" si="53"/>
        <v>1834.87</v>
      </c>
      <c r="ED6">
        <f t="shared" si="53"/>
        <v>12709.594999999999</v>
      </c>
      <c r="EE6">
        <f t="shared" si="129"/>
        <v>5.1500000000000004E-2</v>
      </c>
      <c r="EF6">
        <f t="shared" si="130"/>
        <v>4.0750000000000001E-2</v>
      </c>
      <c r="EG6">
        <f t="shared" si="131"/>
        <v>4.8000000000000008E-2</v>
      </c>
      <c r="EH6">
        <f t="shared" si="132"/>
        <v>0.18100000000000002</v>
      </c>
      <c r="EI6">
        <f t="shared" si="133"/>
        <v>3.15E-2</v>
      </c>
      <c r="EJ6">
        <f t="shared" si="53"/>
        <v>1250.9650000000001</v>
      </c>
      <c r="EK6">
        <f t="shared" si="53"/>
        <v>94.474999999999994</v>
      </c>
      <c r="EL6">
        <f t="shared" si="53"/>
        <v>99.625</v>
      </c>
      <c r="EM6">
        <f t="shared" si="53"/>
        <v>93.03</v>
      </c>
      <c r="EN6">
        <f t="shared" si="134"/>
        <v>6.9715027561911599E-2</v>
      </c>
      <c r="EO6">
        <f t="shared" si="135"/>
        <v>4.8459172103468749E-2</v>
      </c>
      <c r="EP6">
        <f t="shared" si="136"/>
        <v>5.1765503529431323E-2</v>
      </c>
      <c r="ER6" t="s">
        <v>37</v>
      </c>
      <c r="ES6">
        <f t="shared" si="54"/>
        <v>4.6999999999999993E-2</v>
      </c>
      <c r="ET6">
        <f t="shared" si="55"/>
        <v>2.3E-2</v>
      </c>
      <c r="EU6">
        <f t="shared" si="56"/>
        <v>3.2350000000000004E-2</v>
      </c>
      <c r="EV6">
        <f t="shared" si="57"/>
        <v>3.1973250000000002</v>
      </c>
      <c r="EW6">
        <f t="shared" si="58"/>
        <v>3.0499999999999999E-2</v>
      </c>
      <c r="EX6">
        <f t="shared" si="59"/>
        <v>1770.1875</v>
      </c>
      <c r="EY6">
        <f t="shared" si="60"/>
        <v>12217.17</v>
      </c>
      <c r="EZ6">
        <f t="shared" si="61"/>
        <v>3.0000000000000005E-3</v>
      </c>
      <c r="FA6">
        <f t="shared" si="62"/>
        <v>1.7250000000000001E-2</v>
      </c>
      <c r="FB6">
        <f t="shared" si="63"/>
        <v>8.3000000000000004E-2</v>
      </c>
      <c r="FC6">
        <f t="shared" si="64"/>
        <v>0.17374999999999999</v>
      </c>
      <c r="FD6">
        <f t="shared" si="65"/>
        <v>0.03</v>
      </c>
      <c r="FE6">
        <f t="shared" si="66"/>
        <v>1340.675</v>
      </c>
      <c r="FF6">
        <f t="shared" si="67"/>
        <v>104.25</v>
      </c>
      <c r="FG6">
        <f t="shared" si="68"/>
        <v>98.125</v>
      </c>
      <c r="FH6">
        <f t="shared" si="69"/>
        <v>107.83750000000001</v>
      </c>
      <c r="FI6">
        <f t="shared" si="70"/>
        <v>7.2257371157817829E-2</v>
      </c>
      <c r="FJ6">
        <f t="shared" si="71"/>
        <v>5.7710404083925526E-2</v>
      </c>
      <c r="FK6">
        <f t="shared" si="72"/>
        <v>3.438910606773582E-2</v>
      </c>
      <c r="FM6" t="s">
        <v>38</v>
      </c>
      <c r="FN6">
        <f t="shared" si="137"/>
        <v>0.62008442967000399</v>
      </c>
      <c r="FO6">
        <f t="shared" si="73"/>
        <v>0.77063039500769026</v>
      </c>
      <c r="FP6">
        <f t="shared" si="73"/>
        <v>0.69704447753573995</v>
      </c>
      <c r="FQ6">
        <f t="shared" si="73"/>
        <v>-0.96276326242421939</v>
      </c>
      <c r="FR6">
        <f t="shared" si="73"/>
        <v>-1.0061509006892031</v>
      </c>
      <c r="FS6">
        <f t="shared" si="73"/>
        <v>1.4916832259961372</v>
      </c>
      <c r="FT6">
        <f t="shared" si="73"/>
        <v>1.3651969366797443</v>
      </c>
      <c r="FU6">
        <f t="shared" si="73"/>
        <v>0.42076316805960468</v>
      </c>
      <c r="FV6">
        <f t="shared" si="73"/>
        <v>9.9573525694586024E-2</v>
      </c>
      <c r="FW6">
        <f t="shared" si="73"/>
        <v>0.19334240850823189</v>
      </c>
      <c r="FX6">
        <f t="shared" si="73"/>
        <v>0.52340670448060234</v>
      </c>
      <c r="FY6">
        <f t="shared" si="73"/>
        <v>0.52921272055084001</v>
      </c>
      <c r="FZ6">
        <f t="shared" si="73"/>
        <v>-0.76755750687833735</v>
      </c>
      <c r="GA6">
        <f t="shared" si="138"/>
        <v>2.2386626520940828E-2</v>
      </c>
      <c r="GB6">
        <f t="shared" si="73"/>
        <v>-0.15501987837924927</v>
      </c>
      <c r="GC6">
        <f t="shared" si="73"/>
        <v>0.67491550408745826</v>
      </c>
      <c r="GD6">
        <f t="shared" si="73"/>
        <v>0.36493295082547439</v>
      </c>
      <c r="GE6">
        <f t="shared" si="73"/>
        <v>-0.13000334404151764</v>
      </c>
      <c r="GF6">
        <f t="shared" si="73"/>
        <v>0.5922170367493238</v>
      </c>
      <c r="GH6" t="s">
        <v>37</v>
      </c>
      <c r="GI6">
        <f t="shared" si="139"/>
        <v>0.12025864193931114</v>
      </c>
      <c r="GJ6">
        <f t="shared" si="74"/>
        <v>0.28793742341384065</v>
      </c>
      <c r="GK6">
        <f t="shared" si="74"/>
        <v>9.9588061963644281E-2</v>
      </c>
      <c r="GL6">
        <f t="shared" si="74"/>
        <v>-1.0721461702727659</v>
      </c>
      <c r="GM6">
        <f t="shared" si="74"/>
        <v>-0.70987390961179997</v>
      </c>
      <c r="GN6">
        <f t="shared" si="74"/>
        <v>0.95877185817548505</v>
      </c>
      <c r="GO6">
        <f t="shared" si="74"/>
        <v>0.77396326031985774</v>
      </c>
      <c r="GP6">
        <f t="shared" si="74"/>
        <v>-0.43881794724383677</v>
      </c>
      <c r="GQ6">
        <f t="shared" si="74"/>
        <v>-0.37070766448732978</v>
      </c>
      <c r="GR6">
        <f t="shared" si="74"/>
        <v>0.54135620244306992</v>
      </c>
      <c r="GS6">
        <f t="shared" si="74"/>
        <v>0.44337907288374639</v>
      </c>
      <c r="GT6">
        <f t="shared" si="74"/>
        <v>0.28519656624544293</v>
      </c>
      <c r="GU6">
        <f t="shared" si="74"/>
        <v>-0.32788558271347712</v>
      </c>
      <c r="GV6">
        <f t="shared" si="140"/>
        <v>0.44178589414991254</v>
      </c>
      <c r="GW6">
        <f t="shared" si="74"/>
        <v>-0.32503394426237991</v>
      </c>
      <c r="GX6">
        <f t="shared" si="74"/>
        <v>1.2641249040826488</v>
      </c>
      <c r="GY6">
        <f t="shared" si="74"/>
        <v>0.42461819453299432</v>
      </c>
      <c r="GZ6">
        <f t="shared" si="74"/>
        <v>0.20752363739459989</v>
      </c>
      <c r="HA6">
        <f t="shared" si="74"/>
        <v>-0.10894268021645245</v>
      </c>
      <c r="HC6" t="s">
        <v>38</v>
      </c>
      <c r="HD6">
        <f t="shared" si="141"/>
        <v>0.12025864193931114</v>
      </c>
      <c r="HE6">
        <f t="shared" si="75"/>
        <v>0.28793742341384065</v>
      </c>
      <c r="HF6">
        <f t="shared" si="75"/>
        <v>9.9588061963644281E-2</v>
      </c>
      <c r="HG6">
        <f t="shared" si="75"/>
        <v>-1.0721461702727659</v>
      </c>
      <c r="HH6">
        <f t="shared" si="75"/>
        <v>-0.70987390961179997</v>
      </c>
      <c r="HI6">
        <f t="shared" si="75"/>
        <v>0.95877185817548505</v>
      </c>
      <c r="HJ6">
        <f t="shared" si="75"/>
        <v>0.77396326031985774</v>
      </c>
      <c r="HK6">
        <f t="shared" si="75"/>
        <v>-0.43881794724383677</v>
      </c>
      <c r="HL6">
        <f t="shared" si="75"/>
        <v>-0.37070766448732978</v>
      </c>
      <c r="HM6">
        <f t="shared" si="75"/>
        <v>0.54135620244306992</v>
      </c>
      <c r="HN6">
        <f t="shared" si="75"/>
        <v>0.44337907288374639</v>
      </c>
      <c r="HO6">
        <f t="shared" si="75"/>
        <v>0.28519656624544293</v>
      </c>
      <c r="HP6">
        <f t="shared" si="75"/>
        <v>-0.32788558271347712</v>
      </c>
      <c r="HQ6">
        <f t="shared" si="75"/>
        <v>0.44178589414991254</v>
      </c>
      <c r="HR6">
        <f t="shared" si="75"/>
        <v>-0.32503394426237991</v>
      </c>
      <c r="HS6">
        <f t="shared" si="75"/>
        <v>1.2641249040826488</v>
      </c>
      <c r="HT6">
        <f t="shared" si="75"/>
        <v>0.42461819453299432</v>
      </c>
      <c r="HU6">
        <f t="shared" si="75"/>
        <v>0.20752363739459989</v>
      </c>
      <c r="HV6">
        <f t="shared" si="75"/>
        <v>-0.10894268021645245</v>
      </c>
      <c r="HX6" t="s">
        <v>38</v>
      </c>
      <c r="HY6">
        <f t="shared" si="142"/>
        <v>4.6999999999999993E-2</v>
      </c>
      <c r="HZ6">
        <f t="shared" si="143"/>
        <v>2.3E-2</v>
      </c>
      <c r="IA6">
        <f t="shared" si="144"/>
        <v>3.2350000000000004E-2</v>
      </c>
      <c r="IB6">
        <f t="shared" si="145"/>
        <v>3.1973250000000002</v>
      </c>
      <c r="IC6">
        <f t="shared" si="146"/>
        <v>3.0499999999999999E-2</v>
      </c>
      <c r="ID6">
        <f t="shared" si="147"/>
        <v>1770.1875</v>
      </c>
      <c r="IE6">
        <f t="shared" si="148"/>
        <v>12217.17</v>
      </c>
      <c r="IF6">
        <f t="shared" si="149"/>
        <v>3.0000000000000005E-3</v>
      </c>
      <c r="IG6">
        <f t="shared" si="150"/>
        <v>1.7250000000000001E-2</v>
      </c>
      <c r="IH6">
        <f t="shared" si="151"/>
        <v>8.3000000000000004E-2</v>
      </c>
      <c r="II6">
        <f t="shared" si="152"/>
        <v>0.17374999999999999</v>
      </c>
      <c r="IJ6">
        <f t="shared" si="153"/>
        <v>0.03</v>
      </c>
      <c r="IK6">
        <f t="shared" si="154"/>
        <v>1340.675</v>
      </c>
      <c r="IL6">
        <f t="shared" si="155"/>
        <v>104.25</v>
      </c>
      <c r="IM6">
        <f t="shared" si="156"/>
        <v>98.125</v>
      </c>
      <c r="IN6">
        <f t="shared" si="157"/>
        <v>107.83750000000001</v>
      </c>
      <c r="IO6">
        <f t="shared" si="158"/>
        <v>7.2257371157817829E-2</v>
      </c>
      <c r="IP6">
        <f t="shared" si="159"/>
        <v>5.7710404083925526E-2</v>
      </c>
      <c r="IQ6">
        <f t="shared" si="160"/>
        <v>3.438910606773582E-2</v>
      </c>
      <c r="IS6" t="s">
        <v>38</v>
      </c>
      <c r="IT6">
        <f t="shared" si="161"/>
        <v>9.6687149323067129E-2</v>
      </c>
      <c r="IU6">
        <f t="shared" si="162"/>
        <v>0.3245728186561086</v>
      </c>
      <c r="IV6">
        <f t="shared" si="163"/>
        <v>-0.12129176048442208</v>
      </c>
      <c r="IW6">
        <f t="shared" si="164"/>
        <v>-0.98450086726779085</v>
      </c>
      <c r="IX6">
        <f t="shared" si="165"/>
        <v>-0.65580718078442546</v>
      </c>
      <c r="IY6">
        <f t="shared" si="166"/>
        <v>0.8753088598065405</v>
      </c>
      <c r="IZ6">
        <f t="shared" si="167"/>
        <v>0.72759168304360233</v>
      </c>
      <c r="JA6">
        <f t="shared" si="168"/>
        <v>-0.31554630226803304</v>
      </c>
      <c r="JB6">
        <f t="shared" si="169"/>
        <v>-0.23791579983240635</v>
      </c>
      <c r="JC6">
        <f t="shared" si="170"/>
        <v>0.47773052268264449</v>
      </c>
      <c r="JD6">
        <f t="shared" si="171"/>
        <v>0.35071295228523991</v>
      </c>
      <c r="JE6">
        <f t="shared" si="172"/>
        <v>0.11237146086790889</v>
      </c>
      <c r="JF6">
        <f t="shared" si="173"/>
        <v>-0.20247472956499374</v>
      </c>
      <c r="JG6">
        <f t="shared" si="174"/>
        <v>0.44178589414991254</v>
      </c>
      <c r="JH6">
        <f t="shared" si="78"/>
        <v>-0.16700686142240054</v>
      </c>
      <c r="JI6">
        <f t="shared" si="79"/>
        <v>1.1980960531612228</v>
      </c>
      <c r="JJ6">
        <f t="shared" si="80"/>
        <v>0.33761008704749346</v>
      </c>
      <c r="JK6">
        <f t="shared" si="81"/>
        <v>0.21236868705237505</v>
      </c>
      <c r="JL6">
        <f t="shared" si="82"/>
        <v>1.7469283668586844E-2</v>
      </c>
      <c r="JN6" t="s">
        <v>38</v>
      </c>
      <c r="JO6">
        <f t="shared" si="83"/>
        <v>0.16265060240963841</v>
      </c>
      <c r="JP6">
        <f t="shared" si="84"/>
        <v>6.7470615173256018E-2</v>
      </c>
      <c r="JQ6">
        <f t="shared" si="85"/>
        <v>0</v>
      </c>
      <c r="JR6">
        <f t="shared" si="86"/>
        <v>-5.6621459484938103E-2</v>
      </c>
      <c r="JS6">
        <f t="shared" si="87"/>
        <v>-6.1255069579566127E-2</v>
      </c>
      <c r="JT6">
        <f t="shared" si="88"/>
        <v>8.0882352941176336E-2</v>
      </c>
      <c r="JU6">
        <f t="shared" si="89"/>
        <v>0.10000000000000009</v>
      </c>
      <c r="JV6">
        <f t="shared" si="90"/>
        <v>-1.4372024899304458E-2</v>
      </c>
      <c r="JW6">
        <f t="shared" si="91"/>
        <v>7.2815533980581833E-3</v>
      </c>
      <c r="JX6">
        <f t="shared" si="92"/>
        <v>3.2719836400818027E-2</v>
      </c>
      <c r="JY6">
        <f t="shared" si="93"/>
        <v>-0.48258122743682308</v>
      </c>
      <c r="KA6" t="s">
        <v>38</v>
      </c>
      <c r="KB6">
        <f t="shared" si="175"/>
        <v>1.1860683370160616</v>
      </c>
      <c r="KC6">
        <f t="shared" si="94"/>
        <v>0.45116980827996817</v>
      </c>
      <c r="KD6">
        <f t="shared" si="94"/>
        <v>-0.25474568805491693</v>
      </c>
      <c r="KE6">
        <f t="shared" si="94"/>
        <v>-0.9145858708163731</v>
      </c>
      <c r="KF6">
        <f t="shared" si="94"/>
        <v>-0.93214334784884023</v>
      </c>
      <c r="KG6">
        <f t="shared" si="94"/>
        <v>7.3204112096797405E-2</v>
      </c>
      <c r="KH6">
        <f t="shared" si="94"/>
        <v>0.9232325644791991</v>
      </c>
      <c r="KI6">
        <f t="shared" si="94"/>
        <v>-0.32556510250238058</v>
      </c>
      <c r="KJ6">
        <f t="shared" si="176"/>
        <v>0.15850906498834288</v>
      </c>
      <c r="KK6">
        <f t="shared" si="94"/>
        <v>0.65748661775570383</v>
      </c>
      <c r="KL6">
        <f t="shared" si="94"/>
        <v>-1.5831123745281837</v>
      </c>
    </row>
    <row r="7" spans="1:298" x14ac:dyDescent="0.35">
      <c r="A7" t="s">
        <v>38</v>
      </c>
      <c r="B7">
        <f>'Sorting Y'!B6/100</f>
        <v>5.7000000000000002E-2</v>
      </c>
      <c r="C7">
        <f>'Sorting Y'!C6/100</f>
        <v>2.7000000000000003E-2</v>
      </c>
      <c r="D7">
        <f>'Sorting Y'!D6/100</f>
        <v>3.8599999999999995E-2</v>
      </c>
      <c r="E7">
        <f>'Sorting Y'!E6</f>
        <v>3.4965000000000002</v>
      </c>
      <c r="F7">
        <f>'Sorting Y'!F6/100</f>
        <v>0.03</v>
      </c>
      <c r="G7">
        <f>'Sorting Y'!G6</f>
        <v>1761.25</v>
      </c>
      <c r="H7">
        <f>'Sorting Y'!H6</f>
        <v>12066.28</v>
      </c>
      <c r="I7">
        <f>'Sorting Y'!I6/100</f>
        <v>1.6E-2</v>
      </c>
      <c r="J7">
        <f>'Sorting Y'!J6/100</f>
        <v>2.3E-2</v>
      </c>
      <c r="K7">
        <f>'Sorting Y'!K6/100</f>
        <v>4.2999999999999997E-2</v>
      </c>
      <c r="L7">
        <f>'Sorting Y'!L6/100</f>
        <v>0.14699999999999999</v>
      </c>
      <c r="M7">
        <f>'Sorting Y'!M6/100</f>
        <v>3.3000000000000002E-2</v>
      </c>
      <c r="N7">
        <f>'Sorting Y'!N6</f>
        <v>1184.3699999999999</v>
      </c>
      <c r="O7">
        <f>'Sorting Y'!O6</f>
        <v>83</v>
      </c>
      <c r="P7">
        <f>'Sorting Y'!P6</f>
        <v>101</v>
      </c>
      <c r="Q7">
        <f>'Sorting Y'!Q6</f>
        <v>57.33</v>
      </c>
      <c r="R7">
        <f>'Sorting Y'!R6/100</f>
        <v>7.6209748091967899E-2</v>
      </c>
      <c r="S7">
        <f>'Sorting Y'!S6/100</f>
        <v>2.4734822839088233E-2</v>
      </c>
      <c r="T7">
        <f>'Sorting Y'!T6/100</f>
        <v>5.8758787017487935E-2</v>
      </c>
      <c r="V7" t="s">
        <v>39</v>
      </c>
      <c r="W7">
        <f t="shared" si="95"/>
        <v>5.7000000000000002E-2</v>
      </c>
      <c r="X7">
        <f t="shared" si="20"/>
        <v>2.7000000000000003E-2</v>
      </c>
      <c r="Y7">
        <f t="shared" si="20"/>
        <v>3.8599999999999995E-2</v>
      </c>
      <c r="Z7">
        <f t="shared" si="20"/>
        <v>3.4965000000000002</v>
      </c>
      <c r="AA7">
        <f t="shared" si="20"/>
        <v>0.03</v>
      </c>
      <c r="AB7">
        <f t="shared" si="20"/>
        <v>1761.25</v>
      </c>
      <c r="AC7">
        <f t="shared" si="20"/>
        <v>12066.28</v>
      </c>
      <c r="AD7">
        <f t="shared" si="20"/>
        <v>1.6E-2</v>
      </c>
      <c r="AE7">
        <f t="shared" si="20"/>
        <v>2.3E-2</v>
      </c>
      <c r="AF7">
        <f t="shared" si="20"/>
        <v>4.2999999999999997E-2</v>
      </c>
      <c r="AG7">
        <f t="shared" si="20"/>
        <v>0.14699999999999999</v>
      </c>
      <c r="AH7">
        <f t="shared" si="20"/>
        <v>3.3000000000000002E-2</v>
      </c>
      <c r="AI7">
        <f t="shared" si="20"/>
        <v>1184.3699999999999</v>
      </c>
      <c r="AJ7">
        <f t="shared" si="20"/>
        <v>83</v>
      </c>
      <c r="AK7">
        <f t="shared" si="20"/>
        <v>101</v>
      </c>
      <c r="AL7">
        <f t="shared" si="20"/>
        <v>57.33</v>
      </c>
      <c r="AM7">
        <f t="shared" si="20"/>
        <v>7.6209748091967899E-2</v>
      </c>
      <c r="AN7">
        <f t="shared" si="20"/>
        <v>2.4734822839088233E-2</v>
      </c>
      <c r="AO7">
        <f t="shared" si="20"/>
        <v>5.8758787017487935E-2</v>
      </c>
      <c r="AQ7" t="s">
        <v>39</v>
      </c>
      <c r="AR7">
        <f t="shared" si="177"/>
        <v>0.17137745400978666</v>
      </c>
      <c r="AS7">
        <f t="shared" si="21"/>
        <v>0.51539416135385108</v>
      </c>
      <c r="AT7">
        <f t="shared" si="21"/>
        <v>0.9771350012735921</v>
      </c>
      <c r="AU7">
        <f t="shared" si="21"/>
        <v>0.9148613508407335</v>
      </c>
      <c r="AV7">
        <f t="shared" si="21"/>
        <v>-0.14563183058520435</v>
      </c>
      <c r="AW7">
        <f t="shared" si="21"/>
        <v>0.14743950978717321</v>
      </c>
      <c r="AX7">
        <f t="shared" si="21"/>
        <v>9.822388696178902E-2</v>
      </c>
      <c r="AY7">
        <f t="shared" si="21"/>
        <v>0.21771456737088235</v>
      </c>
      <c r="AZ7">
        <f t="shared" si="21"/>
        <v>7.7961980860278349E-2</v>
      </c>
      <c r="BA7">
        <f t="shared" si="21"/>
        <v>2.710818097416981E-2</v>
      </c>
      <c r="BB7">
        <f t="shared" si="21"/>
        <v>1.7490421099996154</v>
      </c>
      <c r="BC7">
        <f t="shared" si="21"/>
        <v>0.80403025220737523</v>
      </c>
      <c r="BD7">
        <f t="shared" si="21"/>
        <v>-1.2594516456746907</v>
      </c>
      <c r="BE7">
        <f t="shared" si="96"/>
        <v>-1.3760553891351537</v>
      </c>
      <c r="BF7">
        <f t="shared" si="21"/>
        <v>-0.2213873045729188</v>
      </c>
      <c r="BG7">
        <f t="shared" si="21"/>
        <v>-1.3516972994831578</v>
      </c>
      <c r="BH7">
        <f t="shared" si="21"/>
        <v>-0.27299319315522896</v>
      </c>
      <c r="BI7">
        <f t="shared" si="21"/>
        <v>-0.13579373523243179</v>
      </c>
      <c r="BJ7">
        <f t="shared" si="21"/>
        <v>-0.32255124114451533</v>
      </c>
      <c r="BL7" t="s">
        <v>38</v>
      </c>
      <c r="BM7">
        <f t="shared" si="97"/>
        <v>0.54828063194014465</v>
      </c>
      <c r="BN7">
        <f t="shared" si="98"/>
        <v>0.52312044861793283</v>
      </c>
      <c r="BO7">
        <f t="shared" si="99"/>
        <v>1.0825399081947555</v>
      </c>
      <c r="BP7">
        <f t="shared" si="100"/>
        <v>-0.53839034209337577</v>
      </c>
      <c r="BQ7">
        <f t="shared" si="101"/>
        <v>-0.82283149656082322</v>
      </c>
      <c r="BR7">
        <f t="shared" si="102"/>
        <v>0.90538892544930138</v>
      </c>
      <c r="BS7">
        <f t="shared" si="103"/>
        <v>0.58624886386803698</v>
      </c>
      <c r="BT7">
        <f t="shared" si="104"/>
        <v>-0.24565336335729288</v>
      </c>
      <c r="BU7">
        <f t="shared" si="105"/>
        <v>-0.20822206420443315</v>
      </c>
      <c r="BV7">
        <f t="shared" si="106"/>
        <v>0.14110103565333396</v>
      </c>
      <c r="BW7">
        <f t="shared" si="107"/>
        <v>0.14405672086810312</v>
      </c>
      <c r="BX7">
        <f t="shared" si="108"/>
        <v>0.85298483070278563</v>
      </c>
      <c r="BY7">
        <f t="shared" si="109"/>
        <v>-0.87152411418314324</v>
      </c>
      <c r="BZ7">
        <f t="shared" si="110"/>
        <v>-0.39778611969467198</v>
      </c>
      <c r="CA7">
        <f t="shared" si="23"/>
        <v>0.11523018640698367</v>
      </c>
      <c r="CB7">
        <f t="shared" si="24"/>
        <v>-0.66247898213395195</v>
      </c>
      <c r="CC7">
        <f t="shared" si="25"/>
        <v>0.54542121208029426</v>
      </c>
      <c r="CD7">
        <f t="shared" si="26"/>
        <v>-0.29504026499557401</v>
      </c>
      <c r="CE7">
        <f t="shared" si="27"/>
        <v>0.97719136526124772</v>
      </c>
      <c r="CG7" t="s">
        <v>39</v>
      </c>
      <c r="CH7">
        <f t="shared" si="111"/>
        <v>0.50051272697817395</v>
      </c>
      <c r="CI7">
        <f t="shared" si="112"/>
        <v>0.59619932806187503</v>
      </c>
      <c r="CJ7">
        <f t="shared" si="113"/>
        <v>1.0732028889268737</v>
      </c>
      <c r="CK7">
        <f t="shared" si="114"/>
        <v>-0.46144010640180266</v>
      </c>
      <c r="CL7">
        <f t="shared" si="115"/>
        <v>-0.74518361884357942</v>
      </c>
      <c r="CM7">
        <f t="shared" si="116"/>
        <v>0.81877523342702918</v>
      </c>
      <c r="CN7">
        <f t="shared" si="117"/>
        <v>0.52905122191998644</v>
      </c>
      <c r="CO7">
        <f t="shared" si="118"/>
        <v>-5.6166961682320243E-2</v>
      </c>
      <c r="CP7">
        <f t="shared" si="119"/>
        <v>-1.392447976011469E-2</v>
      </c>
      <c r="CQ7">
        <f t="shared" si="120"/>
        <v>5.9877023030535555E-2</v>
      </c>
      <c r="CR7">
        <f t="shared" si="121"/>
        <v>6.1500828561079801E-2</v>
      </c>
      <c r="CS7">
        <f t="shared" si="122"/>
        <v>0.8312094145936324</v>
      </c>
      <c r="CT7">
        <f t="shared" si="123"/>
        <v>-0.79396861164082122</v>
      </c>
      <c r="CU7">
        <f t="shared" si="124"/>
        <v>-0.39778611969467198</v>
      </c>
      <c r="CV7">
        <f t="shared" si="29"/>
        <v>0.3786462772870155</v>
      </c>
      <c r="CW7">
        <f t="shared" si="30"/>
        <v>-0.62047832807585923</v>
      </c>
      <c r="CX7">
        <f t="shared" si="31"/>
        <v>0.47143868071051548</v>
      </c>
      <c r="CY7">
        <f t="shared" si="32"/>
        <v>-0.32280384124666484</v>
      </c>
      <c r="CZ7">
        <f t="shared" si="33"/>
        <v>1.1844889057858528</v>
      </c>
      <c r="DB7" t="s">
        <v>39</v>
      </c>
      <c r="DC7">
        <f t="shared" si="34"/>
        <v>0.54828063194014465</v>
      </c>
      <c r="DD7">
        <f t="shared" si="35"/>
        <v>0.52312044861793283</v>
      </c>
      <c r="DE7">
        <f t="shared" si="36"/>
        <v>1.0825399081947555</v>
      </c>
      <c r="DF7">
        <f t="shared" si="37"/>
        <v>-0.53839034209337577</v>
      </c>
      <c r="DG7">
        <f t="shared" si="38"/>
        <v>-0.82283149656082322</v>
      </c>
      <c r="DH7">
        <f t="shared" si="39"/>
        <v>0.90538892544930138</v>
      </c>
      <c r="DI7">
        <f t="shared" si="40"/>
        <v>0.58624886386803698</v>
      </c>
      <c r="DJ7">
        <f t="shared" si="41"/>
        <v>-0.24565336335729288</v>
      </c>
      <c r="DK7">
        <f t="shared" si="42"/>
        <v>-0.20822206420443315</v>
      </c>
      <c r="DL7">
        <f t="shared" si="43"/>
        <v>0.14110103565333396</v>
      </c>
      <c r="DM7">
        <f t="shared" si="44"/>
        <v>0.14405672086810312</v>
      </c>
      <c r="DN7">
        <f t="shared" si="45"/>
        <v>0.85298483070278563</v>
      </c>
      <c r="DO7">
        <f t="shared" si="46"/>
        <v>-0.87152411418314324</v>
      </c>
      <c r="DP7">
        <f t="shared" si="47"/>
        <v>-0.39778611969467198</v>
      </c>
      <c r="DQ7">
        <f t="shared" si="48"/>
        <v>0.11523018640698367</v>
      </c>
      <c r="DR7">
        <f t="shared" si="49"/>
        <v>-0.66247898213395195</v>
      </c>
      <c r="DS7">
        <f t="shared" si="50"/>
        <v>0.54542121208029426</v>
      </c>
      <c r="DT7">
        <f t="shared" si="51"/>
        <v>-0.29504026499557401</v>
      </c>
      <c r="DU7">
        <f t="shared" si="52"/>
        <v>0.97719136526124772</v>
      </c>
      <c r="DW7" t="s">
        <v>39</v>
      </c>
      <c r="DX7">
        <f t="shared" si="125"/>
        <v>5.0999999999999997E-2</v>
      </c>
      <c r="DY7">
        <f t="shared" si="126"/>
        <v>2.1749999999999999E-2</v>
      </c>
      <c r="DZ7">
        <f t="shared" si="127"/>
        <v>3.7499999999999999E-2</v>
      </c>
      <c r="EA7">
        <f t="shared" si="53"/>
        <v>4.0411250000000001</v>
      </c>
      <c r="EB7">
        <f t="shared" si="128"/>
        <v>3.175E-2</v>
      </c>
      <c r="EC7">
        <f t="shared" si="53"/>
        <v>1712.7425000000001</v>
      </c>
      <c r="ED7">
        <f t="shared" si="53"/>
        <v>11832.65</v>
      </c>
      <c r="EE7">
        <f t="shared" si="129"/>
        <v>2.5000000000000001E-3</v>
      </c>
      <c r="EF7">
        <f t="shared" si="130"/>
        <v>7.7499999999999999E-3</v>
      </c>
      <c r="EG7">
        <f t="shared" si="131"/>
        <v>3.6999999999999998E-2</v>
      </c>
      <c r="EH7">
        <f t="shared" si="132"/>
        <v>0.22625000000000001</v>
      </c>
      <c r="EI7">
        <f t="shared" si="133"/>
        <v>3.3000000000000002E-2</v>
      </c>
      <c r="EJ7">
        <f t="shared" si="53"/>
        <v>1133.0275000000001</v>
      </c>
      <c r="EK7">
        <f t="shared" si="53"/>
        <v>69.575000000000003</v>
      </c>
      <c r="EL7">
        <f t="shared" si="53"/>
        <v>100.175</v>
      </c>
      <c r="EM7">
        <f t="shared" si="53"/>
        <v>51.087499999999999</v>
      </c>
      <c r="EN7">
        <f t="shared" si="134"/>
        <v>6.0932511257150435E-2</v>
      </c>
      <c r="EO7">
        <f t="shared" si="135"/>
        <v>4.6699211618352991E-2</v>
      </c>
      <c r="EP7">
        <f t="shared" si="136"/>
        <v>4.7465302156429745E-2</v>
      </c>
      <c r="ER7" t="s">
        <v>38</v>
      </c>
      <c r="ES7">
        <f t="shared" si="54"/>
        <v>6.0249999999999998E-2</v>
      </c>
      <c r="ET7">
        <f t="shared" si="55"/>
        <v>3.0250000000000003E-2</v>
      </c>
      <c r="EU7">
        <f t="shared" si="56"/>
        <v>3.6200000000000003E-2</v>
      </c>
      <c r="EV7">
        <f t="shared" si="57"/>
        <v>3.3133749999999997</v>
      </c>
      <c r="EW7">
        <f t="shared" si="58"/>
        <v>2.8750000000000001E-2</v>
      </c>
      <c r="EX7">
        <f t="shared" si="59"/>
        <v>1834.87</v>
      </c>
      <c r="EY7">
        <f t="shared" si="60"/>
        <v>12709.594999999999</v>
      </c>
      <c r="EZ7">
        <f t="shared" si="61"/>
        <v>5.1500000000000004E-2</v>
      </c>
      <c r="FA7">
        <f t="shared" si="62"/>
        <v>4.0750000000000001E-2</v>
      </c>
      <c r="FB7">
        <f t="shared" si="63"/>
        <v>4.8000000000000008E-2</v>
      </c>
      <c r="FC7">
        <f t="shared" si="64"/>
        <v>0.18100000000000002</v>
      </c>
      <c r="FD7">
        <f t="shared" si="65"/>
        <v>3.15E-2</v>
      </c>
      <c r="FE7">
        <f t="shared" si="66"/>
        <v>1250.9650000000001</v>
      </c>
      <c r="FF7">
        <f t="shared" si="67"/>
        <v>94.474999999999994</v>
      </c>
      <c r="FG7">
        <f t="shared" si="68"/>
        <v>99.625</v>
      </c>
      <c r="FH7">
        <f t="shared" si="69"/>
        <v>93.03</v>
      </c>
      <c r="FI7">
        <f t="shared" si="70"/>
        <v>6.9715027561911599E-2</v>
      </c>
      <c r="FJ7">
        <f t="shared" si="71"/>
        <v>4.8459172103468749E-2</v>
      </c>
      <c r="FK7">
        <f t="shared" si="72"/>
        <v>5.1765503529431323E-2</v>
      </c>
      <c r="FM7" t="s">
        <v>39</v>
      </c>
      <c r="FN7">
        <f t="shared" si="137"/>
        <v>0.33491565805905293</v>
      </c>
      <c r="FO7">
        <f t="shared" si="73"/>
        <v>0.17759383588654581</v>
      </c>
      <c r="FP7">
        <f t="shared" si="73"/>
        <v>0.92016112059698352</v>
      </c>
      <c r="FQ7">
        <f t="shared" si="73"/>
        <v>0.51822954251068054</v>
      </c>
      <c r="FR7">
        <f t="shared" si="73"/>
        <v>-0.4832693302522939</v>
      </c>
      <c r="FS7">
        <f t="shared" si="73"/>
        <v>0.41652067180088564</v>
      </c>
      <c r="FT7">
        <f t="shared" si="73"/>
        <v>0.23711013623920713</v>
      </c>
      <c r="FU7">
        <f t="shared" si="73"/>
        <v>-0.344131764770503</v>
      </c>
      <c r="FV7">
        <f t="shared" si="73"/>
        <v>-0.38723037770116797</v>
      </c>
      <c r="FW7">
        <f t="shared" si="73"/>
        <v>5.5728105981784452E-2</v>
      </c>
      <c r="FX7">
        <f t="shared" si="73"/>
        <v>1.6284997571008324</v>
      </c>
      <c r="FY7">
        <f t="shared" si="73"/>
        <v>0.83031650982976668</v>
      </c>
      <c r="FZ7">
        <f t="shared" si="73"/>
        <v>-1.282742248457168</v>
      </c>
      <c r="GA7">
        <f t="shared" si="138"/>
        <v>-1.3821538468558516</v>
      </c>
      <c r="GB7">
        <f t="shared" si="73"/>
        <v>-3.1208622379981329E-2</v>
      </c>
      <c r="GC7">
        <f t="shared" si="73"/>
        <v>-0.91894255048767204</v>
      </c>
      <c r="GD7">
        <f t="shared" si="73"/>
        <v>0.12305624947838334</v>
      </c>
      <c r="GE7">
        <f t="shared" si="73"/>
        <v>-0.18666765200109428</v>
      </c>
      <c r="GF7">
        <f t="shared" si="73"/>
        <v>0.44528443228054226</v>
      </c>
      <c r="GH7" t="s">
        <v>38</v>
      </c>
      <c r="GI7">
        <f t="shared" si="139"/>
        <v>0.5270910689254924</v>
      </c>
      <c r="GJ7">
        <f t="shared" si="74"/>
        <v>0.81810791731869026</v>
      </c>
      <c r="GK7">
        <f t="shared" si="74"/>
        <v>0.77620107118722725</v>
      </c>
      <c r="GL7">
        <f t="shared" si="74"/>
        <v>-0.84070000930333488</v>
      </c>
      <c r="GM7">
        <f t="shared" si="74"/>
        <v>-1.0287477513625545</v>
      </c>
      <c r="GN7">
        <f t="shared" si="74"/>
        <v>1.4489278439996325</v>
      </c>
      <c r="GO7">
        <f t="shared" si="74"/>
        <v>1.283671676613076</v>
      </c>
      <c r="GP7">
        <f t="shared" si="74"/>
        <v>0.28879471741688406</v>
      </c>
      <c r="GQ7">
        <f t="shared" si="74"/>
        <v>-5.8881978028188738E-2</v>
      </c>
      <c r="GR7">
        <f t="shared" si="74"/>
        <v>0.10431707697245135</v>
      </c>
      <c r="GS7">
        <f t="shared" si="74"/>
        <v>0.61635655871731665</v>
      </c>
      <c r="GT7">
        <f t="shared" si="74"/>
        <v>0.5963200930586533</v>
      </c>
      <c r="GU7">
        <f t="shared" si="74"/>
        <v>-0.73048887106278648</v>
      </c>
      <c r="GV7">
        <f t="shared" si="140"/>
        <v>-0.10389489262212868</v>
      </c>
      <c r="GW7">
        <f t="shared" si="74"/>
        <v>-1.0907179337662797E-2</v>
      </c>
      <c r="GX7">
        <f t="shared" si="74"/>
        <v>0.67671182928006823</v>
      </c>
      <c r="GY7">
        <f t="shared" si="74"/>
        <v>0.35155991071832543</v>
      </c>
      <c r="GZ7">
        <f t="shared" si="74"/>
        <v>-0.10287130271768037</v>
      </c>
      <c r="HA7">
        <f t="shared" si="74"/>
        <v>0.46900518064033647</v>
      </c>
      <c r="HC7" t="s">
        <v>39</v>
      </c>
      <c r="HD7">
        <f t="shared" si="141"/>
        <v>0.5270910689254924</v>
      </c>
      <c r="HE7">
        <f t="shared" si="75"/>
        <v>0.81810791731869026</v>
      </c>
      <c r="HF7">
        <f t="shared" si="75"/>
        <v>0.77620107118722725</v>
      </c>
      <c r="HG7">
        <f t="shared" si="75"/>
        <v>-0.84070000930333488</v>
      </c>
      <c r="HH7">
        <f t="shared" si="75"/>
        <v>-1.0287477513625545</v>
      </c>
      <c r="HI7">
        <f t="shared" si="75"/>
        <v>1.4489278439996325</v>
      </c>
      <c r="HJ7">
        <f t="shared" si="75"/>
        <v>1.283671676613076</v>
      </c>
      <c r="HK7">
        <f t="shared" si="75"/>
        <v>0.28879471741688406</v>
      </c>
      <c r="HL7">
        <f t="shared" si="75"/>
        <v>-5.8881978028188738E-2</v>
      </c>
      <c r="HM7">
        <f t="shared" si="75"/>
        <v>0.10431707697245135</v>
      </c>
      <c r="HN7">
        <f t="shared" si="75"/>
        <v>0.61635655871731665</v>
      </c>
      <c r="HO7">
        <f t="shared" si="75"/>
        <v>0.5963200930586533</v>
      </c>
      <c r="HP7">
        <f t="shared" si="75"/>
        <v>-0.73048887106278648</v>
      </c>
      <c r="HQ7">
        <f t="shared" si="75"/>
        <v>-0.10389489262212868</v>
      </c>
      <c r="HR7">
        <f t="shared" si="75"/>
        <v>-1.0907179337662797E-2</v>
      </c>
      <c r="HS7">
        <f t="shared" si="75"/>
        <v>0.67671182928006823</v>
      </c>
      <c r="HT7">
        <f t="shared" si="75"/>
        <v>0.35155991071832543</v>
      </c>
      <c r="HU7">
        <f t="shared" si="75"/>
        <v>-0.10287130271768037</v>
      </c>
      <c r="HV7">
        <f t="shared" si="75"/>
        <v>0.46900518064033647</v>
      </c>
      <c r="HX7" t="s">
        <v>39</v>
      </c>
      <c r="HY7">
        <f t="shared" si="142"/>
        <v>6.0249999999999998E-2</v>
      </c>
      <c r="HZ7">
        <f t="shared" si="143"/>
        <v>3.0250000000000003E-2</v>
      </c>
      <c r="IA7">
        <f t="shared" si="144"/>
        <v>3.6200000000000003E-2</v>
      </c>
      <c r="IB7">
        <f t="shared" si="145"/>
        <v>3.3133749999999997</v>
      </c>
      <c r="IC7">
        <f t="shared" si="146"/>
        <v>2.8750000000000001E-2</v>
      </c>
      <c r="ID7">
        <f t="shared" si="147"/>
        <v>1834.87</v>
      </c>
      <c r="IE7">
        <f t="shared" si="148"/>
        <v>12709.594999999999</v>
      </c>
      <c r="IF7">
        <f t="shared" si="149"/>
        <v>5.1500000000000004E-2</v>
      </c>
      <c r="IG7">
        <f t="shared" si="150"/>
        <v>4.0750000000000001E-2</v>
      </c>
      <c r="IH7">
        <f t="shared" si="151"/>
        <v>4.8000000000000008E-2</v>
      </c>
      <c r="II7">
        <f t="shared" si="152"/>
        <v>0.18100000000000002</v>
      </c>
      <c r="IJ7">
        <f t="shared" si="153"/>
        <v>3.15E-2</v>
      </c>
      <c r="IK7">
        <f t="shared" si="154"/>
        <v>1250.9650000000001</v>
      </c>
      <c r="IL7">
        <f t="shared" si="155"/>
        <v>94.474999999999994</v>
      </c>
      <c r="IM7">
        <f t="shared" si="156"/>
        <v>99.625</v>
      </c>
      <c r="IN7">
        <f t="shared" si="157"/>
        <v>93.03</v>
      </c>
      <c r="IO7">
        <f t="shared" si="158"/>
        <v>6.9715027561911599E-2</v>
      </c>
      <c r="IP7">
        <f t="shared" si="159"/>
        <v>4.8459172103468749E-2</v>
      </c>
      <c r="IQ7">
        <f t="shared" si="160"/>
        <v>5.1765503529431323E-2</v>
      </c>
      <c r="IS7" t="s">
        <v>39</v>
      </c>
      <c r="IT7">
        <f t="shared" si="161"/>
        <v>0.48543617039443449</v>
      </c>
      <c r="IU7">
        <f t="shared" si="162"/>
        <v>0.83714078475164677</v>
      </c>
      <c r="IV7">
        <f t="shared" si="163"/>
        <v>0.74933638468766306</v>
      </c>
      <c r="IW7">
        <f t="shared" si="164"/>
        <v>-0.75544953391732061</v>
      </c>
      <c r="IX7">
        <f t="shared" si="165"/>
        <v>-1.0565782357082403</v>
      </c>
      <c r="IY7">
        <f t="shared" si="166"/>
        <v>1.3540273490404089</v>
      </c>
      <c r="IZ7">
        <f t="shared" si="167"/>
        <v>1.2139630125924117</v>
      </c>
      <c r="JA7">
        <f t="shared" si="168"/>
        <v>0.57516243984834625</v>
      </c>
      <c r="JB7">
        <f t="shared" si="169"/>
        <v>0.12707668833778391</v>
      </c>
      <c r="JC7">
        <f t="shared" si="170"/>
        <v>5.5396995167562746E-2</v>
      </c>
      <c r="JD7">
        <f t="shared" si="171"/>
        <v>0.52579500514751265</v>
      </c>
      <c r="JE7">
        <f t="shared" si="172"/>
        <v>0.5244001507169066</v>
      </c>
      <c r="JF7">
        <f t="shared" si="173"/>
        <v>-0.6450920282414434</v>
      </c>
      <c r="JG7">
        <f t="shared" si="174"/>
        <v>-0.10389489262212868</v>
      </c>
      <c r="JH7">
        <f t="shared" si="78"/>
        <v>0.24274975024594397</v>
      </c>
      <c r="JI7">
        <f t="shared" si="79"/>
        <v>0.63780239506998537</v>
      </c>
      <c r="JJ7">
        <f t="shared" si="80"/>
        <v>0.26455601341809842</v>
      </c>
      <c r="JK7">
        <f t="shared" si="81"/>
        <v>-8.397698532571557E-2</v>
      </c>
      <c r="JL7">
        <f t="shared" si="82"/>
        <v>0.62930914836133223</v>
      </c>
      <c r="JN7" t="s">
        <v>39</v>
      </c>
      <c r="JO7">
        <f t="shared" si="83"/>
        <v>-5.1813471502590363E-3</v>
      </c>
      <c r="JP7">
        <f t="shared" si="84"/>
        <v>0.22765622765622773</v>
      </c>
      <c r="JQ7">
        <f t="shared" si="85"/>
        <v>0.13333333333333347</v>
      </c>
      <c r="JR7">
        <f t="shared" si="86"/>
        <v>-3.9029098651525908E-2</v>
      </c>
      <c r="JS7">
        <f t="shared" si="87"/>
        <v>-2.2594370427339742E-2</v>
      </c>
      <c r="JT7">
        <f t="shared" si="88"/>
        <v>0.38775510204081631</v>
      </c>
      <c r="JU7">
        <f t="shared" si="89"/>
        <v>0</v>
      </c>
      <c r="JV7">
        <f t="shared" si="90"/>
        <v>-0.10408065047240304</v>
      </c>
      <c r="JW7">
        <f t="shared" si="91"/>
        <v>-0.23132530120481931</v>
      </c>
      <c r="JX7">
        <f t="shared" si="92"/>
        <v>-1.1881188118811909E-2</v>
      </c>
      <c r="JY7">
        <f t="shared" si="93"/>
        <v>-0.34972963544392111</v>
      </c>
      <c r="KA7" t="s">
        <v>39</v>
      </c>
      <c r="KB7">
        <f t="shared" si="175"/>
        <v>9.4963922031045395E-2</v>
      </c>
      <c r="KC7">
        <f t="shared" si="94"/>
        <v>2.4094142840428763</v>
      </c>
      <c r="KD7">
        <f t="shared" si="94"/>
        <v>0.61498752368173937</v>
      </c>
      <c r="KE7">
        <f t="shared" si="94"/>
        <v>-0.65291053998780335</v>
      </c>
      <c r="KF7">
        <f t="shared" si="94"/>
        <v>-0.42993625335730928</v>
      </c>
      <c r="KG7">
        <f t="shared" si="94"/>
        <v>1.1030054305257799</v>
      </c>
      <c r="KH7">
        <f t="shared" si="94"/>
        <v>0.20317917395076276</v>
      </c>
      <c r="KI7">
        <f t="shared" si="94"/>
        <v>-0.93471678527246693</v>
      </c>
      <c r="KJ7">
        <f t="shared" si="176"/>
        <v>-1.1782664797555666</v>
      </c>
      <c r="KK7">
        <f t="shared" si="94"/>
        <v>-1.0710951758150526</v>
      </c>
      <c r="KL7">
        <f t="shared" si="94"/>
        <v>-1.1743686695543702</v>
      </c>
    </row>
    <row r="8" spans="1:298" x14ac:dyDescent="0.35">
      <c r="A8" t="s">
        <v>39</v>
      </c>
      <c r="B8">
        <f>'Sorting Y'!B7/100</f>
        <v>4.7E-2</v>
      </c>
      <c r="C8">
        <f>'Sorting Y'!C7/100</f>
        <v>2.7000000000000003E-2</v>
      </c>
      <c r="D8">
        <f>'Sorting Y'!D7/100</f>
        <v>3.8399999999999997E-2</v>
      </c>
      <c r="E8">
        <f>'Sorting Y'!E7</f>
        <v>4.2925000000000004</v>
      </c>
      <c r="F8">
        <f>'Sorting Y'!F7/100</f>
        <v>3.4000000000000002E-2</v>
      </c>
      <c r="G8">
        <f>'Sorting Y'!G7</f>
        <v>1692.51</v>
      </c>
      <c r="H8">
        <f>'Sorting Y'!H7</f>
        <v>11793.65</v>
      </c>
      <c r="I8">
        <f>'Sorting Y'!I7/100</f>
        <v>3.7999999999999999E-2</v>
      </c>
      <c r="J8">
        <f>'Sorting Y'!J7/100</f>
        <v>3.7000000000000005E-2</v>
      </c>
      <c r="K8">
        <f>'Sorting Y'!K7/100</f>
        <v>2.6000000000000002E-2</v>
      </c>
      <c r="L8">
        <f>'Sorting Y'!L7/100</f>
        <v>0.20399999999999999</v>
      </c>
      <c r="M8">
        <f>'Sorting Y'!M7/100</f>
        <v>3.3000000000000002E-2</v>
      </c>
      <c r="N8">
        <f>'Sorting Y'!N7</f>
        <v>1061.0999999999999</v>
      </c>
      <c r="O8">
        <f>'Sorting Y'!O7</f>
        <v>63.8</v>
      </c>
      <c r="P8">
        <f>'Sorting Y'!P7</f>
        <v>99.8</v>
      </c>
      <c r="Q8">
        <f>'Sorting Y'!Q7</f>
        <v>37.28</v>
      </c>
      <c r="R8">
        <f>'Sorting Y'!R7/100</f>
        <v>4.8931067156224195E-2</v>
      </c>
      <c r="S8">
        <f>'Sorting Y'!S7/100</f>
        <v>3.4973351539444142E-2</v>
      </c>
      <c r="T8">
        <f>'Sorting Y'!T7/100</f>
        <v>3.1428169767552916E-2</v>
      </c>
      <c r="V8" t="s">
        <v>40</v>
      </c>
      <c r="W8">
        <f t="shared" si="95"/>
        <v>4.7E-2</v>
      </c>
      <c r="X8">
        <f t="shared" si="20"/>
        <v>2.7000000000000003E-2</v>
      </c>
      <c r="Y8">
        <f t="shared" si="20"/>
        <v>3.8399999999999997E-2</v>
      </c>
      <c r="Z8">
        <f t="shared" si="20"/>
        <v>4.2925000000000004</v>
      </c>
      <c r="AA8">
        <f t="shared" si="20"/>
        <v>3.4000000000000002E-2</v>
      </c>
      <c r="AB8">
        <f t="shared" si="20"/>
        <v>1692.51</v>
      </c>
      <c r="AC8">
        <f t="shared" si="20"/>
        <v>11793.65</v>
      </c>
      <c r="AD8">
        <f t="shared" si="20"/>
        <v>3.7999999999999999E-2</v>
      </c>
      <c r="AE8">
        <f t="shared" si="20"/>
        <v>3.7000000000000005E-2</v>
      </c>
      <c r="AF8">
        <f t="shared" si="20"/>
        <v>2.6000000000000002E-2</v>
      </c>
      <c r="AG8">
        <f t="shared" si="20"/>
        <v>0.20399999999999999</v>
      </c>
      <c r="AH8">
        <f t="shared" si="20"/>
        <v>3.3000000000000002E-2</v>
      </c>
      <c r="AI8">
        <f t="shared" si="20"/>
        <v>1061.0999999999999</v>
      </c>
      <c r="AJ8">
        <f t="shared" si="20"/>
        <v>63.8</v>
      </c>
      <c r="AK8">
        <f t="shared" si="20"/>
        <v>99.8</v>
      </c>
      <c r="AL8">
        <f t="shared" si="20"/>
        <v>37.28</v>
      </c>
      <c r="AM8">
        <f t="shared" si="20"/>
        <v>4.8931067156224195E-2</v>
      </c>
      <c r="AN8">
        <f t="shared" si="20"/>
        <v>3.4973351539444142E-2</v>
      </c>
      <c r="AO8">
        <f t="shared" si="20"/>
        <v>3.1428169767552916E-2</v>
      </c>
      <c r="AQ8" t="s">
        <v>40</v>
      </c>
      <c r="AR8">
        <f t="shared" si="177"/>
        <v>0.20908049389193972</v>
      </c>
      <c r="AS8">
        <f t="shared" si="21"/>
        <v>-0.13625362886366205</v>
      </c>
      <c r="AT8">
        <f t="shared" si="21"/>
        <v>0.30827124497488156</v>
      </c>
      <c r="AU8">
        <f t="shared" si="21"/>
        <v>1.3060661112638587</v>
      </c>
      <c r="AV8">
        <f t="shared" si="21"/>
        <v>3.2362629018935128E-2</v>
      </c>
      <c r="AW8">
        <f t="shared" si="21"/>
        <v>-0.35293573401207173</v>
      </c>
      <c r="AX8">
        <f t="shared" si="21"/>
        <v>-0.36770475624536347</v>
      </c>
      <c r="AY8">
        <f t="shared" si="21"/>
        <v>-7.3833635890994814E-2</v>
      </c>
      <c r="AZ8">
        <f t="shared" si="21"/>
        <v>-0.22032733721382966</v>
      </c>
      <c r="BA8">
        <f t="shared" si="21"/>
        <v>-4.7439316704797126E-2</v>
      </c>
      <c r="BB8">
        <f t="shared" si="21"/>
        <v>1.4746282131850963</v>
      </c>
      <c r="BC8">
        <f t="shared" si="21"/>
        <v>0.25125945381480397</v>
      </c>
      <c r="BD8">
        <f t="shared" si="21"/>
        <v>-0.95967307825880233</v>
      </c>
      <c r="BE8">
        <f t="shared" si="96"/>
        <v>-1.0275235363523285</v>
      </c>
      <c r="BF8">
        <f t="shared" si="21"/>
        <v>-0.27891313961942465</v>
      </c>
      <c r="BG8">
        <f t="shared" si="21"/>
        <v>-0.60075047338036358</v>
      </c>
      <c r="BH8">
        <f t="shared" si="21"/>
        <v>6.3000915911985769E-2</v>
      </c>
      <c r="BI8">
        <f t="shared" si="21"/>
        <v>-1.3357828070778905</v>
      </c>
      <c r="BJ8">
        <f t="shared" si="21"/>
        <v>0.73756898259749926</v>
      </c>
      <c r="BL8" t="s">
        <v>39</v>
      </c>
      <c r="BM8">
        <f t="shared" si="97"/>
        <v>0.15430652515680712</v>
      </c>
      <c r="BN8">
        <f t="shared" si="98"/>
        <v>0.52312044861793283</v>
      </c>
      <c r="BO8">
        <f t="shared" si="99"/>
        <v>1.0501042555147631</v>
      </c>
      <c r="BP8">
        <f t="shared" si="100"/>
        <v>0.99208538782624822</v>
      </c>
      <c r="BQ8">
        <f t="shared" si="101"/>
        <v>-9.142572184009147E-2</v>
      </c>
      <c r="BR8">
        <f t="shared" si="102"/>
        <v>0.26326315758957058</v>
      </c>
      <c r="BS8">
        <f t="shared" si="103"/>
        <v>0.23425294311584516</v>
      </c>
      <c r="BT8">
        <f t="shared" si="104"/>
        <v>0.2347354360969689</v>
      </c>
      <c r="BU8">
        <f t="shared" si="105"/>
        <v>6.5069395063885344E-2</v>
      </c>
      <c r="BV8">
        <f t="shared" si="106"/>
        <v>-9.8770724957333814E-2</v>
      </c>
      <c r="BW8">
        <f t="shared" si="107"/>
        <v>1.7593812630612606</v>
      </c>
      <c r="BX8">
        <f t="shared" si="108"/>
        <v>0.85298483070278563</v>
      </c>
      <c r="BY8">
        <f t="shared" si="109"/>
        <v>-1.3201030145343227</v>
      </c>
      <c r="BZ8">
        <f t="shared" si="110"/>
        <v>-1.4215788138150085</v>
      </c>
      <c r="CA8">
        <f t="shared" si="23"/>
        <v>-0.10900152768228479</v>
      </c>
      <c r="CB8">
        <f t="shared" si="24"/>
        <v>-1.4447347884817578</v>
      </c>
      <c r="CC8">
        <f t="shared" si="25"/>
        <v>-0.30832040353821311</v>
      </c>
      <c r="CD8">
        <f t="shared" si="26"/>
        <v>-0.12479657568772921</v>
      </c>
      <c r="CE8">
        <f t="shared" si="27"/>
        <v>-0.33363292625265639</v>
      </c>
      <c r="CG8" t="s">
        <v>40</v>
      </c>
      <c r="CH8">
        <f t="shared" si="111"/>
        <v>0.12341409706311141</v>
      </c>
      <c r="CI8">
        <f t="shared" si="112"/>
        <v>0.59619932806187503</v>
      </c>
      <c r="CJ8">
        <f t="shared" si="113"/>
        <v>1.0351214960939847</v>
      </c>
      <c r="CK8">
        <f t="shared" si="114"/>
        <v>1.0401652645626986</v>
      </c>
      <c r="CL8">
        <f t="shared" si="115"/>
        <v>5.4525630647090907E-2</v>
      </c>
      <c r="CM8">
        <f t="shared" si="116"/>
        <v>0.18009085213697593</v>
      </c>
      <c r="CN8">
        <f t="shared" si="117"/>
        <v>0.19085264946922986</v>
      </c>
      <c r="CO8">
        <f t="shared" si="118"/>
        <v>0.59109040627584752</v>
      </c>
      <c r="CP8">
        <f t="shared" si="119"/>
        <v>0.34347050074949487</v>
      </c>
      <c r="CQ8">
        <f t="shared" si="120"/>
        <v>-0.17835708987819118</v>
      </c>
      <c r="CR8">
        <f t="shared" si="121"/>
        <v>1.6682099747192956</v>
      </c>
      <c r="CS8">
        <f t="shared" si="122"/>
        <v>0.8312094145936324</v>
      </c>
      <c r="CT8">
        <f t="shared" si="123"/>
        <v>-1.2769384016595746</v>
      </c>
      <c r="CU8">
        <f t="shared" si="124"/>
        <v>-1.4215788138150085</v>
      </c>
      <c r="CV8">
        <f t="shared" si="29"/>
        <v>9.7852408737091834E-2</v>
      </c>
      <c r="CW8">
        <f t="shared" si="30"/>
        <v>-1.3670087697164179</v>
      </c>
      <c r="CX8">
        <f t="shared" si="31"/>
        <v>-0.36256088293676192</v>
      </c>
      <c r="CY8">
        <f t="shared" si="32"/>
        <v>-0.15888426667362826</v>
      </c>
      <c r="CZ8">
        <f t="shared" si="33"/>
        <v>-0.2170479487068103</v>
      </c>
      <c r="DB8" t="s">
        <v>40</v>
      </c>
      <c r="DC8">
        <f t="shared" si="34"/>
        <v>0.15430652515680712</v>
      </c>
      <c r="DD8">
        <f t="shared" si="35"/>
        <v>0.52312044861793283</v>
      </c>
      <c r="DE8">
        <f t="shared" si="36"/>
        <v>1.0501042555147631</v>
      </c>
      <c r="DF8">
        <f t="shared" si="37"/>
        <v>0.99208538782624822</v>
      </c>
      <c r="DG8">
        <f t="shared" si="38"/>
        <v>-9.142572184009147E-2</v>
      </c>
      <c r="DH8">
        <f t="shared" si="39"/>
        <v>0.26326315758957058</v>
      </c>
      <c r="DI8">
        <f t="shared" si="40"/>
        <v>0.23425294311584516</v>
      </c>
      <c r="DJ8">
        <f t="shared" si="41"/>
        <v>0.2347354360969689</v>
      </c>
      <c r="DK8">
        <f t="shared" si="42"/>
        <v>6.5069395063885344E-2</v>
      </c>
      <c r="DL8">
        <f t="shared" si="43"/>
        <v>-9.8770724957333814E-2</v>
      </c>
      <c r="DM8">
        <f t="shared" si="44"/>
        <v>1.7593812630612606</v>
      </c>
      <c r="DN8">
        <f t="shared" si="45"/>
        <v>0.85298483070278563</v>
      </c>
      <c r="DO8">
        <f t="shared" si="46"/>
        <v>-1.3201030145343227</v>
      </c>
      <c r="DP8">
        <f t="shared" si="47"/>
        <v>-1.4215788138150085</v>
      </c>
      <c r="DQ8">
        <f t="shared" si="48"/>
        <v>-0.10900152768228479</v>
      </c>
      <c r="DR8">
        <f t="shared" si="49"/>
        <v>-1.4447347884817578</v>
      </c>
      <c r="DS8">
        <f t="shared" si="50"/>
        <v>-0.30832040353821311</v>
      </c>
      <c r="DT8">
        <f t="shared" si="51"/>
        <v>-0.12479657568772921</v>
      </c>
      <c r="DU8">
        <f t="shared" si="52"/>
        <v>-0.33363292625265639</v>
      </c>
      <c r="DW8" t="s">
        <v>40</v>
      </c>
      <c r="DX8">
        <f t="shared" si="125"/>
        <v>4.4500000000000005E-2</v>
      </c>
      <c r="DY8">
        <f t="shared" si="126"/>
        <v>1.8500000000000003E-2</v>
      </c>
      <c r="DZ8">
        <f t="shared" si="127"/>
        <v>3.5424999999999998E-2</v>
      </c>
      <c r="EA8">
        <f t="shared" si="53"/>
        <v>4.1382250000000003</v>
      </c>
      <c r="EB8">
        <f t="shared" si="128"/>
        <v>3.4750000000000003E-2</v>
      </c>
      <c r="EC8">
        <f t="shared" si="53"/>
        <v>1666.4850000000001</v>
      </c>
      <c r="ED8">
        <f t="shared" si="53"/>
        <v>11651.2775</v>
      </c>
      <c r="EE8">
        <f t="shared" si="129"/>
        <v>1.325E-2</v>
      </c>
      <c r="EF8">
        <f t="shared" si="130"/>
        <v>1.4749999999999999E-2</v>
      </c>
      <c r="EG8">
        <f t="shared" si="131"/>
        <v>2.5499999999999998E-2</v>
      </c>
      <c r="EH8">
        <f t="shared" si="132"/>
        <v>0.22524999999999998</v>
      </c>
      <c r="EI8">
        <f t="shared" si="133"/>
        <v>3.15E-2</v>
      </c>
      <c r="EJ8">
        <f t="shared" si="53"/>
        <v>1254.5050000000001</v>
      </c>
      <c r="EK8">
        <f t="shared" si="53"/>
        <v>73.7</v>
      </c>
      <c r="EL8">
        <f t="shared" si="53"/>
        <v>99.325000000000003</v>
      </c>
      <c r="EM8">
        <f t="shared" si="53"/>
        <v>48.79</v>
      </c>
      <c r="EN8">
        <f t="shared" si="134"/>
        <v>5.8447998670501038E-2</v>
      </c>
      <c r="EO8">
        <f t="shared" si="135"/>
        <v>1.6344133576978667E-2</v>
      </c>
      <c r="EP8">
        <f t="shared" si="136"/>
        <v>4.1025698596437739E-2</v>
      </c>
      <c r="ER8" t="s">
        <v>39</v>
      </c>
      <c r="ES8">
        <f t="shared" si="54"/>
        <v>5.0999999999999997E-2</v>
      </c>
      <c r="ET8">
        <f t="shared" si="55"/>
        <v>2.1749999999999999E-2</v>
      </c>
      <c r="EU8">
        <f t="shared" si="56"/>
        <v>3.7499999999999999E-2</v>
      </c>
      <c r="EV8">
        <f t="shared" si="57"/>
        <v>4.0411250000000001</v>
      </c>
      <c r="EW8">
        <f t="shared" si="58"/>
        <v>3.175E-2</v>
      </c>
      <c r="EX8">
        <f t="shared" si="59"/>
        <v>1712.7425000000001</v>
      </c>
      <c r="EY8">
        <f t="shared" si="60"/>
        <v>11832.65</v>
      </c>
      <c r="EZ8">
        <f t="shared" si="61"/>
        <v>2.5000000000000001E-3</v>
      </c>
      <c r="FA8">
        <f t="shared" si="62"/>
        <v>7.7499999999999999E-3</v>
      </c>
      <c r="FB8">
        <f t="shared" si="63"/>
        <v>3.6999999999999998E-2</v>
      </c>
      <c r="FC8">
        <f t="shared" si="64"/>
        <v>0.22625000000000001</v>
      </c>
      <c r="FD8">
        <f t="shared" si="65"/>
        <v>3.3000000000000002E-2</v>
      </c>
      <c r="FE8">
        <f t="shared" si="66"/>
        <v>1133.0275000000001</v>
      </c>
      <c r="FF8">
        <f t="shared" si="67"/>
        <v>69.575000000000003</v>
      </c>
      <c r="FG8">
        <f t="shared" si="68"/>
        <v>100.175</v>
      </c>
      <c r="FH8">
        <f t="shared" si="69"/>
        <v>51.087499999999999</v>
      </c>
      <c r="FI8">
        <f t="shared" si="70"/>
        <v>6.0932511257150435E-2</v>
      </c>
      <c r="FJ8">
        <f t="shared" si="71"/>
        <v>4.6699211618352991E-2</v>
      </c>
      <c r="FK8">
        <f t="shared" si="72"/>
        <v>4.7465302156429745E-2</v>
      </c>
      <c r="FM8" t="s">
        <v>40</v>
      </c>
      <c r="FN8">
        <f t="shared" si="137"/>
        <v>0.13452679152162814</v>
      </c>
      <c r="FO8">
        <f t="shared" si="73"/>
        <v>-4.9155436718597241E-2</v>
      </c>
      <c r="FP8">
        <f t="shared" si="73"/>
        <v>0.56403263263384351</v>
      </c>
      <c r="FQ8">
        <f t="shared" si="73"/>
        <v>0.71583091847657399</v>
      </c>
      <c r="FR8">
        <f t="shared" si="73"/>
        <v>3.9612240184615802E-2</v>
      </c>
      <c r="FS8">
        <f t="shared" si="73"/>
        <v>9.2878057331544153E-3</v>
      </c>
      <c r="FT8">
        <f t="shared" si="73"/>
        <v>3.7957057870113332E-3</v>
      </c>
      <c r="FU8">
        <f t="shared" si="73"/>
        <v>-0.17632318256797941</v>
      </c>
      <c r="FV8">
        <f t="shared" si="73"/>
        <v>-0.28396894364752318</v>
      </c>
      <c r="FW8">
        <f t="shared" si="73"/>
        <v>-8.8141392114046854E-2</v>
      </c>
      <c r="FX8">
        <f t="shared" si="73"/>
        <v>1.6040778111865726</v>
      </c>
      <c r="FY8">
        <f t="shared" si="73"/>
        <v>0.52921272055084001</v>
      </c>
      <c r="FZ8">
        <f t="shared" si="73"/>
        <v>-0.75209377409454048</v>
      </c>
      <c r="GA8">
        <f t="shared" si="138"/>
        <v>-1.1494739491578889</v>
      </c>
      <c r="GB8">
        <f t="shared" si="73"/>
        <v>-0.22255329074248603</v>
      </c>
      <c r="GC8">
        <f t="shared" si="73"/>
        <v>-1.0062499089042272</v>
      </c>
      <c r="GD8">
        <f t="shared" si="73"/>
        <v>5.4631018250711039E-2</v>
      </c>
      <c r="GE8">
        <f t="shared" si="73"/>
        <v>-1.1639904412455839</v>
      </c>
      <c r="GF8">
        <f t="shared" si="73"/>
        <v>0.22525108017833231</v>
      </c>
      <c r="GH8" t="s">
        <v>39</v>
      </c>
      <c r="GI8">
        <f t="shared" si="139"/>
        <v>0.24307597838796968</v>
      </c>
      <c r="GJ8">
        <f t="shared" si="74"/>
        <v>0.19652871756817686</v>
      </c>
      <c r="GK8">
        <f t="shared" si="74"/>
        <v>1.0046678015744104</v>
      </c>
      <c r="GL8">
        <f t="shared" si="74"/>
        <v>0.61069976360062206</v>
      </c>
      <c r="GM8">
        <f t="shared" si="74"/>
        <v>-0.48210687978983191</v>
      </c>
      <c r="GN8">
        <f t="shared" si="74"/>
        <v>0.52346075230190003</v>
      </c>
      <c r="GO8">
        <f t="shared" si="74"/>
        <v>0.37594715587132471</v>
      </c>
      <c r="GP8">
        <f t="shared" si="74"/>
        <v>-0.44631910873518443</v>
      </c>
      <c r="GQ8">
        <f t="shared" si="74"/>
        <v>-0.49676485688570599</v>
      </c>
      <c r="GR8">
        <f t="shared" si="74"/>
        <v>-3.3038076746886053E-2</v>
      </c>
      <c r="GS8">
        <f t="shared" si="74"/>
        <v>1.6959746599544219</v>
      </c>
      <c r="GT8">
        <f t="shared" si="74"/>
        <v>0.90744361987186384</v>
      </c>
      <c r="GU8">
        <f t="shared" si="74"/>
        <v>-1.2597723993171259</v>
      </c>
      <c r="GV8">
        <f t="shared" si="140"/>
        <v>-1.4939155157038488</v>
      </c>
      <c r="GW8">
        <f t="shared" si="74"/>
        <v>0.10427263446806621</v>
      </c>
      <c r="GX8">
        <f t="shared" si="74"/>
        <v>-0.98714587052794978</v>
      </c>
      <c r="GY8">
        <f t="shared" si="74"/>
        <v>9.9180346510960929E-2</v>
      </c>
      <c r="GZ8">
        <f t="shared" si="74"/>
        <v>-0.1619210412315894</v>
      </c>
      <c r="HA8">
        <f t="shared" si="74"/>
        <v>0.32597828509088428</v>
      </c>
      <c r="HC8" t="s">
        <v>40</v>
      </c>
      <c r="HD8">
        <f t="shared" si="141"/>
        <v>0.24307597838796968</v>
      </c>
      <c r="HE8">
        <f t="shared" si="75"/>
        <v>0.19652871756817686</v>
      </c>
      <c r="HF8">
        <f t="shared" si="75"/>
        <v>1.0046678015744104</v>
      </c>
      <c r="HG8">
        <f t="shared" si="75"/>
        <v>0.61069976360062206</v>
      </c>
      <c r="HH8">
        <f t="shared" si="75"/>
        <v>-0.48210687978983191</v>
      </c>
      <c r="HI8">
        <f t="shared" si="75"/>
        <v>0.52346075230190003</v>
      </c>
      <c r="HJ8">
        <f t="shared" si="75"/>
        <v>0.37594715587132471</v>
      </c>
      <c r="HK8">
        <f t="shared" si="75"/>
        <v>-0.44631910873518443</v>
      </c>
      <c r="HL8">
        <f t="shared" si="75"/>
        <v>-0.49676485688570599</v>
      </c>
      <c r="HM8">
        <f t="shared" si="75"/>
        <v>-3.3038076746886053E-2</v>
      </c>
      <c r="HN8">
        <f t="shared" si="75"/>
        <v>1.6959746599544219</v>
      </c>
      <c r="HO8">
        <f t="shared" si="75"/>
        <v>0.90744361987186384</v>
      </c>
      <c r="HP8">
        <f t="shared" si="75"/>
        <v>-1.2597723993171259</v>
      </c>
      <c r="HQ8">
        <f t="shared" si="75"/>
        <v>-1.4939155157038488</v>
      </c>
      <c r="HR8">
        <f t="shared" si="75"/>
        <v>0.10427263446806621</v>
      </c>
      <c r="HS8">
        <f t="shared" si="75"/>
        <v>-0.98714587052794978</v>
      </c>
      <c r="HT8">
        <f t="shared" si="75"/>
        <v>9.9180346510960929E-2</v>
      </c>
      <c r="HU8">
        <f t="shared" si="75"/>
        <v>-0.1619210412315894</v>
      </c>
      <c r="HV8">
        <f t="shared" si="75"/>
        <v>0.32597828509088428</v>
      </c>
      <c r="HX8" t="s">
        <v>40</v>
      </c>
      <c r="HY8">
        <f t="shared" si="142"/>
        <v>5.0999999999999997E-2</v>
      </c>
      <c r="HZ8">
        <f t="shared" si="143"/>
        <v>2.1749999999999999E-2</v>
      </c>
      <c r="IA8">
        <f t="shared" si="144"/>
        <v>3.7499999999999999E-2</v>
      </c>
      <c r="IB8">
        <f t="shared" si="145"/>
        <v>4.0411250000000001</v>
      </c>
      <c r="IC8">
        <f t="shared" si="146"/>
        <v>3.175E-2</v>
      </c>
      <c r="ID8">
        <f t="shared" si="147"/>
        <v>1712.7425000000001</v>
      </c>
      <c r="IE8">
        <f t="shared" si="148"/>
        <v>11832.65</v>
      </c>
      <c r="IF8">
        <f t="shared" si="149"/>
        <v>2.5000000000000001E-3</v>
      </c>
      <c r="IG8">
        <f t="shared" si="150"/>
        <v>7.7499999999999999E-3</v>
      </c>
      <c r="IH8">
        <f t="shared" si="151"/>
        <v>3.6999999999999998E-2</v>
      </c>
      <c r="II8">
        <f t="shared" si="152"/>
        <v>0.22625000000000001</v>
      </c>
      <c r="IJ8">
        <f t="shared" si="153"/>
        <v>3.3000000000000002E-2</v>
      </c>
      <c r="IK8">
        <f t="shared" si="154"/>
        <v>1133.0275000000001</v>
      </c>
      <c r="IL8">
        <f t="shared" si="155"/>
        <v>69.575000000000003</v>
      </c>
      <c r="IM8">
        <f t="shared" si="156"/>
        <v>100.175</v>
      </c>
      <c r="IN8">
        <f t="shared" si="157"/>
        <v>51.087499999999999</v>
      </c>
      <c r="IO8">
        <f t="shared" si="158"/>
        <v>6.0932511257150435E-2</v>
      </c>
      <c r="IP8">
        <f t="shared" si="159"/>
        <v>4.6699211618352991E-2</v>
      </c>
      <c r="IQ8">
        <f t="shared" si="160"/>
        <v>4.7465302156429745E-2</v>
      </c>
      <c r="IS8" t="s">
        <v>40</v>
      </c>
      <c r="IT8">
        <f t="shared" si="161"/>
        <v>0.21404534436347997</v>
      </c>
      <c r="IU8">
        <f t="shared" si="162"/>
        <v>0.23619903139825715</v>
      </c>
      <c r="IV8">
        <f t="shared" si="163"/>
        <v>1.0433147194210934</v>
      </c>
      <c r="IW8">
        <f t="shared" si="164"/>
        <v>0.6809322657018555</v>
      </c>
      <c r="IX8">
        <f t="shared" si="165"/>
        <v>-0.3695421415531287</v>
      </c>
      <c r="IY8">
        <f t="shared" si="166"/>
        <v>0.45015547807207462</v>
      </c>
      <c r="IZ8">
        <f t="shared" si="167"/>
        <v>0.34779881379831906</v>
      </c>
      <c r="JA8">
        <f t="shared" si="168"/>
        <v>-0.32472886661974831</v>
      </c>
      <c r="JB8">
        <f t="shared" si="169"/>
        <v>-0.38546595462461092</v>
      </c>
      <c r="JC8">
        <f t="shared" si="170"/>
        <v>-7.7336399194320213E-2</v>
      </c>
      <c r="JD8">
        <f t="shared" si="171"/>
        <v>1.6185485074947956</v>
      </c>
      <c r="JE8">
        <f t="shared" si="172"/>
        <v>0.93642884056590425</v>
      </c>
      <c r="JF8">
        <f t="shared" si="173"/>
        <v>-1.2269800860126383</v>
      </c>
      <c r="JG8">
        <f t="shared" si="174"/>
        <v>-1.4939155157038488</v>
      </c>
      <c r="JH8">
        <f t="shared" si="78"/>
        <v>0.39299384119100284</v>
      </c>
      <c r="JI8">
        <f t="shared" si="79"/>
        <v>-0.94923908759026965</v>
      </c>
      <c r="JJ8">
        <f t="shared" si="80"/>
        <v>1.219099327978637E-2</v>
      </c>
      <c r="JK8">
        <f t="shared" si="81"/>
        <v>-0.14035398186220802</v>
      </c>
      <c r="JL8">
        <f t="shared" si="82"/>
        <v>0.47789487322123536</v>
      </c>
      <c r="JN8" t="s">
        <v>40</v>
      </c>
      <c r="JO8">
        <f t="shared" si="83"/>
        <v>-0.11197916666666663</v>
      </c>
      <c r="JP8">
        <f t="shared" si="84"/>
        <v>4.5125218404193299E-2</v>
      </c>
      <c r="JQ8">
        <f t="shared" si="85"/>
        <v>2.9411764705882377E-2</v>
      </c>
      <c r="JR8">
        <f t="shared" si="86"/>
        <v>-3.0002776940756613E-2</v>
      </c>
      <c r="JS8">
        <f t="shared" si="87"/>
        <v>-2.7736112229886319E-2</v>
      </c>
      <c r="JT8">
        <f t="shared" si="88"/>
        <v>-4.4117647058823435E-2</v>
      </c>
      <c r="JU8">
        <f t="shared" si="89"/>
        <v>-9.0909090909090981E-2</v>
      </c>
      <c r="JV8">
        <f t="shared" si="90"/>
        <v>8.1424936386768537E-2</v>
      </c>
      <c r="JW8">
        <f t="shared" si="91"/>
        <v>9.4043887147335428E-2</v>
      </c>
      <c r="JX8">
        <f t="shared" si="92"/>
        <v>-3.006012024048068E-3</v>
      </c>
      <c r="JY8">
        <f t="shared" si="93"/>
        <v>0.52414163090128751</v>
      </c>
      <c r="KA8" t="s">
        <v>40</v>
      </c>
      <c r="KB8">
        <f t="shared" si="175"/>
        <v>-0.59934709974218248</v>
      </c>
      <c r="KC8">
        <f t="shared" si="94"/>
        <v>0.17800076954124247</v>
      </c>
      <c r="KD8">
        <f t="shared" si="94"/>
        <v>-6.2892773701242813E-2</v>
      </c>
      <c r="KE8">
        <f t="shared" si="94"/>
        <v>-0.5186496672034806</v>
      </c>
      <c r="KF8">
        <f t="shared" si="94"/>
        <v>-0.49672809281978464</v>
      </c>
      <c r="KG8">
        <f t="shared" si="94"/>
        <v>-0.34626997017769678</v>
      </c>
      <c r="KH8">
        <f t="shared" si="94"/>
        <v>-0.4514148174387248</v>
      </c>
      <c r="KI8">
        <f t="shared" si="94"/>
        <v>0.32492842360924207</v>
      </c>
      <c r="KJ8">
        <f t="shared" si="176"/>
        <v>0.6445880007924959</v>
      </c>
      <c r="KK8">
        <f t="shared" si="94"/>
        <v>-0.72712397835094389</v>
      </c>
      <c r="KL8">
        <f t="shared" si="94"/>
        <v>1.5142658715746706</v>
      </c>
    </row>
    <row r="9" spans="1:298" x14ac:dyDescent="0.35">
      <c r="A9" t="s">
        <v>40</v>
      </c>
      <c r="B9">
        <f>'Sorting Y'!B8/100</f>
        <v>4.8000000000000001E-2</v>
      </c>
      <c r="C9">
        <f>'Sorting Y'!C8/100</f>
        <v>1.7000000000000001E-2</v>
      </c>
      <c r="D9">
        <f>'Sorting Y'!D8/100</f>
        <v>3.4099999999999998E-2</v>
      </c>
      <c r="E9">
        <f>'Sorting Y'!E8</f>
        <v>4.4862000000000002</v>
      </c>
      <c r="F9">
        <f>'Sorting Y'!F8/100</f>
        <v>3.5000000000000003E-2</v>
      </c>
      <c r="G9">
        <f>'Sorting Y'!G8</f>
        <v>1641.73</v>
      </c>
      <c r="H9">
        <f>'Sorting Y'!H8</f>
        <v>11466.54</v>
      </c>
      <c r="I9">
        <f>'Sorting Y'!I8/100</f>
        <v>2.4E-2</v>
      </c>
      <c r="J9">
        <f>'Sorting Y'!J8/100</f>
        <v>2.1000000000000001E-2</v>
      </c>
      <c r="K9">
        <f>'Sorting Y'!K8/100</f>
        <v>2.1000000000000001E-2</v>
      </c>
      <c r="L9">
        <f>'Sorting Y'!L8/100</f>
        <v>0.19500000000000001</v>
      </c>
      <c r="M9">
        <f>'Sorting Y'!M8/100</f>
        <v>0.03</v>
      </c>
      <c r="N9">
        <f>'Sorting Y'!N8</f>
        <v>1147.5</v>
      </c>
      <c r="O9">
        <f>'Sorting Y'!O8</f>
        <v>69.8</v>
      </c>
      <c r="P9">
        <f>'Sorting Y'!P8</f>
        <v>99.5</v>
      </c>
      <c r="Q9">
        <f>'Sorting Y'!Q8</f>
        <v>56.82</v>
      </c>
      <c r="R9">
        <f>'Sorting Y'!R8/100</f>
        <v>6.0155216987227256E-2</v>
      </c>
      <c r="S9">
        <f>'Sorting Y'!S8/100</f>
        <v>-4.0579836463746854E-2</v>
      </c>
      <c r="T9">
        <f>'Sorting Y'!T8/100</f>
        <v>5.4607497440730679E-2</v>
      </c>
      <c r="V9" t="s">
        <v>41</v>
      </c>
      <c r="W9">
        <f t="shared" si="95"/>
        <v>4.8000000000000001E-2</v>
      </c>
      <c r="X9">
        <f t="shared" si="20"/>
        <v>1.7000000000000001E-2</v>
      </c>
      <c r="Y9">
        <f t="shared" si="20"/>
        <v>3.4099999999999998E-2</v>
      </c>
      <c r="Z9">
        <f t="shared" si="20"/>
        <v>4.4862000000000002</v>
      </c>
      <c r="AA9">
        <f t="shared" si="20"/>
        <v>3.5000000000000003E-2</v>
      </c>
      <c r="AB9">
        <f t="shared" si="20"/>
        <v>1641.73</v>
      </c>
      <c r="AC9">
        <f t="shared" si="20"/>
        <v>11466.54</v>
      </c>
      <c r="AD9">
        <f t="shared" si="20"/>
        <v>2.4E-2</v>
      </c>
      <c r="AE9">
        <f t="shared" si="20"/>
        <v>2.1000000000000001E-2</v>
      </c>
      <c r="AF9">
        <f t="shared" si="20"/>
        <v>2.1000000000000001E-2</v>
      </c>
      <c r="AG9">
        <f t="shared" si="20"/>
        <v>0.19500000000000001</v>
      </c>
      <c r="AH9">
        <f t="shared" si="20"/>
        <v>0.03</v>
      </c>
      <c r="AI9">
        <f t="shared" si="20"/>
        <v>1147.5</v>
      </c>
      <c r="AJ9">
        <f t="shared" si="20"/>
        <v>69.8</v>
      </c>
      <c r="AK9">
        <f t="shared" si="20"/>
        <v>99.5</v>
      </c>
      <c r="AL9">
        <f t="shared" si="20"/>
        <v>56.82</v>
      </c>
      <c r="AM9">
        <f t="shared" si="20"/>
        <v>6.0155216987227256E-2</v>
      </c>
      <c r="AN9">
        <f t="shared" si="20"/>
        <v>-4.0579836463746854E-2</v>
      </c>
      <c r="AO9">
        <f t="shared" si="20"/>
        <v>5.4607497440730679E-2</v>
      </c>
      <c r="AQ9" t="s">
        <v>41</v>
      </c>
      <c r="AR9">
        <f t="shared" si="177"/>
        <v>0.58611089271347006</v>
      </c>
      <c r="AS9">
        <f t="shared" si="21"/>
        <v>1.0367123935278615</v>
      </c>
      <c r="AT9">
        <f t="shared" si="21"/>
        <v>0.35493615820502444</v>
      </c>
      <c r="AU9">
        <f t="shared" si="21"/>
        <v>0.41802928546082074</v>
      </c>
      <c r="AV9">
        <f t="shared" si="21"/>
        <v>-0.32362629018934386</v>
      </c>
      <c r="AW9">
        <f t="shared" si="21"/>
        <v>1.1751893705248899</v>
      </c>
      <c r="AX9">
        <f t="shared" si="21"/>
        <v>1.7347215078035967</v>
      </c>
      <c r="AY9">
        <f t="shared" si="21"/>
        <v>0.48843789897119688</v>
      </c>
      <c r="AZ9">
        <f t="shared" si="21"/>
        <v>0.54403904035107198</v>
      </c>
      <c r="BA9">
        <f t="shared" si="21"/>
        <v>0.29547917261845075</v>
      </c>
      <c r="BB9">
        <f t="shared" si="21"/>
        <v>-0.78166382728984474</v>
      </c>
      <c r="BC9">
        <f t="shared" si="21"/>
        <v>0.25125945381480397</v>
      </c>
      <c r="BD9">
        <f t="shared" si="21"/>
        <v>-0.42083498196612407</v>
      </c>
      <c r="BE9">
        <f t="shared" si="96"/>
        <v>-0.28398891708230178</v>
      </c>
      <c r="BF9">
        <f t="shared" si="21"/>
        <v>8.5417149008450211E-2</v>
      </c>
      <c r="BG9">
        <f t="shared" si="21"/>
        <v>-0.21451630744724767</v>
      </c>
      <c r="BH9">
        <f t="shared" si="21"/>
        <v>0.33254441861498674</v>
      </c>
      <c r="BI9">
        <f t="shared" si="21"/>
        <v>0.41511085354541205</v>
      </c>
      <c r="BJ9">
        <f t="shared" si="21"/>
        <v>-3.1893231767394573E-2</v>
      </c>
      <c r="BL9" t="s">
        <v>40</v>
      </c>
      <c r="BM9">
        <f t="shared" si="97"/>
        <v>0.19370393583514089</v>
      </c>
      <c r="BN9">
        <f t="shared" si="98"/>
        <v>-0.15921057131850122</v>
      </c>
      <c r="BO9">
        <f t="shared" si="99"/>
        <v>0.35273772289492084</v>
      </c>
      <c r="BP9">
        <f t="shared" si="100"/>
        <v>1.3645139668280457</v>
      </c>
      <c r="BQ9">
        <f t="shared" si="101"/>
        <v>9.142572184009147E-2</v>
      </c>
      <c r="BR9">
        <f t="shared" si="102"/>
        <v>-0.21109160662219995</v>
      </c>
      <c r="BS9">
        <f t="shared" si="103"/>
        <v>-0.18808277062530071</v>
      </c>
      <c r="BT9">
        <f t="shared" si="104"/>
        <v>-7.0966527192106763E-2</v>
      </c>
      <c r="BU9">
        <f t="shared" si="105"/>
        <v>-0.24726370124276431</v>
      </c>
      <c r="BV9">
        <f t="shared" si="106"/>
        <v>-0.16932124278400085</v>
      </c>
      <c r="BW9">
        <f t="shared" si="107"/>
        <v>1.5043300195570783</v>
      </c>
      <c r="BX9">
        <f t="shared" si="108"/>
        <v>0.27359890796126979</v>
      </c>
      <c r="BY9">
        <f t="shared" si="109"/>
        <v>-1.0056938558554718</v>
      </c>
      <c r="BZ9">
        <f t="shared" si="110"/>
        <v>-1.1016435969024034</v>
      </c>
      <c r="CA9">
        <f t="shared" si="23"/>
        <v>-0.16505945620460125</v>
      </c>
      <c r="CB9">
        <f t="shared" si="24"/>
        <v>-0.68237676074928266</v>
      </c>
      <c r="CC9">
        <f t="shared" si="25"/>
        <v>4.2962117535179804E-2</v>
      </c>
      <c r="CD9">
        <f t="shared" si="26"/>
        <v>-1.3810760510956865</v>
      </c>
      <c r="CE9">
        <f t="shared" si="27"/>
        <v>0.77808824334639881</v>
      </c>
      <c r="CG9" t="s">
        <v>41</v>
      </c>
      <c r="CH9">
        <f t="shared" si="111"/>
        <v>0.16112396005461768</v>
      </c>
      <c r="CI9">
        <f t="shared" si="112"/>
        <v>-7.9903002729942108E-2</v>
      </c>
      <c r="CJ9">
        <f t="shared" si="113"/>
        <v>0.2163715501868709</v>
      </c>
      <c r="CK9">
        <f t="shared" si="114"/>
        <v>1.4055684810901152</v>
      </c>
      <c r="CL9">
        <f t="shared" si="115"/>
        <v>0.25445294301975846</v>
      </c>
      <c r="CM9">
        <f t="shared" si="116"/>
        <v>-0.29172167160333368</v>
      </c>
      <c r="CN9">
        <f t="shared" si="117"/>
        <v>-0.21492857429325474</v>
      </c>
      <c r="CO9">
        <f t="shared" si="118"/>
        <v>0.17919935393883171</v>
      </c>
      <c r="CP9">
        <f t="shared" si="119"/>
        <v>-6.4980905547201706E-2</v>
      </c>
      <c r="CQ9">
        <f t="shared" si="120"/>
        <v>-0.24842594661605202</v>
      </c>
      <c r="CR9">
        <f t="shared" si="121"/>
        <v>1.4145190569048409</v>
      </c>
      <c r="CS9">
        <f t="shared" si="122"/>
        <v>0.10936965981494998</v>
      </c>
      <c r="CT9">
        <f t="shared" si="123"/>
        <v>-0.9384246525103872</v>
      </c>
      <c r="CU9">
        <f t="shared" si="124"/>
        <v>-1.1016435969024034</v>
      </c>
      <c r="CV9">
        <f t="shared" si="29"/>
        <v>2.7653941599611754E-2</v>
      </c>
      <c r="CW9">
        <f t="shared" si="30"/>
        <v>-0.63946738170362405</v>
      </c>
      <c r="CX9">
        <f t="shared" si="31"/>
        <v>-1.9401472721203211E-2</v>
      </c>
      <c r="CY9">
        <f t="shared" si="32"/>
        <v>-1.3684961940874965</v>
      </c>
      <c r="CZ9">
        <f t="shared" si="33"/>
        <v>0.97160731287157731</v>
      </c>
      <c r="DB9" t="s">
        <v>41</v>
      </c>
      <c r="DC9">
        <f t="shared" si="34"/>
        <v>0.19370393583514089</v>
      </c>
      <c r="DD9">
        <f t="shared" si="35"/>
        <v>-0.15921057131850122</v>
      </c>
      <c r="DE9">
        <f t="shared" si="36"/>
        <v>0.35273772289492084</v>
      </c>
      <c r="DF9">
        <f t="shared" si="37"/>
        <v>1.3645139668280457</v>
      </c>
      <c r="DG9">
        <f t="shared" si="38"/>
        <v>9.142572184009147E-2</v>
      </c>
      <c r="DH9">
        <f t="shared" si="39"/>
        <v>-0.21109160662219995</v>
      </c>
      <c r="DI9">
        <f t="shared" si="40"/>
        <v>-0.18808277062530071</v>
      </c>
      <c r="DJ9">
        <f t="shared" si="41"/>
        <v>-7.0966527192106763E-2</v>
      </c>
      <c r="DK9">
        <f t="shared" si="42"/>
        <v>-0.24726370124276431</v>
      </c>
      <c r="DL9">
        <f t="shared" si="43"/>
        <v>-0.16932124278400085</v>
      </c>
      <c r="DM9">
        <f t="shared" si="44"/>
        <v>1.5043300195570783</v>
      </c>
      <c r="DN9">
        <f t="shared" si="45"/>
        <v>0.27359890796126979</v>
      </c>
      <c r="DO9">
        <f t="shared" si="46"/>
        <v>-1.0056938558554718</v>
      </c>
      <c r="DP9">
        <f t="shared" si="47"/>
        <v>-1.1016435969024034</v>
      </c>
      <c r="DQ9">
        <f t="shared" si="48"/>
        <v>-0.16505945620460125</v>
      </c>
      <c r="DR9">
        <f t="shared" si="49"/>
        <v>-0.68237676074928266</v>
      </c>
      <c r="DS9">
        <f t="shared" si="50"/>
        <v>4.2962117535179804E-2</v>
      </c>
      <c r="DT9">
        <f t="shared" si="51"/>
        <v>-1.3810760510956865</v>
      </c>
      <c r="DU9">
        <f t="shared" si="52"/>
        <v>0.77808824334639881</v>
      </c>
      <c r="DW9" t="s">
        <v>41</v>
      </c>
      <c r="DX9">
        <f t="shared" si="125"/>
        <v>5.7999999999999996E-2</v>
      </c>
      <c r="DY9">
        <f t="shared" si="126"/>
        <v>0.04</v>
      </c>
      <c r="DZ9">
        <f t="shared" si="127"/>
        <v>3.4325000000000001E-2</v>
      </c>
      <c r="EA9">
        <f t="shared" si="53"/>
        <v>4.2464500000000012</v>
      </c>
      <c r="EB9">
        <f t="shared" si="128"/>
        <v>3.3750000000000002E-2</v>
      </c>
      <c r="EC9">
        <f t="shared" si="53"/>
        <v>1764.0374999999999</v>
      </c>
      <c r="ED9">
        <f t="shared" si="53"/>
        <v>12608.622499999999</v>
      </c>
      <c r="EE9">
        <f t="shared" si="129"/>
        <v>8.7250000000000008E-2</v>
      </c>
      <c r="EF9">
        <f t="shared" si="130"/>
        <v>0.10249999999999999</v>
      </c>
      <c r="EG9">
        <f t="shared" si="131"/>
        <v>6.0999999999999999E-2</v>
      </c>
      <c r="EH9">
        <f t="shared" si="132"/>
        <v>0.1275</v>
      </c>
      <c r="EI9">
        <f t="shared" si="133"/>
        <v>0.03</v>
      </c>
      <c r="EJ9">
        <f t="shared" si="53"/>
        <v>1268.3399999999999</v>
      </c>
      <c r="EK9">
        <f t="shared" si="53"/>
        <v>79.25</v>
      </c>
      <c r="EL9">
        <f t="shared" si="53"/>
        <v>101.15</v>
      </c>
      <c r="EM9">
        <f t="shared" si="53"/>
        <v>56.29</v>
      </c>
      <c r="EN9">
        <f t="shared" si="134"/>
        <v>6.9039576313246476E-2</v>
      </c>
      <c r="EO9">
        <f t="shared" si="135"/>
        <v>5.6036840635496847E-2</v>
      </c>
      <c r="EP9">
        <f t="shared" si="136"/>
        <v>4.4532863413495993E-2</v>
      </c>
      <c r="ER9" t="s">
        <v>40</v>
      </c>
      <c r="ES9">
        <f t="shared" si="54"/>
        <v>4.4500000000000005E-2</v>
      </c>
      <c r="ET9">
        <f t="shared" si="55"/>
        <v>1.8500000000000003E-2</v>
      </c>
      <c r="EU9">
        <f t="shared" si="56"/>
        <v>3.5424999999999998E-2</v>
      </c>
      <c r="EV9">
        <f t="shared" si="57"/>
        <v>4.1382250000000003</v>
      </c>
      <c r="EW9">
        <f t="shared" si="58"/>
        <v>3.4750000000000003E-2</v>
      </c>
      <c r="EX9">
        <f t="shared" si="59"/>
        <v>1666.4850000000001</v>
      </c>
      <c r="EY9">
        <f t="shared" si="60"/>
        <v>11651.2775</v>
      </c>
      <c r="EZ9">
        <f t="shared" si="61"/>
        <v>1.325E-2</v>
      </c>
      <c r="FA9">
        <f t="shared" si="62"/>
        <v>1.4749999999999999E-2</v>
      </c>
      <c r="FB9">
        <f t="shared" si="63"/>
        <v>2.5499999999999998E-2</v>
      </c>
      <c r="FC9">
        <f t="shared" si="64"/>
        <v>0.22524999999999998</v>
      </c>
      <c r="FD9">
        <f t="shared" si="65"/>
        <v>3.15E-2</v>
      </c>
      <c r="FE9">
        <f t="shared" si="66"/>
        <v>1254.5050000000001</v>
      </c>
      <c r="FF9">
        <f t="shared" si="67"/>
        <v>73.7</v>
      </c>
      <c r="FG9">
        <f t="shared" si="68"/>
        <v>99.325000000000003</v>
      </c>
      <c r="FH9">
        <f t="shared" si="69"/>
        <v>48.79</v>
      </c>
      <c r="FI9">
        <f t="shared" si="70"/>
        <v>5.8447998670501038E-2</v>
      </c>
      <c r="FJ9">
        <f t="shared" si="71"/>
        <v>1.6344133576978667E-2</v>
      </c>
      <c r="FK9">
        <f t="shared" si="72"/>
        <v>4.1025698596437739E-2</v>
      </c>
      <c r="FM9" t="s">
        <v>41</v>
      </c>
      <c r="FN9">
        <f t="shared" si="137"/>
        <v>0.55071905279166444</v>
      </c>
      <c r="FO9">
        <f t="shared" si="73"/>
        <v>1.4508782128231201</v>
      </c>
      <c r="FP9">
        <f t="shared" si="73"/>
        <v>0.37524162696663738</v>
      </c>
      <c r="FQ9">
        <f t="shared" si="73"/>
        <v>0.93607199894937487</v>
      </c>
      <c r="FR9">
        <f t="shared" si="73"/>
        <v>-0.13468161662768743</v>
      </c>
      <c r="FS9">
        <f t="shared" si="73"/>
        <v>0.86810170979351908</v>
      </c>
      <c r="FT9">
        <f t="shared" si="73"/>
        <v>1.2353076683020445</v>
      </c>
      <c r="FU9">
        <f t="shared" si="73"/>
        <v>0.97882426701218328</v>
      </c>
      <c r="FV9">
        <f t="shared" si="73"/>
        <v>1.0104868903820952</v>
      </c>
      <c r="FW9">
        <f t="shared" si="73"/>
        <v>0.35597749331221501</v>
      </c>
      <c r="FX9">
        <f t="shared" si="73"/>
        <v>-0.78316740193226742</v>
      </c>
      <c r="FY9">
        <f t="shared" si="73"/>
        <v>0.22810893127191334</v>
      </c>
      <c r="FZ9">
        <f t="shared" si="73"/>
        <v>-0.69165853594091653</v>
      </c>
      <c r="GA9">
        <f t="shared" si="138"/>
        <v>-0.83641372316426654</v>
      </c>
      <c r="GB9">
        <f t="shared" si="73"/>
        <v>0.18827496780054218</v>
      </c>
      <c r="GC9">
        <f t="shared" si="73"/>
        <v>-0.72124221004713762</v>
      </c>
      <c r="GD9">
        <f t="shared" si="73"/>
        <v>0.34633054642580086</v>
      </c>
      <c r="GE9">
        <f t="shared" si="73"/>
        <v>0.11396994225995941</v>
      </c>
      <c r="GF9">
        <f t="shared" si="73"/>
        <v>0.34508659860475227</v>
      </c>
      <c r="GH9" t="s">
        <v>40</v>
      </c>
      <c r="GI9">
        <f t="shared" si="139"/>
        <v>4.3497806658899976E-2</v>
      </c>
      <c r="GJ9">
        <f t="shared" si="74"/>
        <v>-4.1133917630548446E-2</v>
      </c>
      <c r="GK9">
        <f t="shared" si="74"/>
        <v>0.63999975114871299</v>
      </c>
      <c r="GL9">
        <f t="shared" si="74"/>
        <v>0.80435269104682539</v>
      </c>
      <c r="GM9">
        <f t="shared" si="74"/>
        <v>6.4533991782891362E-2</v>
      </c>
      <c r="GN9">
        <f t="shared" si="74"/>
        <v>0.17292713788902939</v>
      </c>
      <c r="GO9">
        <f t="shared" si="74"/>
        <v>0.18820873939340094</v>
      </c>
      <c r="GP9">
        <f t="shared" si="74"/>
        <v>-0.28504413667121026</v>
      </c>
      <c r="GQ9">
        <f t="shared" si="74"/>
        <v>-0.40388060985532354</v>
      </c>
      <c r="GR9">
        <f t="shared" si="74"/>
        <v>-0.17663664654437503</v>
      </c>
      <c r="GS9">
        <f t="shared" si="74"/>
        <v>1.6721156963911703</v>
      </c>
      <c r="GT9">
        <f t="shared" si="74"/>
        <v>0.5963200930586533</v>
      </c>
      <c r="GU9">
        <f t="shared" si="74"/>
        <v>-0.71460195053267239</v>
      </c>
      <c r="GV9">
        <f t="shared" si="140"/>
        <v>-1.263641014892118</v>
      </c>
      <c r="GW9">
        <f t="shared" si="74"/>
        <v>-7.3732532322605626E-2</v>
      </c>
      <c r="GX9">
        <f t="shared" si="74"/>
        <v>-1.0782876256762819</v>
      </c>
      <c r="GY9">
        <f t="shared" si="74"/>
        <v>2.7783928659011522E-2</v>
      </c>
      <c r="GZ9">
        <f t="shared" si="74"/>
        <v>-1.1803867602471845</v>
      </c>
      <c r="HA9">
        <f t="shared" si="74"/>
        <v>0.11179377932854936</v>
      </c>
      <c r="HC9" t="s">
        <v>41</v>
      </c>
      <c r="HD9">
        <f t="shared" si="141"/>
        <v>4.3497806658899976E-2</v>
      </c>
      <c r="HE9">
        <f t="shared" si="75"/>
        <v>-4.1133917630548446E-2</v>
      </c>
      <c r="HF9">
        <f t="shared" si="75"/>
        <v>0.63999975114871299</v>
      </c>
      <c r="HG9">
        <f t="shared" si="75"/>
        <v>0.80435269104682539</v>
      </c>
      <c r="HH9">
        <f t="shared" si="75"/>
        <v>6.4533991782891362E-2</v>
      </c>
      <c r="HI9">
        <f t="shared" si="75"/>
        <v>0.17292713788902939</v>
      </c>
      <c r="HJ9">
        <f t="shared" si="75"/>
        <v>0.18820873939340094</v>
      </c>
      <c r="HK9">
        <f t="shared" si="75"/>
        <v>-0.28504413667121026</v>
      </c>
      <c r="HL9">
        <f t="shared" si="75"/>
        <v>-0.40388060985532354</v>
      </c>
      <c r="HM9">
        <f t="shared" si="75"/>
        <v>-0.17663664654437503</v>
      </c>
      <c r="HN9">
        <f t="shared" si="75"/>
        <v>1.6721156963911703</v>
      </c>
      <c r="HO9">
        <f t="shared" si="75"/>
        <v>0.5963200930586533</v>
      </c>
      <c r="HP9">
        <f t="shared" si="75"/>
        <v>-0.71460195053267239</v>
      </c>
      <c r="HQ9">
        <f t="shared" si="75"/>
        <v>-1.263641014892118</v>
      </c>
      <c r="HR9">
        <f t="shared" si="75"/>
        <v>-7.3732532322605626E-2</v>
      </c>
      <c r="HS9">
        <f t="shared" si="75"/>
        <v>-1.0782876256762819</v>
      </c>
      <c r="HT9">
        <f t="shared" si="75"/>
        <v>2.7783928659011522E-2</v>
      </c>
      <c r="HU9">
        <f t="shared" si="75"/>
        <v>-1.1803867602471845</v>
      </c>
      <c r="HV9">
        <f t="shared" si="75"/>
        <v>0.11179377932854936</v>
      </c>
      <c r="HX9" t="s">
        <v>41</v>
      </c>
      <c r="HY9">
        <f t="shared" si="142"/>
        <v>4.4500000000000005E-2</v>
      </c>
      <c r="HZ9">
        <f t="shared" si="143"/>
        <v>1.8500000000000003E-2</v>
      </c>
      <c r="IA9">
        <f t="shared" si="144"/>
        <v>3.5424999999999998E-2</v>
      </c>
      <c r="IB9">
        <f t="shared" si="145"/>
        <v>4.1382250000000003</v>
      </c>
      <c r="IC9">
        <f t="shared" si="146"/>
        <v>3.4750000000000003E-2</v>
      </c>
      <c r="ID9">
        <f t="shared" si="147"/>
        <v>1666.4850000000001</v>
      </c>
      <c r="IE9">
        <f t="shared" si="148"/>
        <v>11651.2775</v>
      </c>
      <c r="IF9">
        <f t="shared" si="149"/>
        <v>1.325E-2</v>
      </c>
      <c r="IG9">
        <f t="shared" si="150"/>
        <v>1.4749999999999999E-2</v>
      </c>
      <c r="IH9">
        <f t="shared" si="151"/>
        <v>2.5499999999999998E-2</v>
      </c>
      <c r="II9">
        <f t="shared" si="152"/>
        <v>0.22524999999999998</v>
      </c>
      <c r="IJ9">
        <f t="shared" si="153"/>
        <v>3.15E-2</v>
      </c>
      <c r="IK9">
        <f t="shared" si="154"/>
        <v>1254.5050000000001</v>
      </c>
      <c r="IL9">
        <f t="shared" si="155"/>
        <v>73.7</v>
      </c>
      <c r="IM9">
        <f t="shared" si="156"/>
        <v>99.325000000000003</v>
      </c>
      <c r="IN9">
        <f t="shared" si="157"/>
        <v>48.79</v>
      </c>
      <c r="IO9">
        <f t="shared" si="158"/>
        <v>5.8447998670501038E-2</v>
      </c>
      <c r="IP9">
        <f t="shared" si="159"/>
        <v>1.6344133576978667E-2</v>
      </c>
      <c r="IQ9">
        <f t="shared" si="160"/>
        <v>4.1025698596437739E-2</v>
      </c>
      <c r="IS9" t="s">
        <v>41</v>
      </c>
      <c r="IT9">
        <f t="shared" si="161"/>
        <v>2.3338277422809504E-2</v>
      </c>
      <c r="IU9">
        <f t="shared" si="162"/>
        <v>6.4271845278438752E-3</v>
      </c>
      <c r="IV9">
        <f t="shared" si="163"/>
        <v>0.57408006975042403</v>
      </c>
      <c r="IW9">
        <f t="shared" si="164"/>
        <v>0.87258142096536928</v>
      </c>
      <c r="IX9">
        <f t="shared" si="165"/>
        <v>0.31749395260198354</v>
      </c>
      <c r="IY9">
        <f t="shared" si="166"/>
        <v>0.10780135577105539</v>
      </c>
      <c r="IZ9">
        <f t="shared" si="167"/>
        <v>0.16865603272791987</v>
      </c>
      <c r="JA9">
        <f t="shared" si="168"/>
        <v>-0.12730373305787046</v>
      </c>
      <c r="JB9">
        <f t="shared" si="169"/>
        <v>-0.27674478793561808</v>
      </c>
      <c r="JC9">
        <f t="shared" si="170"/>
        <v>-0.21610312966356138</v>
      </c>
      <c r="JD9">
        <f t="shared" si="171"/>
        <v>1.5943992588241367</v>
      </c>
      <c r="JE9">
        <f t="shared" si="172"/>
        <v>0.5244001507169066</v>
      </c>
      <c r="JF9">
        <f t="shared" si="173"/>
        <v>-0.62762613550579949</v>
      </c>
      <c r="JG9">
        <f t="shared" si="174"/>
        <v>-1.263641014892118</v>
      </c>
      <c r="JH9">
        <f t="shared" si="78"/>
        <v>0.16079842791227586</v>
      </c>
      <c r="JI9">
        <f t="shared" si="79"/>
        <v>-1.0361730520991075</v>
      </c>
      <c r="JJ9">
        <f t="shared" si="80"/>
        <v>-5.9201310156502651E-2</v>
      </c>
      <c r="JK9">
        <f t="shared" si="81"/>
        <v>-1.1127213412867343</v>
      </c>
      <c r="JL9">
        <f t="shared" si="82"/>
        <v>0.25115016509023341</v>
      </c>
      <c r="JN9" t="s">
        <v>41</v>
      </c>
      <c r="JO9">
        <f t="shared" si="83"/>
        <v>8.797653958944331E-3</v>
      </c>
      <c r="JP9">
        <f t="shared" si="84"/>
        <v>-9.8011680263920514E-2</v>
      </c>
      <c r="JQ9">
        <f t="shared" si="85"/>
        <v>-5.714285714285719E-2</v>
      </c>
      <c r="JR9">
        <f t="shared" si="86"/>
        <v>9.4461330425831241E-2</v>
      </c>
      <c r="JS9">
        <f t="shared" si="87"/>
        <v>0.12872496847348883</v>
      </c>
      <c r="JT9">
        <f t="shared" si="88"/>
        <v>-0.37948717948717953</v>
      </c>
      <c r="JU9">
        <f t="shared" si="89"/>
        <v>0</v>
      </c>
      <c r="JV9">
        <f t="shared" si="90"/>
        <v>0.13533769063180823</v>
      </c>
      <c r="JW9">
        <f t="shared" si="91"/>
        <v>0.18338108882521487</v>
      </c>
      <c r="JX9">
        <f t="shared" si="92"/>
        <v>1.909547738693473E-2</v>
      </c>
      <c r="JY9">
        <f t="shared" si="93"/>
        <v>0.1768743400211194</v>
      </c>
      <c r="KA9" t="s">
        <v>41</v>
      </c>
      <c r="KB9">
        <f t="shared" si="175"/>
        <v>0.18584381627840835</v>
      </c>
      <c r="KC9">
        <f t="shared" si="94"/>
        <v>-1.5718258019585267</v>
      </c>
      <c r="KD9">
        <f t="shared" si="94"/>
        <v>-0.62748849308491239</v>
      </c>
      <c r="KE9">
        <f t="shared" si="94"/>
        <v>1.3326758473106177</v>
      </c>
      <c r="KF9">
        <f t="shared" si="94"/>
        <v>1.5357200124680876</v>
      </c>
      <c r="KG9">
        <f t="shared" si="94"/>
        <v>-1.471700584883386</v>
      </c>
      <c r="KH9">
        <f t="shared" si="94"/>
        <v>0.20317917395076276</v>
      </c>
      <c r="KI9">
        <f t="shared" si="94"/>
        <v>0.6910141234104914</v>
      </c>
      <c r="KJ9">
        <f t="shared" si="176"/>
        <v>1.145092425267666</v>
      </c>
      <c r="KK9">
        <f t="shared" si="94"/>
        <v>0.12945347963563589</v>
      </c>
      <c r="KL9">
        <f t="shared" si="94"/>
        <v>0.44583065780498837</v>
      </c>
    </row>
    <row r="10" spans="1:298" x14ac:dyDescent="0.35">
      <c r="A10" t="s">
        <v>41</v>
      </c>
      <c r="B10">
        <f>'Sorting Y'!B9/100</f>
        <v>5.7999999999999996E-2</v>
      </c>
      <c r="C10">
        <f>'Sorting Y'!C9/100</f>
        <v>3.5000000000000003E-2</v>
      </c>
      <c r="D10">
        <f>'Sorting Y'!D9/100</f>
        <v>3.44E-2</v>
      </c>
      <c r="E10">
        <f>'Sorting Y'!E9</f>
        <v>4.0465</v>
      </c>
      <c r="F10">
        <f>'Sorting Y'!F9/100</f>
        <v>3.3000000000000002E-2</v>
      </c>
      <c r="G10">
        <f>'Sorting Y'!G9</f>
        <v>1796.81</v>
      </c>
      <c r="H10">
        <f>'Sorting Y'!H9</f>
        <v>12942.57</v>
      </c>
      <c r="I10">
        <f>'Sorting Y'!I9/100</f>
        <v>5.0999999999999997E-2</v>
      </c>
      <c r="J10">
        <f>'Sorting Y'!J9/100</f>
        <v>6.2E-2</v>
      </c>
      <c r="K10">
        <f>'Sorting Y'!K9/100</f>
        <v>4.4000000000000004E-2</v>
      </c>
      <c r="L10">
        <f>'Sorting Y'!L9/100</f>
        <v>0.121</v>
      </c>
      <c r="M10">
        <f>'Sorting Y'!M9/100</f>
        <v>0.03</v>
      </c>
      <c r="N10">
        <f>'Sorting Y'!N9</f>
        <v>1302.8</v>
      </c>
      <c r="O10">
        <f>'Sorting Y'!O9</f>
        <v>82.6</v>
      </c>
      <c r="P10">
        <f>'Sorting Y'!P9</f>
        <v>101.4</v>
      </c>
      <c r="Q10">
        <f>'Sorting Y'!Q9</f>
        <v>66.87</v>
      </c>
      <c r="R10">
        <f>'Sorting Y'!R9/100</f>
        <v>6.9159531582834166E-2</v>
      </c>
      <c r="S10">
        <f>'Sorting Y'!S9/100</f>
        <v>6.9659165722519845E-2</v>
      </c>
      <c r="T10">
        <f>'Sorting Y'!T9/100</f>
        <v>3.7783352028301298E-2</v>
      </c>
      <c r="V10" t="s">
        <v>42</v>
      </c>
      <c r="W10">
        <f t="shared" si="95"/>
        <v>5.7999999999999996E-2</v>
      </c>
      <c r="X10">
        <f t="shared" si="20"/>
        <v>3.5000000000000003E-2</v>
      </c>
      <c r="Y10">
        <f t="shared" si="20"/>
        <v>3.44E-2</v>
      </c>
      <c r="Z10">
        <f t="shared" si="20"/>
        <v>4.0465</v>
      </c>
      <c r="AA10">
        <f t="shared" si="20"/>
        <v>3.3000000000000002E-2</v>
      </c>
      <c r="AB10">
        <f t="shared" si="20"/>
        <v>1796.81</v>
      </c>
      <c r="AC10">
        <f t="shared" si="20"/>
        <v>12942.57</v>
      </c>
      <c r="AD10">
        <f t="shared" si="20"/>
        <v>5.0999999999999997E-2</v>
      </c>
      <c r="AE10">
        <f t="shared" si="20"/>
        <v>6.2E-2</v>
      </c>
      <c r="AF10">
        <f t="shared" si="20"/>
        <v>4.4000000000000004E-2</v>
      </c>
      <c r="AG10">
        <f t="shared" si="20"/>
        <v>0.121</v>
      </c>
      <c r="AH10">
        <f t="shared" si="20"/>
        <v>0.03</v>
      </c>
      <c r="AI10">
        <f t="shared" si="20"/>
        <v>1302.8</v>
      </c>
      <c r="AJ10">
        <f t="shared" si="20"/>
        <v>82.6</v>
      </c>
      <c r="AK10">
        <f t="shared" si="20"/>
        <v>101.4</v>
      </c>
      <c r="AL10">
        <f t="shared" si="20"/>
        <v>66.87</v>
      </c>
      <c r="AM10">
        <f t="shared" si="20"/>
        <v>6.9159531582834166E-2</v>
      </c>
      <c r="AN10">
        <f t="shared" si="20"/>
        <v>6.9659165722519845E-2</v>
      </c>
      <c r="AO10">
        <f t="shared" si="20"/>
        <v>3.7783352028301298E-2</v>
      </c>
      <c r="AQ10" t="s">
        <v>42</v>
      </c>
      <c r="AR10">
        <f t="shared" si="177"/>
        <v>0.20908049389193972</v>
      </c>
      <c r="AS10">
        <f t="shared" si="21"/>
        <v>-1.1137253141899315</v>
      </c>
      <c r="AT10">
        <f t="shared" si="21"/>
        <v>0.74381043512287992</v>
      </c>
      <c r="AU10">
        <f t="shared" si="21"/>
        <v>0.5937381866317647</v>
      </c>
      <c r="AV10">
        <f t="shared" si="21"/>
        <v>-0.32362629018934386</v>
      </c>
      <c r="AW10">
        <f t="shared" si="21"/>
        <v>0.12842170315990706</v>
      </c>
      <c r="AX10">
        <f t="shared" si="21"/>
        <v>-0.28086036330005487</v>
      </c>
      <c r="AY10">
        <f t="shared" si="21"/>
        <v>3.0290722416818419E-2</v>
      </c>
      <c r="AZ10">
        <f t="shared" si="21"/>
        <v>-0.23897041959346144</v>
      </c>
      <c r="BA10">
        <f t="shared" si="21"/>
        <v>-0.27108180974169788</v>
      </c>
      <c r="BB10">
        <f t="shared" si="21"/>
        <v>-1.3914724868776667</v>
      </c>
      <c r="BC10">
        <f t="shared" si="21"/>
        <v>0.80403025220737523</v>
      </c>
      <c r="BD10">
        <f t="shared" si="21"/>
        <v>-0.49130376326492814</v>
      </c>
      <c r="BE10">
        <f t="shared" si="96"/>
        <v>0.54086980117038452</v>
      </c>
      <c r="BF10">
        <f t="shared" si="21"/>
        <v>-0.31726369631709611</v>
      </c>
      <c r="BG10">
        <f t="shared" si="21"/>
        <v>-0.71681287946175765</v>
      </c>
      <c r="BH10">
        <f t="shared" si="21"/>
        <v>0.7771589141901053</v>
      </c>
      <c r="BI10">
        <f t="shared" si="21"/>
        <v>-2.2461516121882474E-2</v>
      </c>
      <c r="BJ10">
        <f t="shared" si="21"/>
        <v>-0.25818324291409023</v>
      </c>
      <c r="BL10" t="s">
        <v>41</v>
      </c>
      <c r="BM10">
        <f t="shared" si="97"/>
        <v>0.58767804261847811</v>
      </c>
      <c r="BN10">
        <f t="shared" si="98"/>
        <v>1.0689852645670799</v>
      </c>
      <c r="BO10">
        <f t="shared" si="99"/>
        <v>0.40139120191491012</v>
      </c>
      <c r="BP10">
        <f t="shared" si="100"/>
        <v>0.51909916978576076</v>
      </c>
      <c r="BQ10">
        <f t="shared" si="101"/>
        <v>-0.27427716552027442</v>
      </c>
      <c r="BR10">
        <f t="shared" si="102"/>
        <v>1.2375680395763304</v>
      </c>
      <c r="BS10">
        <f t="shared" si="103"/>
        <v>1.7176375789615215</v>
      </c>
      <c r="BT10">
        <f t="shared" si="104"/>
        <v>0.51860154486539622</v>
      </c>
      <c r="BU10">
        <f t="shared" si="105"/>
        <v>0.55308985804302524</v>
      </c>
      <c r="BV10">
        <f t="shared" si="106"/>
        <v>0.15521113921866747</v>
      </c>
      <c r="BW10">
        <f t="shared" si="107"/>
        <v>-0.59275798258842483</v>
      </c>
      <c r="BX10">
        <f t="shared" si="108"/>
        <v>0.27359890796126979</v>
      </c>
      <c r="BY10">
        <f t="shared" si="109"/>
        <v>-0.44055794910980645</v>
      </c>
      <c r="BZ10">
        <f t="shared" si="110"/>
        <v>-0.41911513415551266</v>
      </c>
      <c r="CA10">
        <f t="shared" si="23"/>
        <v>0.18997409110340738</v>
      </c>
      <c r="CB10">
        <f t="shared" si="24"/>
        <v>-0.29027347627070643</v>
      </c>
      <c r="CC10">
        <f t="shared" si="25"/>
        <v>0.32477039516043255</v>
      </c>
      <c r="CD10">
        <f t="shared" si="26"/>
        <v>0.45195044978751386</v>
      </c>
      <c r="CE10">
        <f t="shared" si="27"/>
        <v>-2.8827249593193601E-2</v>
      </c>
      <c r="CG10" t="s">
        <v>42</v>
      </c>
      <c r="CH10">
        <f t="shared" si="111"/>
        <v>0.53822258996967998</v>
      </c>
      <c r="CI10">
        <f t="shared" si="112"/>
        <v>1.1370811926953286</v>
      </c>
      <c r="CJ10">
        <f t="shared" si="113"/>
        <v>0.27349363943620475</v>
      </c>
      <c r="CK10">
        <f t="shared" si="114"/>
        <v>0.57610129313397018</v>
      </c>
      <c r="CL10">
        <f t="shared" si="115"/>
        <v>-0.14540168172557666</v>
      </c>
      <c r="CM10">
        <f t="shared" si="116"/>
        <v>1.1491740783306406</v>
      </c>
      <c r="CN10">
        <f t="shared" si="117"/>
        <v>1.6160923657884974</v>
      </c>
      <c r="CO10">
        <f t="shared" si="118"/>
        <v>0.97356066916021933</v>
      </c>
      <c r="CP10">
        <f t="shared" si="119"/>
        <v>0.98167582308808288</v>
      </c>
      <c r="CQ10">
        <f t="shared" si="120"/>
        <v>7.3890794378107832E-2</v>
      </c>
      <c r="CR10">
        <f t="shared" si="121"/>
        <v>-0.67138404512512373</v>
      </c>
      <c r="CS10">
        <f t="shared" si="122"/>
        <v>0.10936965981494998</v>
      </c>
      <c r="CT10">
        <f t="shared" si="123"/>
        <v>-0.32996186034755431</v>
      </c>
      <c r="CU10">
        <f t="shared" si="124"/>
        <v>-0.41911513415551266</v>
      </c>
      <c r="CV10">
        <f t="shared" si="29"/>
        <v>0.47224423347032451</v>
      </c>
      <c r="CW10">
        <f t="shared" si="30"/>
        <v>-0.26527132492119915</v>
      </c>
      <c r="CX10">
        <f t="shared" si="31"/>
        <v>0.25589022709992082</v>
      </c>
      <c r="CY10">
        <f t="shared" si="32"/>
        <v>0.39643809174409272</v>
      </c>
      <c r="CZ10">
        <f t="shared" si="33"/>
        <v>0.10885109974874688</v>
      </c>
      <c r="DB10" t="s">
        <v>42</v>
      </c>
      <c r="DC10">
        <f t="shared" si="34"/>
        <v>0.58767804261847811</v>
      </c>
      <c r="DD10">
        <f t="shared" si="35"/>
        <v>1.0689852645670799</v>
      </c>
      <c r="DE10">
        <f t="shared" si="36"/>
        <v>0.40139120191491012</v>
      </c>
      <c r="DF10">
        <f t="shared" si="37"/>
        <v>0.51909916978576076</v>
      </c>
      <c r="DG10">
        <f t="shared" si="38"/>
        <v>-0.27427716552027442</v>
      </c>
      <c r="DH10">
        <f t="shared" si="39"/>
        <v>1.2375680395763304</v>
      </c>
      <c r="DI10">
        <f t="shared" si="40"/>
        <v>1.7176375789615215</v>
      </c>
      <c r="DJ10">
        <f t="shared" si="41"/>
        <v>0.51860154486539622</v>
      </c>
      <c r="DK10">
        <f t="shared" si="42"/>
        <v>0.55308985804302524</v>
      </c>
      <c r="DL10">
        <f t="shared" si="43"/>
        <v>0.15521113921866747</v>
      </c>
      <c r="DM10">
        <f t="shared" si="44"/>
        <v>-0.59275798258842483</v>
      </c>
      <c r="DN10">
        <f t="shared" si="45"/>
        <v>0.27359890796126979</v>
      </c>
      <c r="DO10">
        <f t="shared" si="46"/>
        <v>-0.44055794910980645</v>
      </c>
      <c r="DP10">
        <f t="shared" si="47"/>
        <v>-0.41911513415551266</v>
      </c>
      <c r="DQ10">
        <f t="shared" si="48"/>
        <v>0.18997409110340738</v>
      </c>
      <c r="DR10">
        <f t="shared" si="49"/>
        <v>-0.29027347627070643</v>
      </c>
      <c r="DS10">
        <f t="shared" si="50"/>
        <v>0.32477039516043255</v>
      </c>
      <c r="DT10">
        <f t="shared" si="51"/>
        <v>0.45195044978751386</v>
      </c>
      <c r="DU10">
        <f t="shared" si="52"/>
        <v>-2.8827249593193601E-2</v>
      </c>
      <c r="DW10" t="s">
        <v>42</v>
      </c>
      <c r="DX10">
        <f t="shared" si="125"/>
        <v>4.8499999999999995E-2</v>
      </c>
      <c r="DY10">
        <f t="shared" si="126"/>
        <v>6.5000000000000006E-3</v>
      </c>
      <c r="DZ10">
        <f t="shared" si="127"/>
        <v>3.6900000000000002E-2</v>
      </c>
      <c r="EA10">
        <f t="shared" si="53"/>
        <v>4.04345</v>
      </c>
      <c r="EB10">
        <f t="shared" si="128"/>
        <v>3.3250000000000002E-2</v>
      </c>
      <c r="EC10">
        <f t="shared" si="53"/>
        <v>1759.6725000000001</v>
      </c>
      <c r="ED10">
        <f t="shared" si="53"/>
        <v>12266.8125</v>
      </c>
      <c r="EE10">
        <f t="shared" si="129"/>
        <v>1.925E-2</v>
      </c>
      <c r="EF10">
        <f t="shared" si="130"/>
        <v>1.4999999999999999E-2</v>
      </c>
      <c r="EG10">
        <f t="shared" si="131"/>
        <v>1.3249999999999998E-2</v>
      </c>
      <c r="EH10">
        <f t="shared" si="132"/>
        <v>0.11675000000000001</v>
      </c>
      <c r="EI10">
        <f t="shared" si="133"/>
        <v>3.3000000000000002E-2</v>
      </c>
      <c r="EJ10">
        <f t="shared" si="53"/>
        <v>1262.8625</v>
      </c>
      <c r="EK10">
        <f t="shared" si="53"/>
        <v>107.05</v>
      </c>
      <c r="EL10">
        <f t="shared" si="53"/>
        <v>100.575</v>
      </c>
      <c r="EM10">
        <f t="shared" si="53"/>
        <v>71.55749999999999</v>
      </c>
      <c r="EN10">
        <f t="shared" si="134"/>
        <v>7.9556127750951777E-2</v>
      </c>
      <c r="EO10">
        <f t="shared" si="135"/>
        <v>3.281999248773726E-2</v>
      </c>
      <c r="EP10">
        <f t="shared" si="136"/>
        <v>3.0875522818185449E-2</v>
      </c>
      <c r="ER10" t="s">
        <v>41</v>
      </c>
      <c r="ES10">
        <f t="shared" si="54"/>
        <v>5.7999999999999996E-2</v>
      </c>
      <c r="ET10">
        <f t="shared" si="55"/>
        <v>0.04</v>
      </c>
      <c r="EU10">
        <f t="shared" si="56"/>
        <v>3.4325000000000001E-2</v>
      </c>
      <c r="EV10">
        <f t="shared" si="57"/>
        <v>4.2464500000000012</v>
      </c>
      <c r="EW10">
        <f t="shared" si="58"/>
        <v>3.3750000000000002E-2</v>
      </c>
      <c r="EX10">
        <f t="shared" si="59"/>
        <v>1764.0374999999999</v>
      </c>
      <c r="EY10">
        <f t="shared" si="60"/>
        <v>12608.622499999999</v>
      </c>
      <c r="EZ10">
        <f t="shared" si="61"/>
        <v>8.7250000000000008E-2</v>
      </c>
      <c r="FA10">
        <f t="shared" si="62"/>
        <v>0.10249999999999999</v>
      </c>
      <c r="FB10">
        <f t="shared" si="63"/>
        <v>6.0999999999999999E-2</v>
      </c>
      <c r="FC10">
        <f t="shared" si="64"/>
        <v>0.1275</v>
      </c>
      <c r="FD10">
        <f t="shared" si="65"/>
        <v>0.03</v>
      </c>
      <c r="FE10">
        <f t="shared" si="66"/>
        <v>1268.3399999999999</v>
      </c>
      <c r="FF10">
        <f t="shared" si="67"/>
        <v>79.25</v>
      </c>
      <c r="FG10">
        <f t="shared" si="68"/>
        <v>101.15</v>
      </c>
      <c r="FH10">
        <f t="shared" si="69"/>
        <v>56.29</v>
      </c>
      <c r="FI10">
        <f t="shared" si="70"/>
        <v>6.9039576313246476E-2</v>
      </c>
      <c r="FJ10">
        <f t="shared" si="71"/>
        <v>5.6036840635496847E-2</v>
      </c>
      <c r="FK10">
        <f t="shared" si="72"/>
        <v>4.4532863413495993E-2</v>
      </c>
      <c r="FM10" t="s">
        <v>42</v>
      </c>
      <c r="FN10">
        <f t="shared" si="137"/>
        <v>0.25784301708312013</v>
      </c>
      <c r="FO10">
        <f t="shared" si="73"/>
        <v>-0.886383520183742</v>
      </c>
      <c r="FP10">
        <f t="shared" si="73"/>
        <v>0.81718420841487138</v>
      </c>
      <c r="FQ10">
        <f t="shared" si="73"/>
        <v>0.52296098637392141</v>
      </c>
      <c r="FR10">
        <f t="shared" si="73"/>
        <v>-0.22182854503383906</v>
      </c>
      <c r="FS10">
        <f t="shared" si="73"/>
        <v>0.82967396379804681</v>
      </c>
      <c r="FT10">
        <f t="shared" si="73"/>
        <v>0.7956092273980202</v>
      </c>
      <c r="FU10">
        <f t="shared" si="73"/>
        <v>-8.2662578547966215E-2</v>
      </c>
      <c r="FV10">
        <f t="shared" si="73"/>
        <v>-0.28028103528846443</v>
      </c>
      <c r="FW10">
        <f t="shared" si="73"/>
        <v>-0.2413936835639541</v>
      </c>
      <c r="FX10">
        <f t="shared" si="73"/>
        <v>-1.0457033205105541</v>
      </c>
      <c r="FY10">
        <f t="shared" si="73"/>
        <v>0.83031650982976668</v>
      </c>
      <c r="FZ10">
        <f t="shared" si="73"/>
        <v>-0.7155858230378791</v>
      </c>
      <c r="GA10">
        <f t="shared" si="138"/>
        <v>0.73170776920018477</v>
      </c>
      <c r="GB10">
        <f t="shared" si="73"/>
        <v>5.8835927437669827E-2</v>
      </c>
      <c r="GC10">
        <f t="shared" si="73"/>
        <v>-0.1410615377403894</v>
      </c>
      <c r="GD10">
        <f t="shared" si="73"/>
        <v>0.63596379992971686</v>
      </c>
      <c r="GE10">
        <f t="shared" si="73"/>
        <v>-0.63352788193627363</v>
      </c>
      <c r="GF10">
        <f t="shared" si="73"/>
        <v>-0.12156797166377849</v>
      </c>
      <c r="GH10" t="s">
        <v>41</v>
      </c>
      <c r="GI10">
        <f t="shared" si="139"/>
        <v>0.45800631717312196</v>
      </c>
      <c r="GJ10">
        <f t="shared" si="74"/>
        <v>1.531095822914867</v>
      </c>
      <c r="GK10">
        <f t="shared" si="74"/>
        <v>0.44668174851340403</v>
      </c>
      <c r="GL10">
        <f t="shared" si="74"/>
        <v>1.0201929389651105</v>
      </c>
      <c r="GM10">
        <f t="shared" si="74"/>
        <v>-0.11767963207468306</v>
      </c>
      <c r="GN10">
        <f t="shared" si="74"/>
        <v>0.91216791873562797</v>
      </c>
      <c r="GO10">
        <f t="shared" si="74"/>
        <v>1.1791551856466</v>
      </c>
      <c r="GP10">
        <f t="shared" si="74"/>
        <v>0.82512776404824018</v>
      </c>
      <c r="GQ10">
        <f t="shared" si="74"/>
        <v>0.76048977256125627</v>
      </c>
      <c r="GR10">
        <f t="shared" si="74"/>
        <v>0.26664589500439528</v>
      </c>
      <c r="GS10">
        <f t="shared" si="74"/>
        <v>-0.66009799191660989</v>
      </c>
      <c r="GT10">
        <f t="shared" si="74"/>
        <v>0.28519656624544293</v>
      </c>
      <c r="GU10">
        <f t="shared" si="74"/>
        <v>-0.65251281337613876</v>
      </c>
      <c r="GV10">
        <f t="shared" si="140"/>
        <v>-0.95381714107269855</v>
      </c>
      <c r="GW10">
        <f t="shared" si="74"/>
        <v>0.30845503166913413</v>
      </c>
      <c r="GX10">
        <f t="shared" si="74"/>
        <v>-0.78076285370131293</v>
      </c>
      <c r="GY10">
        <f t="shared" si="74"/>
        <v>0.33214974558273563</v>
      </c>
      <c r="GZ10">
        <f t="shared" si="74"/>
        <v>0.15137266988600298</v>
      </c>
      <c r="HA10">
        <f t="shared" si="74"/>
        <v>0.22844387369703012</v>
      </c>
      <c r="HC10" t="s">
        <v>42</v>
      </c>
      <c r="HD10">
        <f t="shared" si="141"/>
        <v>0.45800631717312196</v>
      </c>
      <c r="HE10">
        <f t="shared" si="75"/>
        <v>1.531095822914867</v>
      </c>
      <c r="HF10">
        <f t="shared" si="75"/>
        <v>0.44668174851340403</v>
      </c>
      <c r="HG10">
        <f t="shared" si="75"/>
        <v>1.0201929389651105</v>
      </c>
      <c r="HH10">
        <f t="shared" si="75"/>
        <v>-0.11767963207468306</v>
      </c>
      <c r="HI10">
        <f t="shared" si="75"/>
        <v>0.91216791873562797</v>
      </c>
      <c r="HJ10">
        <f t="shared" si="75"/>
        <v>1.1791551856466</v>
      </c>
      <c r="HK10">
        <f t="shared" si="75"/>
        <v>0.82512776404824018</v>
      </c>
      <c r="HL10">
        <f t="shared" si="75"/>
        <v>0.76048977256125627</v>
      </c>
      <c r="HM10">
        <f t="shared" si="75"/>
        <v>0.26664589500439528</v>
      </c>
      <c r="HN10">
        <f t="shared" si="75"/>
        <v>-0.66009799191660989</v>
      </c>
      <c r="HO10">
        <f t="shared" si="75"/>
        <v>0.28519656624544293</v>
      </c>
      <c r="HP10">
        <f t="shared" si="75"/>
        <v>-0.65251281337613876</v>
      </c>
      <c r="HQ10">
        <f t="shared" si="75"/>
        <v>-0.95381714107269855</v>
      </c>
      <c r="HR10">
        <f t="shared" si="75"/>
        <v>0.30845503166913413</v>
      </c>
      <c r="HS10">
        <f t="shared" si="75"/>
        <v>-0.78076285370131293</v>
      </c>
      <c r="HT10">
        <f t="shared" si="75"/>
        <v>0.33214974558273563</v>
      </c>
      <c r="HU10">
        <f t="shared" si="75"/>
        <v>0.15137266988600298</v>
      </c>
      <c r="HV10">
        <f t="shared" si="75"/>
        <v>0.22844387369703012</v>
      </c>
      <c r="HX10" t="s">
        <v>42</v>
      </c>
      <c r="HY10">
        <f t="shared" si="142"/>
        <v>5.7999999999999996E-2</v>
      </c>
      <c r="HZ10">
        <f t="shared" si="143"/>
        <v>0.04</v>
      </c>
      <c r="IA10">
        <f t="shared" si="144"/>
        <v>3.4325000000000001E-2</v>
      </c>
      <c r="IB10">
        <f t="shared" si="145"/>
        <v>4.2464500000000012</v>
      </c>
      <c r="IC10">
        <f t="shared" si="146"/>
        <v>3.3750000000000002E-2</v>
      </c>
      <c r="ID10">
        <f t="shared" si="147"/>
        <v>1764.0374999999999</v>
      </c>
      <c r="IE10">
        <f t="shared" si="148"/>
        <v>12608.622499999999</v>
      </c>
      <c r="IF10">
        <f t="shared" si="149"/>
        <v>8.7250000000000008E-2</v>
      </c>
      <c r="IG10">
        <f t="shared" si="150"/>
        <v>0.10249999999999999</v>
      </c>
      <c r="IH10">
        <f t="shared" si="151"/>
        <v>6.0999999999999999E-2</v>
      </c>
      <c r="II10">
        <f t="shared" si="152"/>
        <v>0.1275</v>
      </c>
      <c r="IJ10">
        <f t="shared" si="153"/>
        <v>0.03</v>
      </c>
      <c r="IK10">
        <f t="shared" si="154"/>
        <v>1268.3399999999999</v>
      </c>
      <c r="IL10">
        <f t="shared" si="155"/>
        <v>79.25</v>
      </c>
      <c r="IM10">
        <f t="shared" si="156"/>
        <v>101.15</v>
      </c>
      <c r="IN10">
        <f t="shared" si="157"/>
        <v>56.29</v>
      </c>
      <c r="IO10">
        <f t="shared" si="158"/>
        <v>6.9039576313246476E-2</v>
      </c>
      <c r="IP10">
        <f t="shared" si="159"/>
        <v>5.6036840635496847E-2</v>
      </c>
      <c r="IQ10">
        <f t="shared" si="160"/>
        <v>4.4532863413495993E-2</v>
      </c>
      <c r="IS10" t="s">
        <v>42</v>
      </c>
      <c r="IT10">
        <f t="shared" si="161"/>
        <v>0.41942218568420225</v>
      </c>
      <c r="IU10">
        <f t="shared" si="162"/>
        <v>1.5264563253628873</v>
      </c>
      <c r="IV10">
        <f t="shared" si="163"/>
        <v>0.3253291711298289</v>
      </c>
      <c r="IW10">
        <f t="shared" si="164"/>
        <v>1.0861883193010431</v>
      </c>
      <c r="IX10">
        <f t="shared" si="165"/>
        <v>8.8481921216946133E-2</v>
      </c>
      <c r="IY10">
        <f t="shared" si="166"/>
        <v>0.82979239540290206</v>
      </c>
      <c r="IZ10">
        <f t="shared" si="167"/>
        <v>1.1142318269847209</v>
      </c>
      <c r="JA10">
        <f t="shared" si="168"/>
        <v>1.2317157909959866</v>
      </c>
      <c r="JB10">
        <f t="shared" si="169"/>
        <v>1.0861526944871134</v>
      </c>
      <c r="JC10">
        <f t="shared" si="170"/>
        <v>0.21226373395887874</v>
      </c>
      <c r="JD10">
        <f t="shared" si="171"/>
        <v>-0.76618979873270132</v>
      </c>
      <c r="JE10">
        <f t="shared" si="172"/>
        <v>0.11237146086790889</v>
      </c>
      <c r="JF10">
        <f t="shared" si="173"/>
        <v>-0.55936607166466012</v>
      </c>
      <c r="JG10">
        <f t="shared" si="174"/>
        <v>-0.95381714107269855</v>
      </c>
      <c r="JH10">
        <f t="shared" si="78"/>
        <v>0.65933563877542911</v>
      </c>
      <c r="JI10">
        <f t="shared" si="79"/>
        <v>-0.75238426697776495</v>
      </c>
      <c r="JJ10">
        <f t="shared" si="80"/>
        <v>0.24514696684685414</v>
      </c>
      <c r="JK10">
        <f t="shared" si="81"/>
        <v>0.15875925574207023</v>
      </c>
      <c r="JL10">
        <f t="shared" si="82"/>
        <v>0.37464085134176095</v>
      </c>
      <c r="JN10" t="s">
        <v>42</v>
      </c>
      <c r="JO10">
        <f t="shared" si="83"/>
        <v>7.2674418604651222E-2</v>
      </c>
      <c r="JP10">
        <f t="shared" si="84"/>
        <v>2.1500061781786668E-2</v>
      </c>
      <c r="JQ10">
        <f t="shared" si="85"/>
        <v>0</v>
      </c>
      <c r="JR10">
        <f t="shared" si="86"/>
        <v>-5.9121443001764251E-2</v>
      </c>
      <c r="JS10">
        <f t="shared" si="87"/>
        <v>-0.10933377219516677</v>
      </c>
      <c r="JT10">
        <f t="shared" si="88"/>
        <v>-0.16528925619834714</v>
      </c>
      <c r="JU10">
        <f t="shared" si="89"/>
        <v>0.10000000000000009</v>
      </c>
      <c r="JV10">
        <f t="shared" si="90"/>
        <v>-1.5589499539453443E-2</v>
      </c>
      <c r="JW10">
        <f t="shared" si="91"/>
        <v>0.17191283292978213</v>
      </c>
      <c r="JX10">
        <f t="shared" si="92"/>
        <v>-2.0710059171597715E-2</v>
      </c>
      <c r="JY10">
        <f t="shared" si="93"/>
        <v>-0.19545386570958587</v>
      </c>
      <c r="KA10" t="s">
        <v>42</v>
      </c>
      <c r="KB10">
        <f t="shared" si="175"/>
        <v>0.60111766671423206</v>
      </c>
      <c r="KC10">
        <f t="shared" si="94"/>
        <v>-0.11081313657519649</v>
      </c>
      <c r="KD10">
        <f t="shared" si="94"/>
        <v>-0.25474568805491693</v>
      </c>
      <c r="KE10">
        <f t="shared" si="94"/>
        <v>-0.95177155726437956</v>
      </c>
      <c r="KF10">
        <f t="shared" si="94"/>
        <v>-1.5566914309662836</v>
      </c>
      <c r="KG10">
        <f t="shared" si="94"/>
        <v>-0.75289676650990089</v>
      </c>
      <c r="KH10">
        <f t="shared" si="94"/>
        <v>0.9232325644791991</v>
      </c>
      <c r="KI10">
        <f t="shared" si="94"/>
        <v>-0.33383216401445726</v>
      </c>
      <c r="KJ10">
        <f t="shared" si="176"/>
        <v>1.0808424520328452</v>
      </c>
      <c r="KK10">
        <f t="shared" si="94"/>
        <v>-1.4132717496494165</v>
      </c>
      <c r="KL10">
        <f t="shared" si="94"/>
        <v>-0.69970932401737274</v>
      </c>
    </row>
    <row r="11" spans="1:298" x14ac:dyDescent="0.35">
      <c r="A11" t="s">
        <v>42</v>
      </c>
      <c r="B11">
        <f>'Sorting Y'!B10/100</f>
        <v>4.8000000000000001E-2</v>
      </c>
      <c r="C11">
        <f>'Sorting Y'!C10/100</f>
        <v>2E-3</v>
      </c>
      <c r="D11">
        <f>'Sorting Y'!D10/100</f>
        <v>3.6900000000000002E-2</v>
      </c>
      <c r="E11">
        <f>'Sorting Y'!E10</f>
        <v>4.1334999999999997</v>
      </c>
      <c r="F11">
        <f>'Sorting Y'!F10/100</f>
        <v>3.3000000000000002E-2</v>
      </c>
      <c r="G11">
        <f>'Sorting Y'!G10</f>
        <v>1690.58</v>
      </c>
      <c r="H11">
        <f>'Sorting Y'!H10</f>
        <v>11527.51</v>
      </c>
      <c r="I11">
        <f>'Sorting Y'!I10/100</f>
        <v>2.8999999999999998E-2</v>
      </c>
      <c r="J11">
        <f>'Sorting Y'!J10/100</f>
        <v>0.02</v>
      </c>
      <c r="K11">
        <f>'Sorting Y'!K10/100</f>
        <v>6.0000000000000001E-3</v>
      </c>
      <c r="L11">
        <f>'Sorting Y'!L10/100</f>
        <v>0.10099999999999999</v>
      </c>
      <c r="M11">
        <f>'Sorting Y'!M10/100</f>
        <v>3.3000000000000002E-2</v>
      </c>
      <c r="N11">
        <f>'Sorting Y'!N10</f>
        <v>1282.49</v>
      </c>
      <c r="O11">
        <f>'Sorting Y'!O10</f>
        <v>96.8</v>
      </c>
      <c r="P11">
        <f>'Sorting Y'!P10</f>
        <v>99.3</v>
      </c>
      <c r="Q11">
        <f>'Sorting Y'!Q10</f>
        <v>53.8</v>
      </c>
      <c r="R11">
        <f>'Sorting Y'!R10/100</f>
        <v>8.4012231617442978E-2</v>
      </c>
      <c r="S11">
        <f>'Sorting Y'!S10/100</f>
        <v>4.2108925236052697E-2</v>
      </c>
      <c r="T11">
        <f>'Sorting Y'!T10/100</f>
        <v>3.2835563843465421E-2</v>
      </c>
      <c r="V11" t="s">
        <v>43</v>
      </c>
      <c r="W11">
        <f t="shared" si="95"/>
        <v>4.8000000000000001E-2</v>
      </c>
      <c r="X11">
        <f t="shared" si="20"/>
        <v>2E-3</v>
      </c>
      <c r="Y11">
        <f t="shared" si="20"/>
        <v>3.6900000000000002E-2</v>
      </c>
      <c r="Z11">
        <f t="shared" si="20"/>
        <v>4.1334999999999997</v>
      </c>
      <c r="AA11">
        <f t="shared" si="20"/>
        <v>3.3000000000000002E-2</v>
      </c>
      <c r="AB11">
        <f t="shared" si="20"/>
        <v>1690.58</v>
      </c>
      <c r="AC11">
        <f t="shared" si="20"/>
        <v>11527.51</v>
      </c>
      <c r="AD11">
        <f t="shared" si="20"/>
        <v>2.8999999999999998E-2</v>
      </c>
      <c r="AE11">
        <f t="shared" si="20"/>
        <v>0.02</v>
      </c>
      <c r="AF11">
        <f t="shared" si="20"/>
        <v>6.0000000000000001E-3</v>
      </c>
      <c r="AG11">
        <f t="shared" si="20"/>
        <v>0.10099999999999999</v>
      </c>
      <c r="AH11">
        <f t="shared" si="20"/>
        <v>3.3000000000000002E-2</v>
      </c>
      <c r="AI11">
        <f t="shared" si="20"/>
        <v>1282.49</v>
      </c>
      <c r="AJ11">
        <f t="shared" si="20"/>
        <v>96.8</v>
      </c>
      <c r="AK11">
        <f t="shared" si="20"/>
        <v>99.3</v>
      </c>
      <c r="AL11">
        <f t="shared" si="20"/>
        <v>53.8</v>
      </c>
      <c r="AM11">
        <f t="shared" si="20"/>
        <v>8.4012231617442978E-2</v>
      </c>
      <c r="AN11">
        <f t="shared" si="20"/>
        <v>4.2108925236052697E-2</v>
      </c>
      <c r="AO11">
        <f t="shared" si="20"/>
        <v>3.2835563843465421E-2</v>
      </c>
      <c r="AQ11" t="s">
        <v>43</v>
      </c>
      <c r="AR11">
        <f t="shared" si="177"/>
        <v>-0.24335598469389674</v>
      </c>
      <c r="AS11">
        <f t="shared" si="21"/>
        <v>-0.59240708201592129</v>
      </c>
      <c r="AT11">
        <f t="shared" si="21"/>
        <v>0.21494141851459686</v>
      </c>
      <c r="AU11">
        <f t="shared" si="21"/>
        <v>0.50790337858848811</v>
      </c>
      <c r="AV11">
        <f t="shared" si="21"/>
        <v>-0.32362629018934386</v>
      </c>
      <c r="AW11">
        <f t="shared" si="21"/>
        <v>-0.87489076875106409</v>
      </c>
      <c r="AX11">
        <f t="shared" si="21"/>
        <v>-0.57146218466633469</v>
      </c>
      <c r="AY11">
        <f t="shared" si="21"/>
        <v>-1.2608513206000662</v>
      </c>
      <c r="AZ11">
        <f t="shared" si="21"/>
        <v>-1.0406229619176266</v>
      </c>
      <c r="BA11">
        <f t="shared" si="21"/>
        <v>-0.46490530370701189</v>
      </c>
      <c r="BB11">
        <f t="shared" si="21"/>
        <v>1.1087430174323428E-2</v>
      </c>
      <c r="BC11">
        <f t="shared" si="21"/>
        <v>0.25125945381480397</v>
      </c>
      <c r="BD11">
        <f t="shared" si="21"/>
        <v>0.32330285777560647</v>
      </c>
      <c r="BE11">
        <f t="shared" si="96"/>
        <v>-0.20266481809964224</v>
      </c>
      <c r="BF11">
        <f t="shared" si="21"/>
        <v>0.12376770570611895</v>
      </c>
      <c r="BG11">
        <f t="shared" si="21"/>
        <v>-0.24795150390115936</v>
      </c>
      <c r="BH11">
        <f t="shared" si="21"/>
        <v>0.70107674609158588</v>
      </c>
      <c r="BI11">
        <f t="shared" si="21"/>
        <v>-0.59971537446031908</v>
      </c>
      <c r="BJ11">
        <f t="shared" si="21"/>
        <v>-1.1620544777725292</v>
      </c>
      <c r="BL11" t="s">
        <v>42</v>
      </c>
      <c r="BM11">
        <f t="shared" si="97"/>
        <v>0.19370393583514089</v>
      </c>
      <c r="BN11">
        <f t="shared" si="98"/>
        <v>-1.182707101223152</v>
      </c>
      <c r="BO11">
        <f t="shared" si="99"/>
        <v>0.80683686041481895</v>
      </c>
      <c r="BP11">
        <f t="shared" si="100"/>
        <v>0.68637478348300551</v>
      </c>
      <c r="BQ11">
        <f t="shared" si="101"/>
        <v>-0.27427716552027442</v>
      </c>
      <c r="BR11">
        <f t="shared" si="102"/>
        <v>0.24523431365635381</v>
      </c>
      <c r="BS11">
        <f t="shared" si="103"/>
        <v>-0.10936365941868068</v>
      </c>
      <c r="BT11">
        <f t="shared" si="104"/>
        <v>3.8212745411134494E-2</v>
      </c>
      <c r="BU11">
        <f t="shared" si="105"/>
        <v>-0.26678451976192991</v>
      </c>
      <c r="BV11">
        <f t="shared" si="106"/>
        <v>-0.38097279626400193</v>
      </c>
      <c r="BW11">
        <f t="shared" si="107"/>
        <v>-1.1595385237088311</v>
      </c>
      <c r="BX11">
        <f t="shared" si="108"/>
        <v>0.85298483070278563</v>
      </c>
      <c r="BY11">
        <f t="shared" si="109"/>
        <v>-0.51446593536868879</v>
      </c>
      <c r="BZ11">
        <f t="shared" si="110"/>
        <v>0.33806487920431955</v>
      </c>
      <c r="CA11">
        <f t="shared" si="23"/>
        <v>-0.20243140855281308</v>
      </c>
      <c r="CB11">
        <f t="shared" si="24"/>
        <v>-0.80020282235379014</v>
      </c>
      <c r="CC11">
        <f t="shared" si="25"/>
        <v>0.78961575017276719</v>
      </c>
      <c r="CD11">
        <f t="shared" si="26"/>
        <v>-6.1480445373083203E-3</v>
      </c>
      <c r="CE11">
        <f t="shared" si="27"/>
        <v>-0.26613184036176746</v>
      </c>
      <c r="CG11" t="s">
        <v>43</v>
      </c>
      <c r="CH11">
        <f t="shared" si="111"/>
        <v>0.16112396005461768</v>
      </c>
      <c r="CI11">
        <f t="shared" si="112"/>
        <v>-1.0940564989176678</v>
      </c>
      <c r="CJ11">
        <f t="shared" si="113"/>
        <v>0.74951104984731809</v>
      </c>
      <c r="CK11">
        <f t="shared" si="114"/>
        <v>0.74022147815144657</v>
      </c>
      <c r="CL11">
        <f t="shared" si="115"/>
        <v>-0.14540168172557666</v>
      </c>
      <c r="CM11">
        <f t="shared" si="116"/>
        <v>0.1621586313646477</v>
      </c>
      <c r="CN11">
        <f t="shared" si="117"/>
        <v>-0.13929505280874335</v>
      </c>
      <c r="CO11">
        <f t="shared" si="118"/>
        <v>0.32630330120205159</v>
      </c>
      <c r="CP11">
        <f t="shared" si="119"/>
        <v>-9.0509118440745259E-2</v>
      </c>
      <c r="CQ11">
        <f t="shared" si="120"/>
        <v>-0.45863251682963457</v>
      </c>
      <c r="CR11">
        <f t="shared" si="121"/>
        <v>-1.2351416402683575</v>
      </c>
      <c r="CS11">
        <f t="shared" si="122"/>
        <v>0.8312094145936324</v>
      </c>
      <c r="CT11">
        <f t="shared" si="123"/>
        <v>-0.40953609929685958</v>
      </c>
      <c r="CU11">
        <f t="shared" si="124"/>
        <v>0.33806487920431955</v>
      </c>
      <c r="CV11">
        <f t="shared" si="29"/>
        <v>-1.9145036492042744E-2</v>
      </c>
      <c r="CW11">
        <f t="shared" si="30"/>
        <v>-0.75191236593078059</v>
      </c>
      <c r="CX11">
        <f t="shared" si="31"/>
        <v>0.7099864268768159</v>
      </c>
      <c r="CY11">
        <f t="shared" si="32"/>
        <v>-4.4643222973475838E-2</v>
      </c>
      <c r="CZ11">
        <f t="shared" si="33"/>
        <v>-0.14487560630606519</v>
      </c>
      <c r="DB11" t="s">
        <v>43</v>
      </c>
      <c r="DC11">
        <f t="shared" si="34"/>
        <v>0.19370393583514089</v>
      </c>
      <c r="DD11">
        <f t="shared" si="35"/>
        <v>-1.182707101223152</v>
      </c>
      <c r="DE11">
        <f t="shared" si="36"/>
        <v>0.80683686041481895</v>
      </c>
      <c r="DF11">
        <f t="shared" si="37"/>
        <v>0.68637478348300551</v>
      </c>
      <c r="DG11">
        <f t="shared" si="38"/>
        <v>-0.27427716552027442</v>
      </c>
      <c r="DH11">
        <f t="shared" si="39"/>
        <v>0.24523431365635381</v>
      </c>
      <c r="DI11">
        <f t="shared" si="40"/>
        <v>-0.10936365941868068</v>
      </c>
      <c r="DJ11">
        <f t="shared" si="41"/>
        <v>3.8212745411134494E-2</v>
      </c>
      <c r="DK11">
        <f t="shared" si="42"/>
        <v>-0.26678451976192991</v>
      </c>
      <c r="DL11">
        <f t="shared" si="43"/>
        <v>-0.38097279626400193</v>
      </c>
      <c r="DM11">
        <f t="shared" si="44"/>
        <v>-1.1595385237088311</v>
      </c>
      <c r="DN11">
        <f t="shared" si="45"/>
        <v>0.85298483070278563</v>
      </c>
      <c r="DO11">
        <f t="shared" si="46"/>
        <v>-0.51446593536868879</v>
      </c>
      <c r="DP11">
        <f t="shared" si="47"/>
        <v>0.33806487920431955</v>
      </c>
      <c r="DQ11">
        <f t="shared" si="48"/>
        <v>-0.20243140855281308</v>
      </c>
      <c r="DR11">
        <f t="shared" si="49"/>
        <v>-0.80020282235379014</v>
      </c>
      <c r="DS11">
        <f t="shared" si="50"/>
        <v>0.78961575017276719</v>
      </c>
      <c r="DT11">
        <f t="shared" si="51"/>
        <v>-6.1480445373083203E-3</v>
      </c>
      <c r="DU11">
        <f t="shared" si="52"/>
        <v>-0.26613184036176746</v>
      </c>
      <c r="DW11" t="s">
        <v>43</v>
      </c>
      <c r="DX11">
        <f t="shared" si="125"/>
        <v>4.4250000000000005E-2</v>
      </c>
      <c r="DY11">
        <f t="shared" si="126"/>
        <v>9.4999999999999998E-3</v>
      </c>
      <c r="DZ11">
        <f t="shared" si="127"/>
        <v>3.4700000000000002E-2</v>
      </c>
      <c r="EA11">
        <f t="shared" si="53"/>
        <v>4.1231749999999998</v>
      </c>
      <c r="EB11">
        <f t="shared" si="128"/>
        <v>3.3250000000000002E-2</v>
      </c>
      <c r="EC11">
        <f t="shared" si="53"/>
        <v>1622.1075000000001</v>
      </c>
      <c r="ED11">
        <f t="shared" si="53"/>
        <v>11465.654999999999</v>
      </c>
      <c r="EE11">
        <f t="shared" si="129"/>
        <v>-0.01</v>
      </c>
      <c r="EF11">
        <f t="shared" si="130"/>
        <v>-2.375E-2</v>
      </c>
      <c r="EG11">
        <f t="shared" si="131"/>
        <v>-2.1000000000000001E-2</v>
      </c>
      <c r="EH11">
        <f t="shared" si="132"/>
        <v>0.125</v>
      </c>
      <c r="EI11">
        <f t="shared" si="133"/>
        <v>3.0750000000000003E-2</v>
      </c>
      <c r="EJ11">
        <f t="shared" si="53"/>
        <v>1422.9225000000001</v>
      </c>
      <c r="EK11" t="e">
        <f t="shared" si="53"/>
        <v>#N/A</v>
      </c>
      <c r="EL11">
        <f t="shared" si="53"/>
        <v>100.625</v>
      </c>
      <c r="EM11">
        <f t="shared" si="53"/>
        <v>65.430000000000007</v>
      </c>
      <c r="EN11">
        <f t="shared" si="134"/>
        <v>7.6942209331376021E-2</v>
      </c>
      <c r="EO11">
        <f t="shared" si="135"/>
        <v>1.7263717701017534E-2</v>
      </c>
      <c r="EP11">
        <f t="shared" si="136"/>
        <v>2.4616784448530157E-2</v>
      </c>
      <c r="ER11" t="s">
        <v>42</v>
      </c>
      <c r="ES11">
        <f t="shared" si="54"/>
        <v>4.8499999999999995E-2</v>
      </c>
      <c r="ET11">
        <f t="shared" si="55"/>
        <v>6.5000000000000006E-3</v>
      </c>
      <c r="EU11">
        <f t="shared" si="56"/>
        <v>3.6900000000000002E-2</v>
      </c>
      <c r="EV11">
        <f t="shared" si="57"/>
        <v>4.04345</v>
      </c>
      <c r="EW11">
        <f t="shared" si="58"/>
        <v>3.3250000000000002E-2</v>
      </c>
      <c r="EX11">
        <f t="shared" si="59"/>
        <v>1759.6725000000001</v>
      </c>
      <c r="EY11">
        <f t="shared" si="60"/>
        <v>12266.8125</v>
      </c>
      <c r="EZ11">
        <f t="shared" si="61"/>
        <v>1.925E-2</v>
      </c>
      <c r="FA11">
        <f t="shared" si="62"/>
        <v>1.4999999999999999E-2</v>
      </c>
      <c r="FB11">
        <f t="shared" si="63"/>
        <v>1.3249999999999998E-2</v>
      </c>
      <c r="FC11">
        <f t="shared" si="64"/>
        <v>0.11675000000000001</v>
      </c>
      <c r="FD11">
        <f t="shared" si="65"/>
        <v>3.3000000000000002E-2</v>
      </c>
      <c r="FE11">
        <f t="shared" si="66"/>
        <v>1262.8625</v>
      </c>
      <c r="FF11">
        <f t="shared" si="67"/>
        <v>107.05</v>
      </c>
      <c r="FG11">
        <f t="shared" si="68"/>
        <v>100.575</v>
      </c>
      <c r="FH11">
        <f t="shared" si="69"/>
        <v>71.55749999999999</v>
      </c>
      <c r="FI11">
        <f t="shared" si="70"/>
        <v>7.9556127750951777E-2</v>
      </c>
      <c r="FJ11">
        <f t="shared" si="71"/>
        <v>3.281999248773726E-2</v>
      </c>
      <c r="FK11">
        <f t="shared" si="72"/>
        <v>3.0875522818185449E-2</v>
      </c>
      <c r="FM11" t="s">
        <v>43</v>
      </c>
      <c r="FN11">
        <f t="shared" si="137"/>
        <v>0.12681952742403485</v>
      </c>
      <c r="FO11">
        <f t="shared" si="73"/>
        <v>-0.67707649931745595</v>
      </c>
      <c r="FP11">
        <f t="shared" si="73"/>
        <v>0.43960219708045789</v>
      </c>
      <c r="FQ11">
        <f t="shared" si="73"/>
        <v>0.68520372271666896</v>
      </c>
      <c r="FR11">
        <f t="shared" si="73"/>
        <v>-0.22182854503383906</v>
      </c>
      <c r="FS11">
        <f t="shared" si="73"/>
        <v>-0.38139427855416741</v>
      </c>
      <c r="FT11">
        <f t="shared" si="73"/>
        <v>-0.234985850769871</v>
      </c>
      <c r="FU11">
        <f t="shared" si="73"/>
        <v>-0.5392580231455304</v>
      </c>
      <c r="FV11">
        <f t="shared" si="73"/>
        <v>-0.85190683094256947</v>
      </c>
      <c r="FW11">
        <f t="shared" si="73"/>
        <v>-0.66987458006675604</v>
      </c>
      <c r="FX11">
        <f t="shared" si="73"/>
        <v>-0.84422226671791556</v>
      </c>
      <c r="FY11">
        <f t="shared" si="73"/>
        <v>0.37866082591137734</v>
      </c>
      <c r="FZ11">
        <f t="shared" si="73"/>
        <v>-1.6397950333203081E-2</v>
      </c>
      <c r="GA11" t="e">
        <f t="shared" si="138"/>
        <v>#N/A</v>
      </c>
      <c r="GB11">
        <f t="shared" si="73"/>
        <v>7.0091496164875422E-2</v>
      </c>
      <c r="GC11">
        <f t="shared" si="73"/>
        <v>-0.37391282770663092</v>
      </c>
      <c r="GD11">
        <f t="shared" si="73"/>
        <v>0.56397464067536585</v>
      </c>
      <c r="GE11">
        <f t="shared" si="73"/>
        <v>-1.1343831867418848</v>
      </c>
      <c r="GF11">
        <f t="shared" si="73"/>
        <v>-0.33542138213796052</v>
      </c>
      <c r="GH11" t="s">
        <v>42</v>
      </c>
      <c r="GI11">
        <f t="shared" si="139"/>
        <v>0.1663151431075581</v>
      </c>
      <c r="GJ11">
        <f t="shared" si="74"/>
        <v>-0.91865749374892003</v>
      </c>
      <c r="GK11">
        <f t="shared" si="74"/>
        <v>0.89922161831878777</v>
      </c>
      <c r="GL11">
        <f t="shared" si="74"/>
        <v>0.61533666428355105</v>
      </c>
      <c r="GM11">
        <f t="shared" si="74"/>
        <v>-0.20878644400347027</v>
      </c>
      <c r="GN11">
        <f t="shared" si="74"/>
        <v>0.87909048854782912</v>
      </c>
      <c r="GO11">
        <f t="shared" si="74"/>
        <v>0.82534814137958479</v>
      </c>
      <c r="GP11">
        <f t="shared" si="74"/>
        <v>-0.19503019877503858</v>
      </c>
      <c r="GQ11">
        <f t="shared" si="74"/>
        <v>-0.40056331531852418</v>
      </c>
      <c r="GR11">
        <f t="shared" si="74"/>
        <v>-0.32960034045909153</v>
      </c>
      <c r="GS11">
        <f t="shared" si="74"/>
        <v>-0.91658185022155747</v>
      </c>
      <c r="GT11">
        <f t="shared" si="74"/>
        <v>0.90744361987186384</v>
      </c>
      <c r="GU11">
        <f t="shared" si="74"/>
        <v>-0.67709490580656273</v>
      </c>
      <c r="GV11">
        <f t="shared" si="140"/>
        <v>0.59809343409484483</v>
      </c>
      <c r="GW11">
        <f t="shared" si="74"/>
        <v>0.1880397717813253</v>
      </c>
      <c r="GX11">
        <f t="shared" si="74"/>
        <v>-0.17510159288426824</v>
      </c>
      <c r="GY11">
        <f t="shared" si="74"/>
        <v>0.63435956526431436</v>
      </c>
      <c r="GZ11">
        <f t="shared" si="74"/>
        <v>-0.62759300794406792</v>
      </c>
      <c r="HA11">
        <f t="shared" si="74"/>
        <v>-0.22580625493015719</v>
      </c>
      <c r="HC11" t="s">
        <v>43</v>
      </c>
      <c r="HD11">
        <f t="shared" si="141"/>
        <v>0.1663151431075581</v>
      </c>
      <c r="HE11">
        <f t="shared" si="75"/>
        <v>-0.91865749374892003</v>
      </c>
      <c r="HF11">
        <f t="shared" si="75"/>
        <v>0.89922161831878777</v>
      </c>
      <c r="HG11">
        <f t="shared" si="75"/>
        <v>0.61533666428355105</v>
      </c>
      <c r="HH11">
        <f t="shared" si="75"/>
        <v>-0.20878644400347027</v>
      </c>
      <c r="HI11">
        <f t="shared" si="75"/>
        <v>0.87909048854782912</v>
      </c>
      <c r="HJ11">
        <f t="shared" si="75"/>
        <v>0.82534814137958479</v>
      </c>
      <c r="HK11">
        <f t="shared" si="75"/>
        <v>-0.19503019877503858</v>
      </c>
      <c r="HL11">
        <f t="shared" si="75"/>
        <v>-0.40056331531852418</v>
      </c>
      <c r="HM11">
        <f t="shared" si="75"/>
        <v>-0.32960034045909153</v>
      </c>
      <c r="HN11">
        <f t="shared" si="75"/>
        <v>-0.91658185022155747</v>
      </c>
      <c r="HO11">
        <f t="shared" si="75"/>
        <v>0.90744361987186384</v>
      </c>
      <c r="HP11">
        <f t="shared" si="75"/>
        <v>-0.67709490580656273</v>
      </c>
      <c r="HQ11">
        <f t="shared" si="75"/>
        <v>0.59809343409484483</v>
      </c>
      <c r="HR11">
        <f t="shared" si="75"/>
        <v>0.1880397717813253</v>
      </c>
      <c r="HS11">
        <f t="shared" si="75"/>
        <v>-0.17510159288426824</v>
      </c>
      <c r="HT11">
        <f t="shared" si="75"/>
        <v>0.63435956526431436</v>
      </c>
      <c r="HU11">
        <f t="shared" si="75"/>
        <v>-0.62759300794406792</v>
      </c>
      <c r="HV11">
        <f t="shared" si="75"/>
        <v>-0.22580625493015719</v>
      </c>
      <c r="HX11" t="s">
        <v>43</v>
      </c>
      <c r="HY11">
        <f t="shared" si="142"/>
        <v>4.8499999999999995E-2</v>
      </c>
      <c r="HZ11">
        <f t="shared" si="143"/>
        <v>6.5000000000000006E-3</v>
      </c>
      <c r="IA11">
        <f t="shared" si="144"/>
        <v>3.6900000000000002E-2</v>
      </c>
      <c r="IB11">
        <f t="shared" si="145"/>
        <v>4.04345</v>
      </c>
      <c r="IC11">
        <f t="shared" si="146"/>
        <v>3.3250000000000002E-2</v>
      </c>
      <c r="ID11">
        <f t="shared" si="147"/>
        <v>1759.6725000000001</v>
      </c>
      <c r="IE11">
        <f t="shared" si="148"/>
        <v>12266.8125</v>
      </c>
      <c r="IF11">
        <f t="shared" si="149"/>
        <v>1.925E-2</v>
      </c>
      <c r="IG11">
        <f t="shared" si="150"/>
        <v>1.4999999999999999E-2</v>
      </c>
      <c r="IH11">
        <f t="shared" si="151"/>
        <v>1.3249999999999998E-2</v>
      </c>
      <c r="II11">
        <f t="shared" si="152"/>
        <v>0.11675000000000001</v>
      </c>
      <c r="IJ11">
        <f t="shared" si="153"/>
        <v>3.3000000000000002E-2</v>
      </c>
      <c r="IK11">
        <f t="shared" si="154"/>
        <v>1262.8625</v>
      </c>
      <c r="IL11">
        <f t="shared" si="155"/>
        <v>107.05</v>
      </c>
      <c r="IM11">
        <f t="shared" si="156"/>
        <v>100.575</v>
      </c>
      <c r="IN11">
        <f t="shared" si="157"/>
        <v>71.55749999999999</v>
      </c>
      <c r="IO11">
        <f t="shared" si="158"/>
        <v>7.9556127750951777E-2</v>
      </c>
      <c r="IP11">
        <f t="shared" si="159"/>
        <v>3.281999248773726E-2</v>
      </c>
      <c r="IQ11">
        <f t="shared" si="160"/>
        <v>3.0875522818185449E-2</v>
      </c>
      <c r="IS11" t="s">
        <v>43</v>
      </c>
      <c r="IT11">
        <f t="shared" si="161"/>
        <v>0.14069647246322195</v>
      </c>
      <c r="IU11">
        <f t="shared" si="162"/>
        <v>-0.84196117314752938</v>
      </c>
      <c r="IV11">
        <f t="shared" si="163"/>
        <v>0.90763241108258752</v>
      </c>
      <c r="IW11">
        <f t="shared" si="164"/>
        <v>0.68552118728772204</v>
      </c>
      <c r="IX11">
        <f t="shared" si="165"/>
        <v>-2.6024094475572579E-2</v>
      </c>
      <c r="IY11">
        <f t="shared" si="166"/>
        <v>0.79748680725300469</v>
      </c>
      <c r="IZ11">
        <f t="shared" si="167"/>
        <v>0.77662389856297442</v>
      </c>
      <c r="JA11">
        <f t="shared" si="168"/>
        <v>-1.7112960837287465E-2</v>
      </c>
      <c r="JB11">
        <f t="shared" si="169"/>
        <v>-0.27286188912529691</v>
      </c>
      <c r="JC11">
        <f t="shared" si="170"/>
        <v>-0.36391986429383999</v>
      </c>
      <c r="JD11">
        <f t="shared" si="171"/>
        <v>-1.0257942219422769</v>
      </c>
      <c r="JE11">
        <f t="shared" si="172"/>
        <v>0.93642884056590425</v>
      </c>
      <c r="JF11">
        <f t="shared" si="173"/>
        <v>-0.58639133365886642</v>
      </c>
      <c r="JG11">
        <f t="shared" si="174"/>
        <v>0.59809343409484483</v>
      </c>
      <c r="JH11">
        <f t="shared" si="78"/>
        <v>0.5022622709692296</v>
      </c>
      <c r="JI11">
        <f t="shared" si="79"/>
        <v>-0.17468489673241891</v>
      </c>
      <c r="JJ11">
        <f t="shared" si="80"/>
        <v>0.54733937085335793</v>
      </c>
      <c r="JK11">
        <f t="shared" si="81"/>
        <v>-0.58494844604103158</v>
      </c>
      <c r="JL11">
        <f t="shared" si="82"/>
        <v>-0.10624740183716892</v>
      </c>
      <c r="JN11" t="s">
        <v>43</v>
      </c>
      <c r="JO11">
        <f t="shared" si="83"/>
        <v>-9.2140921409214094E-2</v>
      </c>
      <c r="JP11">
        <f t="shared" si="84"/>
        <v>-1.0281843474053354E-2</v>
      </c>
      <c r="JQ11">
        <f t="shared" si="85"/>
        <v>0</v>
      </c>
      <c r="JR11">
        <f t="shared" si="86"/>
        <v>-6.0227850796767936E-2</v>
      </c>
      <c r="JS11">
        <f t="shared" si="87"/>
        <v>-1.769853159962563E-2</v>
      </c>
      <c r="JT11">
        <f t="shared" si="88"/>
        <v>0.45544554455445546</v>
      </c>
      <c r="JU11">
        <f t="shared" si="89"/>
        <v>-9.0909090909090981E-2</v>
      </c>
      <c r="JV11">
        <f t="shared" si="90"/>
        <v>0.18306575489867366</v>
      </c>
      <c r="JW11">
        <f t="shared" si="91"/>
        <v>-0.13223140495867766</v>
      </c>
      <c r="JX11">
        <f t="shared" si="92"/>
        <v>2.3162134944612257E-2</v>
      </c>
      <c r="JY11">
        <f t="shared" si="93"/>
        <v>0.22676579925650564</v>
      </c>
      <c r="KA11" t="s">
        <v>43</v>
      </c>
      <c r="KB11">
        <f t="shared" si="175"/>
        <v>-0.47037524996791208</v>
      </c>
      <c r="KC11">
        <f t="shared" si="94"/>
        <v>-0.49934204021243689</v>
      </c>
      <c r="KD11">
        <f t="shared" si="94"/>
        <v>-0.25474568805491693</v>
      </c>
      <c r="KE11">
        <f t="shared" si="94"/>
        <v>-0.96822867911007449</v>
      </c>
      <c r="KF11">
        <f t="shared" si="94"/>
        <v>-0.36633872287593061</v>
      </c>
      <c r="KG11">
        <f t="shared" si="94"/>
        <v>1.3301605205430858</v>
      </c>
      <c r="KH11">
        <f t="shared" si="94"/>
        <v>-0.4514148174387248</v>
      </c>
      <c r="KI11">
        <f t="shared" si="94"/>
        <v>1.0151037020634317</v>
      </c>
      <c r="KJ11">
        <f t="shared" si="176"/>
        <v>-0.62310096552211691</v>
      </c>
      <c r="KK11">
        <f t="shared" si="94"/>
        <v>0.2870630926568441</v>
      </c>
      <c r="KL11">
        <f t="shared" si="94"/>
        <v>0.59933141446518179</v>
      </c>
    </row>
    <row r="12" spans="1:298" x14ac:dyDescent="0.35">
      <c r="A12" t="s">
        <v>43</v>
      </c>
      <c r="B12">
        <f>'Sorting Y'!B11/100</f>
        <v>3.6000000000000004E-2</v>
      </c>
      <c r="C12">
        <f>'Sorting Y'!C11/100</f>
        <v>0.01</v>
      </c>
      <c r="D12">
        <f>'Sorting Y'!D11/100</f>
        <v>3.3500000000000002E-2</v>
      </c>
      <c r="E12">
        <f>'Sorting Y'!E11</f>
        <v>4.0910000000000002</v>
      </c>
      <c r="F12">
        <f>'Sorting Y'!F11/100</f>
        <v>3.3000000000000002E-2</v>
      </c>
      <c r="G12">
        <f>'Sorting Y'!G11</f>
        <v>1588.76</v>
      </c>
      <c r="H12">
        <f>'Sorting Y'!H11</f>
        <v>11323.49</v>
      </c>
      <c r="I12">
        <f>'Sorting Y'!I11/100</f>
        <v>-3.3000000000000002E-2</v>
      </c>
      <c r="J12">
        <f>'Sorting Y'!J11/100</f>
        <v>-2.3E-2</v>
      </c>
      <c r="K12">
        <f>'Sorting Y'!K11/100</f>
        <v>-6.9999999999999993E-3</v>
      </c>
      <c r="L12">
        <f>'Sorting Y'!L11/100</f>
        <v>0.14699999999999999</v>
      </c>
      <c r="M12">
        <f>'Sorting Y'!M11/100</f>
        <v>0.03</v>
      </c>
      <c r="N12">
        <f>'Sorting Y'!N11</f>
        <v>1517.27</v>
      </c>
      <c r="O12">
        <f>'Sorting Y'!O11</f>
        <v>84</v>
      </c>
      <c r="P12">
        <f>'Sorting Y'!P11</f>
        <v>101.6</v>
      </c>
      <c r="Q12">
        <f>'Sorting Y'!Q11</f>
        <v>66</v>
      </c>
      <c r="R12">
        <f>'Sorting Y'!R11/100</f>
        <v>8.1470646419487883E-2</v>
      </c>
      <c r="S12">
        <f>'Sorting Y'!S11/100</f>
        <v>5.7641198475015809E-3</v>
      </c>
      <c r="T12">
        <f>'Sorting Y'!T11/100</f>
        <v>1.3072590684449326E-2</v>
      </c>
      <c r="V12" t="s">
        <v>44</v>
      </c>
      <c r="W12">
        <f t="shared" si="95"/>
        <v>3.6000000000000004E-2</v>
      </c>
      <c r="X12">
        <f t="shared" si="20"/>
        <v>0.01</v>
      </c>
      <c r="Y12">
        <f t="shared" si="20"/>
        <v>3.3500000000000002E-2</v>
      </c>
      <c r="Z12">
        <f t="shared" si="20"/>
        <v>4.0910000000000002</v>
      </c>
      <c r="AA12">
        <f t="shared" si="20"/>
        <v>3.3000000000000002E-2</v>
      </c>
      <c r="AB12">
        <f t="shared" si="20"/>
        <v>1588.76</v>
      </c>
      <c r="AC12">
        <f t="shared" si="20"/>
        <v>11323.49</v>
      </c>
      <c r="AD12">
        <f t="shared" si="20"/>
        <v>-3.3000000000000002E-2</v>
      </c>
      <c r="AE12">
        <f t="shared" si="20"/>
        <v>-2.3E-2</v>
      </c>
      <c r="AF12">
        <f t="shared" si="20"/>
        <v>-6.9999999999999993E-3</v>
      </c>
      <c r="AG12">
        <f t="shared" si="20"/>
        <v>0.14699999999999999</v>
      </c>
      <c r="AH12">
        <f t="shared" si="20"/>
        <v>0.03</v>
      </c>
      <c r="AI12">
        <f t="shared" si="20"/>
        <v>1517.27</v>
      </c>
      <c r="AJ12">
        <f t="shared" si="20"/>
        <v>84</v>
      </c>
      <c r="AK12">
        <f t="shared" si="20"/>
        <v>101.6</v>
      </c>
      <c r="AL12">
        <f t="shared" si="20"/>
        <v>66</v>
      </c>
      <c r="AM12">
        <f t="shared" si="20"/>
        <v>8.1470646419487883E-2</v>
      </c>
      <c r="AN12">
        <f t="shared" si="20"/>
        <v>5.7641198475015809E-3</v>
      </c>
      <c r="AO12">
        <f t="shared" si="20"/>
        <v>1.3072590684449326E-2</v>
      </c>
      <c r="AQ12" t="s">
        <v>44</v>
      </c>
      <c r="AR12">
        <f t="shared" si="177"/>
        <v>-2.8448657365624572</v>
      </c>
      <c r="AS12">
        <f t="shared" si="21"/>
        <v>-2.1563617785379523</v>
      </c>
      <c r="AT12">
        <f t="shared" si="21"/>
        <v>-1.9783095033021065</v>
      </c>
      <c r="AU12">
        <f t="shared" si="21"/>
        <v>0.36511465085531747</v>
      </c>
      <c r="AV12">
        <f t="shared" si="21"/>
        <v>2.3462906038727458</v>
      </c>
      <c r="AW12">
        <f t="shared" si="21"/>
        <v>-0.49601270407833858</v>
      </c>
      <c r="AX12">
        <f t="shared" si="21"/>
        <v>5.3042582316469016E-2</v>
      </c>
      <c r="AY12">
        <f t="shared" si="21"/>
        <v>-0.96930311733818908</v>
      </c>
      <c r="AZ12">
        <f t="shared" si="21"/>
        <v>-1.2456968680935758</v>
      </c>
      <c r="BA12">
        <f t="shared" si="21"/>
        <v>-2.1049502526442843</v>
      </c>
      <c r="BB12">
        <f t="shared" si="21"/>
        <v>0.77334825465910051</v>
      </c>
      <c r="BC12">
        <f t="shared" si="21"/>
        <v>-1.9598237397554787</v>
      </c>
      <c r="BD12">
        <f t="shared" si="21"/>
        <v>1.6455553375964485</v>
      </c>
      <c r="BE12" t="e">
        <f t="shared" si="96"/>
        <v>#N/A</v>
      </c>
      <c r="BF12">
        <f t="shared" si="21"/>
        <v>1.5810888602176156</v>
      </c>
      <c r="BG12">
        <f t="shared" si="21"/>
        <v>-0.79367540004546233</v>
      </c>
      <c r="BH12">
        <f t="shared" si="21"/>
        <v>-2.7345539896709368</v>
      </c>
      <c r="BI12">
        <f t="shared" si="21"/>
        <v>0.16945462899758804</v>
      </c>
      <c r="BJ12">
        <f t="shared" si="21"/>
        <v>-1.8605381714176874</v>
      </c>
      <c r="BL12" t="s">
        <v>43</v>
      </c>
      <c r="BM12">
        <f t="shared" si="97"/>
        <v>-0.27906499230486392</v>
      </c>
      <c r="BN12">
        <f t="shared" si="98"/>
        <v>-0.63684228527400499</v>
      </c>
      <c r="BO12">
        <f t="shared" si="99"/>
        <v>0.25543076485494343</v>
      </c>
      <c r="BP12">
        <f t="shared" si="100"/>
        <v>0.60465968483780042</v>
      </c>
      <c r="BQ12">
        <f t="shared" si="101"/>
        <v>-0.27427716552027442</v>
      </c>
      <c r="BR12">
        <f t="shared" si="102"/>
        <v>-0.70590397094471891</v>
      </c>
      <c r="BS12">
        <f t="shared" si="103"/>
        <v>-0.37277637170955863</v>
      </c>
      <c r="BT12">
        <f t="shared" si="104"/>
        <v>-1.3156102348690579</v>
      </c>
      <c r="BU12">
        <f t="shared" si="105"/>
        <v>-1.1061797160860507</v>
      </c>
      <c r="BV12">
        <f t="shared" si="106"/>
        <v>-0.56440414261333616</v>
      </c>
      <c r="BW12">
        <f t="shared" si="107"/>
        <v>0.14405672086810312</v>
      </c>
      <c r="BX12">
        <f t="shared" si="108"/>
        <v>0.27359890796126979</v>
      </c>
      <c r="BY12">
        <f t="shared" si="109"/>
        <v>0.33989728540238212</v>
      </c>
      <c r="BZ12">
        <f t="shared" si="110"/>
        <v>-0.34446358354257117</v>
      </c>
      <c r="CA12">
        <f t="shared" si="23"/>
        <v>0.22734604345161658</v>
      </c>
      <c r="CB12">
        <f t="shared" si="24"/>
        <v>-0.32421674567332959</v>
      </c>
      <c r="CC12">
        <f t="shared" si="25"/>
        <v>0.71007168943737187</v>
      </c>
      <c r="CD12">
        <f t="shared" si="26"/>
        <v>-0.61048036001028172</v>
      </c>
      <c r="CE12">
        <f t="shared" si="27"/>
        <v>-1.2139986613878153</v>
      </c>
      <c r="CG12" t="s">
        <v>44</v>
      </c>
      <c r="CH12">
        <f t="shared" si="111"/>
        <v>-0.29139439584345711</v>
      </c>
      <c r="CI12">
        <f t="shared" si="112"/>
        <v>-0.5531746342842141</v>
      </c>
      <c r="CJ12">
        <f t="shared" si="113"/>
        <v>0.10212737168820449</v>
      </c>
      <c r="CK12">
        <f t="shared" si="114"/>
        <v>0.6600478245509559</v>
      </c>
      <c r="CL12">
        <f t="shared" si="115"/>
        <v>-0.14540168172557666</v>
      </c>
      <c r="CM12">
        <f t="shared" si="116"/>
        <v>-0.7838821557018808</v>
      </c>
      <c r="CN12">
        <f t="shared" si="117"/>
        <v>-0.39238265414169737</v>
      </c>
      <c r="CO12">
        <f t="shared" si="118"/>
        <v>-1.4977856448618758</v>
      </c>
      <c r="CP12">
        <f t="shared" si="119"/>
        <v>-1.1882222728631169</v>
      </c>
      <c r="CQ12">
        <f t="shared" si="120"/>
        <v>-0.64081154434807275</v>
      </c>
      <c r="CR12">
        <f t="shared" si="121"/>
        <v>6.1500828561079801E-2</v>
      </c>
      <c r="CS12">
        <f t="shared" si="122"/>
        <v>0.10936965981494998</v>
      </c>
      <c r="CT12">
        <f t="shared" si="123"/>
        <v>0.51032799821756358</v>
      </c>
      <c r="CU12">
        <f t="shared" si="124"/>
        <v>-0.34446358354257117</v>
      </c>
      <c r="CV12">
        <f t="shared" si="29"/>
        <v>0.51904321156197564</v>
      </c>
      <c r="CW12">
        <f t="shared" si="30"/>
        <v>-0.29766441640385699</v>
      </c>
      <c r="CX12">
        <f t="shared" si="31"/>
        <v>0.63228175519346197</v>
      </c>
      <c r="CY12">
        <f t="shared" si="32"/>
        <v>-0.62652614888879887</v>
      </c>
      <c r="CZ12">
        <f t="shared" si="33"/>
        <v>-1.1583373581359184</v>
      </c>
      <c r="DB12" t="s">
        <v>44</v>
      </c>
      <c r="DC12">
        <f t="shared" si="34"/>
        <v>-0.27906499230486392</v>
      </c>
      <c r="DD12">
        <f t="shared" si="35"/>
        <v>-0.63684228527400499</v>
      </c>
      <c r="DE12">
        <f t="shared" si="36"/>
        <v>0.25543076485494343</v>
      </c>
      <c r="DF12">
        <f t="shared" si="37"/>
        <v>0.60465968483780042</v>
      </c>
      <c r="DG12">
        <f t="shared" si="38"/>
        <v>-0.27427716552027442</v>
      </c>
      <c r="DH12">
        <f t="shared" si="39"/>
        <v>-0.70590397094471891</v>
      </c>
      <c r="DI12">
        <f t="shared" si="40"/>
        <v>-0.37277637170955863</v>
      </c>
      <c r="DJ12">
        <f t="shared" si="41"/>
        <v>-1.3156102348690579</v>
      </c>
      <c r="DK12">
        <f t="shared" si="42"/>
        <v>-1.1061797160860507</v>
      </c>
      <c r="DL12">
        <f t="shared" si="43"/>
        <v>-0.56440414261333616</v>
      </c>
      <c r="DM12">
        <f t="shared" si="44"/>
        <v>0.14405672086810312</v>
      </c>
      <c r="DN12">
        <f t="shared" si="45"/>
        <v>0.27359890796126979</v>
      </c>
      <c r="DO12">
        <f t="shared" si="46"/>
        <v>0.33989728540238212</v>
      </c>
      <c r="DP12">
        <f t="shared" si="47"/>
        <v>-0.34446358354257117</v>
      </c>
      <c r="DQ12">
        <f t="shared" si="48"/>
        <v>0.22734604345161658</v>
      </c>
      <c r="DR12">
        <f t="shared" si="49"/>
        <v>-0.32421674567332959</v>
      </c>
      <c r="DS12">
        <f t="shared" si="50"/>
        <v>0.71007168943737187</v>
      </c>
      <c r="DT12">
        <f t="shared" si="51"/>
        <v>-0.61048036001028172</v>
      </c>
      <c r="DU12">
        <f t="shared" si="52"/>
        <v>-1.2139986613878153</v>
      </c>
      <c r="DW12" t="s">
        <v>44</v>
      </c>
      <c r="DX12">
        <f t="shared" si="125"/>
        <v>-5.5500000000000008E-2</v>
      </c>
      <c r="DY12">
        <f t="shared" si="126"/>
        <v>-1.225E-2</v>
      </c>
      <c r="DZ12">
        <f t="shared" si="127"/>
        <v>2.2475000000000002E-2</v>
      </c>
      <c r="EA12">
        <f t="shared" si="53"/>
        <v>4.1960749999999996</v>
      </c>
      <c r="EB12">
        <f t="shared" si="128"/>
        <v>4.5499999999999999E-2</v>
      </c>
      <c r="EC12">
        <f t="shared" si="53"/>
        <v>1495.9725000000001</v>
      </c>
      <c r="ED12">
        <f t="shared" si="53"/>
        <v>10596.32</v>
      </c>
      <c r="EE12">
        <f t="shared" si="129"/>
        <v>-8.6500000000000007E-2</v>
      </c>
      <c r="EF12">
        <f t="shared" si="130"/>
        <v>-7.9000000000000001E-2</v>
      </c>
      <c r="EG12">
        <f t="shared" si="131"/>
        <v>-0.14124999999999999</v>
      </c>
      <c r="EH12">
        <f t="shared" si="132"/>
        <v>0.13725000000000001</v>
      </c>
      <c r="EI12">
        <f t="shared" si="133"/>
        <v>2.0250000000000001E-2</v>
      </c>
      <c r="EJ12">
        <f t="shared" si="53"/>
        <v>1785.58</v>
      </c>
      <c r="EK12" t="e">
        <f t="shared" si="53"/>
        <v>#N/A</v>
      </c>
      <c r="EL12">
        <f t="shared" si="53"/>
        <v>105.125</v>
      </c>
      <c r="EM12">
        <f t="shared" si="53"/>
        <v>39.159999999999997</v>
      </c>
      <c r="EN12">
        <f t="shared" si="134"/>
        <v>-4.2040348382072351E-2</v>
      </c>
      <c r="EO12">
        <f t="shared" si="135"/>
        <v>4.9094987311452003E-2</v>
      </c>
      <c r="EP12">
        <f t="shared" si="136"/>
        <v>-4.0884836255617889E-2</v>
      </c>
      <c r="ER12" t="s">
        <v>43</v>
      </c>
      <c r="ES12">
        <f t="shared" si="54"/>
        <v>4.4250000000000005E-2</v>
      </c>
      <c r="ET12">
        <f t="shared" si="55"/>
        <v>9.4999999999999998E-3</v>
      </c>
      <c r="EU12">
        <f t="shared" si="56"/>
        <v>3.4700000000000002E-2</v>
      </c>
      <c r="EV12">
        <f t="shared" si="57"/>
        <v>4.1231749999999998</v>
      </c>
      <c r="EW12">
        <f t="shared" si="58"/>
        <v>3.3250000000000002E-2</v>
      </c>
      <c r="EX12">
        <f t="shared" si="59"/>
        <v>1622.1075000000001</v>
      </c>
      <c r="EY12">
        <f t="shared" si="60"/>
        <v>11465.654999999999</v>
      </c>
      <c r="EZ12">
        <f t="shared" si="61"/>
        <v>-0.01</v>
      </c>
      <c r="FA12">
        <f t="shared" si="62"/>
        <v>-2.375E-2</v>
      </c>
      <c r="FB12">
        <f t="shared" si="63"/>
        <v>-2.1000000000000001E-2</v>
      </c>
      <c r="FC12">
        <f t="shared" si="64"/>
        <v>0.125</v>
      </c>
      <c r="FD12">
        <f t="shared" si="65"/>
        <v>3.0750000000000003E-2</v>
      </c>
      <c r="FE12">
        <f t="shared" si="66"/>
        <v>1422.9225000000001</v>
      </c>
      <c r="FF12" t="e">
        <f t="shared" si="67"/>
        <v>#N/A</v>
      </c>
      <c r="FG12">
        <f t="shared" si="68"/>
        <v>100.625</v>
      </c>
      <c r="FH12">
        <f t="shared" si="69"/>
        <v>65.430000000000007</v>
      </c>
      <c r="FI12">
        <f t="shared" si="70"/>
        <v>7.6942209331376021E-2</v>
      </c>
      <c r="FJ12">
        <f t="shared" si="71"/>
        <v>1.7263717701017534E-2</v>
      </c>
      <c r="FK12">
        <f t="shared" si="72"/>
        <v>2.4616784448530157E-2</v>
      </c>
      <c r="FM12" t="s">
        <v>44</v>
      </c>
      <c r="FN12">
        <f t="shared" si="137"/>
        <v>-2.9483788475156807</v>
      </c>
      <c r="FO12">
        <f t="shared" si="73"/>
        <v>-2.194552400598031</v>
      </c>
      <c r="FP12">
        <f t="shared" si="73"/>
        <v>-1.6585523886300892</v>
      </c>
      <c r="FQ12">
        <f t="shared" si="73"/>
        <v>0.83355738191248319</v>
      </c>
      <c r="FR12">
        <f t="shared" si="73"/>
        <v>1.9132712009168731</v>
      </c>
      <c r="FS12">
        <f t="shared" si="73"/>
        <v>-1.4918372891244176</v>
      </c>
      <c r="FT12">
        <f t="shared" si="73"/>
        <v>-1.3532832795264906</v>
      </c>
      <c r="FU12">
        <f t="shared" si="73"/>
        <v>-1.7334307244006988</v>
      </c>
      <c r="FV12">
        <f t="shared" si="73"/>
        <v>-1.6669345782945515</v>
      </c>
      <c r="FW12">
        <f t="shared" si="73"/>
        <v>-2.1742491145036005</v>
      </c>
      <c r="FX12">
        <f t="shared" si="73"/>
        <v>-0.54505342926823963</v>
      </c>
      <c r="FY12">
        <f t="shared" si="73"/>
        <v>-1.729065699041108</v>
      </c>
      <c r="FZ12">
        <f t="shared" si="73"/>
        <v>1.5677937649322951</v>
      </c>
      <c r="GA12" t="e">
        <f t="shared" si="138"/>
        <v>#N/A</v>
      </c>
      <c r="GB12">
        <f t="shared" si="73"/>
        <v>1.0830926816134365</v>
      </c>
      <c r="GC12">
        <f t="shared" si="73"/>
        <v>-1.3721997942367301</v>
      </c>
      <c r="GD12">
        <f t="shared" si="73"/>
        <v>-2.7128890256029523</v>
      </c>
      <c r="GE12">
        <f t="shared" si="73"/>
        <v>-0.1095324135545893</v>
      </c>
      <c r="GF12">
        <f t="shared" si="73"/>
        <v>-2.5735313895930005</v>
      </c>
      <c r="GH12" t="s">
        <v>43</v>
      </c>
      <c r="GI12">
        <f t="shared" si="139"/>
        <v>3.5821723130858817E-2</v>
      </c>
      <c r="GJ12">
        <f t="shared" si="74"/>
        <v>-0.69927659971932721</v>
      </c>
      <c r="GK12">
        <f t="shared" si="74"/>
        <v>0.51258561304816874</v>
      </c>
      <c r="GL12">
        <f t="shared" si="74"/>
        <v>0.77433748447560558</v>
      </c>
      <c r="GM12">
        <f t="shared" si="74"/>
        <v>-0.20878644400347027</v>
      </c>
      <c r="GN12">
        <f t="shared" si="74"/>
        <v>-0.16336006902027631</v>
      </c>
      <c r="GO12">
        <f t="shared" si="74"/>
        <v>-3.928846032580157E-3</v>
      </c>
      <c r="GP12">
        <f t="shared" si="74"/>
        <v>-0.6338481460188754</v>
      </c>
      <c r="GQ12">
        <f t="shared" si="74"/>
        <v>-0.9147439685224269</v>
      </c>
      <c r="GR12">
        <f t="shared" si="74"/>
        <v>-0.75727434181248254</v>
      </c>
      <c r="GS12">
        <f t="shared" si="74"/>
        <v>-0.71974540082473726</v>
      </c>
      <c r="GT12">
        <f t="shared" si="74"/>
        <v>0.44075832965204886</v>
      </c>
      <c r="GU12">
        <f t="shared" si="74"/>
        <v>4.1227269348834354E-2</v>
      </c>
      <c r="GV12" t="e">
        <f t="shared" si="140"/>
        <v>#N/A</v>
      </c>
      <c r="GW12">
        <f t="shared" si="74"/>
        <v>0.19851066394548195</v>
      </c>
      <c r="GX12">
        <f t="shared" si="74"/>
        <v>-0.41817933158781717</v>
      </c>
      <c r="GY12">
        <f t="shared" si="74"/>
        <v>0.55924446513651871</v>
      </c>
      <c r="GZ12">
        <f t="shared" si="74"/>
        <v>-1.1495331118128755</v>
      </c>
      <c r="HA12">
        <f t="shared" si="74"/>
        <v>-0.4339750920195703</v>
      </c>
      <c r="HC12" t="s">
        <v>44</v>
      </c>
      <c r="HD12">
        <f t="shared" si="141"/>
        <v>3.5821723130858817E-2</v>
      </c>
      <c r="HE12">
        <f t="shared" si="75"/>
        <v>-0.69927659971932721</v>
      </c>
      <c r="HF12">
        <f t="shared" si="75"/>
        <v>0.51258561304816874</v>
      </c>
      <c r="HG12">
        <f t="shared" si="75"/>
        <v>0.77433748447560558</v>
      </c>
      <c r="HH12">
        <f t="shared" si="75"/>
        <v>-0.20878644400347027</v>
      </c>
      <c r="HI12">
        <f t="shared" si="75"/>
        <v>-0.16336006902027631</v>
      </c>
      <c r="HJ12">
        <f t="shared" si="75"/>
        <v>-3.928846032580157E-3</v>
      </c>
      <c r="HK12">
        <f t="shared" si="75"/>
        <v>-0.6338481460188754</v>
      </c>
      <c r="HL12">
        <f t="shared" si="75"/>
        <v>-0.9147439685224269</v>
      </c>
      <c r="HM12">
        <f t="shared" si="75"/>
        <v>-0.75727434181248254</v>
      </c>
      <c r="HN12">
        <f t="shared" si="75"/>
        <v>-0.71974540082473726</v>
      </c>
      <c r="HO12">
        <f t="shared" si="75"/>
        <v>0.44075832965204886</v>
      </c>
      <c r="HP12">
        <f t="shared" si="75"/>
        <v>4.1227269348834354E-2</v>
      </c>
      <c r="HQ12" t="e">
        <f t="shared" si="75"/>
        <v>#N/A</v>
      </c>
      <c r="HR12">
        <f t="shared" si="75"/>
        <v>0.19851066394548195</v>
      </c>
      <c r="HS12">
        <f t="shared" si="75"/>
        <v>-0.41817933158781717</v>
      </c>
      <c r="HT12">
        <f t="shared" si="75"/>
        <v>0.55924446513651871</v>
      </c>
      <c r="HU12">
        <f t="shared" si="75"/>
        <v>-1.1495331118128755</v>
      </c>
      <c r="HV12">
        <f t="shared" si="75"/>
        <v>-0.4339750920195703</v>
      </c>
      <c r="HX12" t="s">
        <v>44</v>
      </c>
      <c r="HY12">
        <f t="shared" si="142"/>
        <v>4.4250000000000005E-2</v>
      </c>
      <c r="HZ12">
        <f t="shared" si="143"/>
        <v>9.4999999999999998E-3</v>
      </c>
      <c r="IA12">
        <f t="shared" si="144"/>
        <v>3.4700000000000002E-2</v>
      </c>
      <c r="IB12">
        <f t="shared" si="145"/>
        <v>4.1231749999999998</v>
      </c>
      <c r="IC12">
        <f t="shared" si="146"/>
        <v>3.3250000000000002E-2</v>
      </c>
      <c r="ID12">
        <f t="shared" si="147"/>
        <v>1622.1075000000001</v>
      </c>
      <c r="IE12">
        <f t="shared" si="148"/>
        <v>11465.654999999999</v>
      </c>
      <c r="IF12">
        <f t="shared" si="149"/>
        <v>-0.01</v>
      </c>
      <c r="IG12">
        <f t="shared" si="150"/>
        <v>-2.375E-2</v>
      </c>
      <c r="IH12">
        <f t="shared" si="151"/>
        <v>-2.1000000000000001E-2</v>
      </c>
      <c r="II12">
        <f t="shared" si="152"/>
        <v>0.125</v>
      </c>
      <c r="IJ12">
        <f t="shared" si="153"/>
        <v>3.0750000000000003E-2</v>
      </c>
      <c r="IK12">
        <f t="shared" si="154"/>
        <v>1422.9225000000001</v>
      </c>
      <c r="IL12" t="e">
        <f t="shared" si="155"/>
        <v>#N/A</v>
      </c>
      <c r="IM12">
        <f t="shared" si="156"/>
        <v>100.625</v>
      </c>
      <c r="IN12">
        <f t="shared" si="157"/>
        <v>65.430000000000007</v>
      </c>
      <c r="IO12">
        <f t="shared" si="158"/>
        <v>7.6942209331376021E-2</v>
      </c>
      <c r="IP12">
        <f t="shared" si="159"/>
        <v>1.7263717701017534E-2</v>
      </c>
      <c r="IQ12">
        <f t="shared" si="160"/>
        <v>2.4616784448530157E-2</v>
      </c>
      <c r="IS12" t="s">
        <v>44</v>
      </c>
      <c r="IT12">
        <f t="shared" si="161"/>
        <v>1.6003390232783698E-2</v>
      </c>
      <c r="IU12">
        <f t="shared" si="162"/>
        <v>-0.62986408372868619</v>
      </c>
      <c r="IV12">
        <f t="shared" si="163"/>
        <v>0.41013061384139576</v>
      </c>
      <c r="IW12">
        <f t="shared" si="164"/>
        <v>0.84287678876438099</v>
      </c>
      <c r="IX12">
        <f t="shared" si="165"/>
        <v>-2.6024094475572579E-2</v>
      </c>
      <c r="IY12">
        <f t="shared" si="166"/>
        <v>-0.2206387904195844</v>
      </c>
      <c r="IZ12">
        <f t="shared" si="167"/>
        <v>-1.4684500590198872E-2</v>
      </c>
      <c r="JA12">
        <f t="shared" si="168"/>
        <v>-0.55429297541262945</v>
      </c>
      <c r="JB12">
        <f t="shared" si="169"/>
        <v>-0.87471120472507868</v>
      </c>
      <c r="JC12">
        <f t="shared" si="170"/>
        <v>-0.77720338764788433</v>
      </c>
      <c r="JD12">
        <f t="shared" si="171"/>
        <v>-0.82656292040934687</v>
      </c>
      <c r="JE12">
        <f t="shared" si="172"/>
        <v>0.31838580579240866</v>
      </c>
      <c r="JF12">
        <f t="shared" si="173"/>
        <v>0.20332357912847915</v>
      </c>
      <c r="JG12" t="e">
        <f t="shared" si="174"/>
        <v>#N/A</v>
      </c>
      <c r="JH12">
        <f t="shared" si="78"/>
        <v>0.51592082469150702</v>
      </c>
      <c r="JI12">
        <f t="shared" si="79"/>
        <v>-0.40654033417655516</v>
      </c>
      <c r="JJ12">
        <f t="shared" si="80"/>
        <v>0.4722285994405539</v>
      </c>
      <c r="JK12">
        <f t="shared" si="81"/>
        <v>-1.083264207780386</v>
      </c>
      <c r="JL12">
        <f t="shared" si="82"/>
        <v>-0.32662367060511061</v>
      </c>
      <c r="JN12" t="s">
        <v>44</v>
      </c>
      <c r="JO12">
        <f t="shared" si="83"/>
        <v>-0.42089552238805972</v>
      </c>
      <c r="JP12">
        <f t="shared" si="84"/>
        <v>-1.7281838181373851E-2</v>
      </c>
      <c r="JQ12">
        <f t="shared" si="85"/>
        <v>0.45454545454545453</v>
      </c>
      <c r="JR12">
        <f t="shared" si="86"/>
        <v>2.4201263878748235E-2</v>
      </c>
      <c r="JS12">
        <f t="shared" si="87"/>
        <v>3.8719511387390326E-2</v>
      </c>
      <c r="JT12">
        <f t="shared" si="88"/>
        <v>0.17006802721088432</v>
      </c>
      <c r="JU12">
        <f t="shared" si="89"/>
        <v>-0.39999999999999991</v>
      </c>
      <c r="JV12">
        <f t="shared" si="90"/>
        <v>0.25116821659955046</v>
      </c>
      <c r="JW12" t="e">
        <f t="shared" si="91"/>
        <v>#N/A</v>
      </c>
      <c r="JX12">
        <f t="shared" si="92"/>
        <v>7.4803149606299302E-2</v>
      </c>
      <c r="JY12">
        <f t="shared" si="93"/>
        <v>-0.2151515151515152</v>
      </c>
      <c r="KA12" t="s">
        <v>44</v>
      </c>
      <c r="KB12">
        <f t="shared" si="175"/>
        <v>-2.6076655425211634</v>
      </c>
      <c r="KC12">
        <f t="shared" si="94"/>
        <v>-0.58491589889738671</v>
      </c>
      <c r="KD12">
        <f t="shared" si="94"/>
        <v>2.7102538974109538</v>
      </c>
      <c r="KE12">
        <f t="shared" si="94"/>
        <v>0.28760143507897218</v>
      </c>
      <c r="KF12">
        <f t="shared" si="94"/>
        <v>0.36653838661048455</v>
      </c>
      <c r="KG12">
        <f t="shared" si="94"/>
        <v>0.3724927430273397</v>
      </c>
      <c r="KH12">
        <f t="shared" si="94"/>
        <v>-2.6770343881629795</v>
      </c>
      <c r="KI12">
        <f t="shared" si="94"/>
        <v>1.4775422789656143</v>
      </c>
      <c r="KJ12" t="e">
        <f t="shared" si="176"/>
        <v>#N/A</v>
      </c>
      <c r="KK12">
        <f t="shared" si="94"/>
        <v>2.2884906093369786</v>
      </c>
      <c r="KL12">
        <f t="shared" si="94"/>
        <v>-0.76031296520369529</v>
      </c>
    </row>
    <row r="13" spans="1:298" x14ac:dyDescent="0.35">
      <c r="A13" t="s">
        <v>44</v>
      </c>
      <c r="B13">
        <f>'Sorting Y'!B12/100</f>
        <v>-3.3000000000000002E-2</v>
      </c>
      <c r="C13">
        <f>'Sorting Y'!C12/100</f>
        <v>-1.3999999999999999E-2</v>
      </c>
      <c r="D13">
        <f>'Sorting Y'!D12/100</f>
        <v>1.9400000000000001E-2</v>
      </c>
      <c r="E13">
        <f>'Sorting Y'!E12</f>
        <v>4.0202999999999998</v>
      </c>
      <c r="F13">
        <f>'Sorting Y'!F12/100</f>
        <v>4.8000000000000001E-2</v>
      </c>
      <c r="G13">
        <f>'Sorting Y'!G12</f>
        <v>1627.21</v>
      </c>
      <c r="H13">
        <f>'Sorting Y'!H12</f>
        <v>11761.93</v>
      </c>
      <c r="I13">
        <f>'Sorting Y'!I12/100</f>
        <v>-1.9E-2</v>
      </c>
      <c r="J13">
        <f>'Sorting Y'!J12/100</f>
        <v>-3.4000000000000002E-2</v>
      </c>
      <c r="K13">
        <f>'Sorting Y'!K12/100</f>
        <v>-0.11699999999999999</v>
      </c>
      <c r="L13">
        <f>'Sorting Y'!L12/100</f>
        <v>0.17199999999999999</v>
      </c>
      <c r="M13">
        <f>'Sorting Y'!M12/100</f>
        <v>1.8000000000000002E-2</v>
      </c>
      <c r="N13">
        <f>'Sorting Y'!N12</f>
        <v>1898.36</v>
      </c>
      <c r="O13" t="e">
        <f>'Sorting Y'!O12</f>
        <v>#N/A</v>
      </c>
      <c r="P13">
        <f>'Sorting Y'!P12</f>
        <v>109.2</v>
      </c>
      <c r="Q13">
        <f>'Sorting Y'!Q12</f>
        <v>51.8</v>
      </c>
      <c r="R13">
        <f>'Sorting Y'!R12/100</f>
        <v>-3.3299324545936426E-2</v>
      </c>
      <c r="S13">
        <f>'Sorting Y'!S12/100</f>
        <v>5.419226577077918E-2</v>
      </c>
      <c r="T13">
        <f>'Sorting Y'!T12/100</f>
        <v>-2.1996228313194699E-3</v>
      </c>
      <c r="V13" t="s">
        <v>45</v>
      </c>
      <c r="W13">
        <f>B13</f>
        <v>-3.3000000000000002E-2</v>
      </c>
      <c r="X13">
        <f t="shared" si="20"/>
        <v>-1.3999999999999999E-2</v>
      </c>
      <c r="Y13">
        <f t="shared" si="20"/>
        <v>1.9400000000000001E-2</v>
      </c>
      <c r="Z13">
        <f t="shared" si="20"/>
        <v>4.0202999999999998</v>
      </c>
      <c r="AA13">
        <f t="shared" si="20"/>
        <v>4.8000000000000001E-2</v>
      </c>
      <c r="AB13">
        <f t="shared" si="20"/>
        <v>1627.21</v>
      </c>
      <c r="AC13">
        <f t="shared" si="20"/>
        <v>11761.93</v>
      </c>
      <c r="AD13">
        <f t="shared" si="20"/>
        <v>-1.9E-2</v>
      </c>
      <c r="AE13">
        <f t="shared" si="20"/>
        <v>-3.4000000000000002E-2</v>
      </c>
      <c r="AF13">
        <f t="shared" si="20"/>
        <v>-0.11699999999999999</v>
      </c>
      <c r="AG13">
        <f t="shared" si="20"/>
        <v>0.17199999999999999</v>
      </c>
      <c r="AH13">
        <f t="shared" si="20"/>
        <v>1.8000000000000002E-2</v>
      </c>
      <c r="AI13">
        <f t="shared" si="20"/>
        <v>1898.36</v>
      </c>
      <c r="AJ13" t="e">
        <f t="shared" si="20"/>
        <v>#N/A</v>
      </c>
      <c r="AK13">
        <f t="shared" si="20"/>
        <v>109.2</v>
      </c>
      <c r="AL13">
        <f t="shared" si="20"/>
        <v>51.8</v>
      </c>
      <c r="AM13">
        <f t="shared" si="20"/>
        <v>-3.3299324545936426E-2</v>
      </c>
      <c r="AN13">
        <f t="shared" si="20"/>
        <v>5.419226577077918E-2</v>
      </c>
      <c r="AO13">
        <f t="shared" si="20"/>
        <v>-2.1996228313194699E-3</v>
      </c>
      <c r="AQ13" t="s">
        <v>45</v>
      </c>
      <c r="AR13">
        <f t="shared" si="177"/>
        <v>-0.24335598469389674</v>
      </c>
      <c r="AS13">
        <f t="shared" si="21"/>
        <v>0.8412180564626075</v>
      </c>
      <c r="AT13">
        <f t="shared" si="21"/>
        <v>-1.8072048214582506</v>
      </c>
      <c r="AU13">
        <f t="shared" si="21"/>
        <v>0.65937656925309573</v>
      </c>
      <c r="AV13">
        <f t="shared" si="21"/>
        <v>1.4563183058520486</v>
      </c>
      <c r="AW13">
        <f t="shared" si="21"/>
        <v>-1.0840866416509851</v>
      </c>
      <c r="AX13">
        <f t="shared" si="21"/>
        <v>-0.59240055724786589</v>
      </c>
      <c r="AY13">
        <f t="shared" si="21"/>
        <v>2.133602760234647</v>
      </c>
      <c r="AZ13">
        <f t="shared" si="21"/>
        <v>2.0914148778605068</v>
      </c>
      <c r="BA13">
        <f t="shared" si="21"/>
        <v>-0.80782379303025964</v>
      </c>
      <c r="BB13">
        <f t="shared" si="21"/>
        <v>-1.1170585900631467</v>
      </c>
      <c r="BC13">
        <f t="shared" si="21"/>
        <v>-1.9598237397554787</v>
      </c>
      <c r="BD13">
        <f t="shared" si="21"/>
        <v>1.405593697289935</v>
      </c>
      <c r="BE13" t="e">
        <f t="shared" si="96"/>
        <v>#N/A</v>
      </c>
      <c r="BF13">
        <f t="shared" si="21"/>
        <v>2.0029449838919962</v>
      </c>
      <c r="BG13">
        <f t="shared" si="21"/>
        <v>0.2047687423368609</v>
      </c>
      <c r="BH13">
        <f t="shared" si="21"/>
        <v>-0.63906706971573124</v>
      </c>
      <c r="BI13">
        <f t="shared" si="21"/>
        <v>-0.43915949189164682</v>
      </c>
      <c r="BJ13">
        <f t="shared" si="21"/>
        <v>1.3658629821720865</v>
      </c>
      <c r="BL13" t="s">
        <v>44</v>
      </c>
      <c r="BM13">
        <f t="shared" si="97"/>
        <v>-2.9974863291098925</v>
      </c>
      <c r="BN13">
        <f t="shared" si="98"/>
        <v>-2.2744367331214463</v>
      </c>
      <c r="BO13">
        <f t="shared" si="99"/>
        <v>-2.0312827490845402</v>
      </c>
      <c r="BP13">
        <f t="shared" si="100"/>
        <v>0.46872421485624505</v>
      </c>
      <c r="BQ13">
        <f t="shared" si="101"/>
        <v>2.4684944896824672</v>
      </c>
      <c r="BR13">
        <f t="shared" si="102"/>
        <v>-0.34672829776743236</v>
      </c>
      <c r="BS13">
        <f t="shared" si="103"/>
        <v>0.19329886393798779</v>
      </c>
      <c r="BT13">
        <f t="shared" si="104"/>
        <v>-1.0099082715799821</v>
      </c>
      <c r="BU13">
        <f t="shared" si="105"/>
        <v>-1.3209087197968725</v>
      </c>
      <c r="BV13">
        <f t="shared" si="106"/>
        <v>-2.1165155348000106</v>
      </c>
      <c r="BW13">
        <f t="shared" si="107"/>
        <v>0.85253239726861063</v>
      </c>
      <c r="BX13">
        <f t="shared" si="108"/>
        <v>-2.043944783004791</v>
      </c>
      <c r="BY13">
        <f t="shared" si="109"/>
        <v>1.7266818488389926</v>
      </c>
      <c r="BZ13" t="e">
        <f t="shared" si="110"/>
        <v>#N/A</v>
      </c>
      <c r="CA13">
        <f t="shared" si="23"/>
        <v>1.6474802326836484</v>
      </c>
      <c r="CB13">
        <f t="shared" si="24"/>
        <v>-0.87823332672763621</v>
      </c>
      <c r="CC13">
        <f t="shared" si="25"/>
        <v>-2.8818871984324814</v>
      </c>
      <c r="CD13">
        <f t="shared" si="26"/>
        <v>0.1947707136162293</v>
      </c>
      <c r="CE13">
        <f t="shared" si="27"/>
        <v>-1.9464807812969185</v>
      </c>
      <c r="CG13" t="s">
        <v>45</v>
      </c>
      <c r="CH13">
        <f t="shared" si="111"/>
        <v>-2.8933749422573882</v>
      </c>
      <c r="CI13">
        <f t="shared" si="112"/>
        <v>-2.1758202281845751</v>
      </c>
      <c r="CJ13">
        <f t="shared" si="113"/>
        <v>-2.5826108230304725</v>
      </c>
      <c r="CK13">
        <f t="shared" si="114"/>
        <v>0.5266765937379021</v>
      </c>
      <c r="CL13">
        <f t="shared" si="115"/>
        <v>2.8535080038644343</v>
      </c>
      <c r="CM13">
        <f t="shared" si="116"/>
        <v>-0.42663143617027516</v>
      </c>
      <c r="CN13">
        <f t="shared" si="117"/>
        <v>0.15150386643677657</v>
      </c>
      <c r="CO13">
        <f t="shared" si="118"/>
        <v>-1.08589459252486</v>
      </c>
      <c r="CP13">
        <f t="shared" si="119"/>
        <v>-1.469032614692096</v>
      </c>
      <c r="CQ13">
        <f t="shared" si="120"/>
        <v>-2.1823263925810106</v>
      </c>
      <c r="CR13">
        <f t="shared" si="121"/>
        <v>0.76619782249012169</v>
      </c>
      <c r="CS13">
        <f t="shared" si="122"/>
        <v>-2.777989359299776</v>
      </c>
      <c r="CT13">
        <f t="shared" si="123"/>
        <v>2.0034322188571898</v>
      </c>
      <c r="CU13" t="e">
        <f t="shared" si="124"/>
        <v>#N/A</v>
      </c>
      <c r="CV13">
        <f t="shared" si="29"/>
        <v>2.2974043790448233</v>
      </c>
      <c r="CW13">
        <f t="shared" si="30"/>
        <v>-0.8263792429024075</v>
      </c>
      <c r="CX13">
        <f t="shared" si="31"/>
        <v>-2.876616124819261</v>
      </c>
      <c r="CY13">
        <f t="shared" si="32"/>
        <v>0.14881192061611442</v>
      </c>
      <c r="CZ13">
        <f t="shared" si="33"/>
        <v>-1.9415092088222334</v>
      </c>
      <c r="DB13" t="s">
        <v>45</v>
      </c>
      <c r="DC13">
        <f t="shared" si="34"/>
        <v>-2.9974863291098925</v>
      </c>
      <c r="DD13">
        <f t="shared" si="35"/>
        <v>-2.2744367331214463</v>
      </c>
      <c r="DE13">
        <f t="shared" si="36"/>
        <v>-2.0312827490845402</v>
      </c>
      <c r="DF13">
        <f t="shared" si="37"/>
        <v>0.46872421485624505</v>
      </c>
      <c r="DG13">
        <f t="shared" si="38"/>
        <v>2.4684944896824672</v>
      </c>
      <c r="DH13">
        <f t="shared" si="39"/>
        <v>-0.34672829776743236</v>
      </c>
      <c r="DI13">
        <f t="shared" si="40"/>
        <v>0.19329886393798779</v>
      </c>
      <c r="DJ13">
        <f t="shared" si="41"/>
        <v>-1.0099082715799821</v>
      </c>
      <c r="DK13">
        <f t="shared" si="42"/>
        <v>-1.3209087197968725</v>
      </c>
      <c r="DL13">
        <f t="shared" si="43"/>
        <v>-2.1165155348000106</v>
      </c>
      <c r="DM13">
        <f t="shared" si="44"/>
        <v>0.85253239726861063</v>
      </c>
      <c r="DN13">
        <f t="shared" si="45"/>
        <v>-2.043944783004791</v>
      </c>
      <c r="DO13">
        <f t="shared" si="46"/>
        <v>1.7266818488389926</v>
      </c>
      <c r="DP13" t="e">
        <f t="shared" si="47"/>
        <v>#N/A</v>
      </c>
      <c r="DQ13">
        <f t="shared" si="48"/>
        <v>1.6474802326836484</v>
      </c>
      <c r="DR13">
        <f t="shared" si="49"/>
        <v>-0.87823332672763621</v>
      </c>
      <c r="DS13">
        <f t="shared" si="50"/>
        <v>-2.8818871984324814</v>
      </c>
      <c r="DT13">
        <f t="shared" si="51"/>
        <v>0.1947707136162293</v>
      </c>
      <c r="DU13">
        <f t="shared" si="52"/>
        <v>-1.9464807812969185</v>
      </c>
      <c r="DW13" t="s">
        <v>45</v>
      </c>
      <c r="DX13">
        <f t="shared" si="125"/>
        <v>3.6249999999999998E-2</v>
      </c>
      <c r="DY13">
        <f t="shared" si="126"/>
        <v>2.6249999999999999E-2</v>
      </c>
      <c r="DZ13">
        <f t="shared" si="127"/>
        <v>1.9649999999999997E-2</v>
      </c>
      <c r="EA13">
        <f t="shared" si="53"/>
        <v>4.1615500000000001</v>
      </c>
      <c r="EB13">
        <f t="shared" si="128"/>
        <v>4.5749999999999999E-2</v>
      </c>
      <c r="EC13">
        <f t="shared" si="53"/>
        <v>1552.8675000000001</v>
      </c>
      <c r="ED13">
        <f t="shared" si="53"/>
        <v>11347.6625</v>
      </c>
      <c r="EE13">
        <f t="shared" si="129"/>
        <v>0.16500000000000001</v>
      </c>
      <c r="EF13">
        <f t="shared" si="130"/>
        <v>0.184</v>
      </c>
      <c r="EG13">
        <f t="shared" si="131"/>
        <v>-1.7500000000000072E-3</v>
      </c>
      <c r="EH13">
        <f t="shared" si="132"/>
        <v>0.1105</v>
      </c>
      <c r="EI13">
        <f t="shared" si="133"/>
        <v>1.8000000000000002E-2</v>
      </c>
      <c r="EJ13">
        <f t="shared" si="53"/>
        <v>1765.9924999999998</v>
      </c>
      <c r="EK13" t="e">
        <f t="shared" si="53"/>
        <v>#N/A</v>
      </c>
      <c r="EL13">
        <f t="shared" si="53"/>
        <v>110.02500000000001</v>
      </c>
      <c r="EM13">
        <f t="shared" si="53"/>
        <v>73.742500000000007</v>
      </c>
      <c r="EN13">
        <f t="shared" si="134"/>
        <v>2.4183003788646521E-2</v>
      </c>
      <c r="EO13">
        <f t="shared" si="135"/>
        <v>5.6414510511007328E-2</v>
      </c>
      <c r="EP13">
        <f t="shared" si="136"/>
        <v>7.9151789633027519E-2</v>
      </c>
      <c r="ER13" t="s">
        <v>44</v>
      </c>
      <c r="ES13">
        <f t="shared" si="54"/>
        <v>-5.5500000000000008E-2</v>
      </c>
      <c r="ET13">
        <f t="shared" si="55"/>
        <v>-1.225E-2</v>
      </c>
      <c r="EU13">
        <f t="shared" si="56"/>
        <v>2.2475000000000002E-2</v>
      </c>
      <c r="EV13">
        <f t="shared" si="57"/>
        <v>4.1960749999999996</v>
      </c>
      <c r="EW13">
        <f t="shared" si="58"/>
        <v>4.5499999999999999E-2</v>
      </c>
      <c r="EX13">
        <f t="shared" si="59"/>
        <v>1495.9725000000001</v>
      </c>
      <c r="EY13">
        <f t="shared" si="60"/>
        <v>10596.32</v>
      </c>
      <c r="EZ13">
        <f t="shared" si="61"/>
        <v>-8.6500000000000007E-2</v>
      </c>
      <c r="FA13">
        <f t="shared" si="62"/>
        <v>-7.9000000000000001E-2</v>
      </c>
      <c r="FB13">
        <f t="shared" si="63"/>
        <v>-0.14124999999999999</v>
      </c>
      <c r="FC13">
        <f t="shared" si="64"/>
        <v>0.13725000000000001</v>
      </c>
      <c r="FD13">
        <f t="shared" si="65"/>
        <v>2.0250000000000001E-2</v>
      </c>
      <c r="FE13">
        <f t="shared" si="66"/>
        <v>1785.58</v>
      </c>
      <c r="FF13" t="e">
        <f t="shared" si="67"/>
        <v>#N/A</v>
      </c>
      <c r="FG13">
        <f t="shared" si="68"/>
        <v>105.125</v>
      </c>
      <c r="FH13">
        <f t="shared" si="69"/>
        <v>39.159999999999997</v>
      </c>
      <c r="FI13">
        <f t="shared" si="70"/>
        <v>-4.2040348382072351E-2</v>
      </c>
      <c r="FJ13">
        <f t="shared" si="71"/>
        <v>4.9094987311452003E-2</v>
      </c>
      <c r="FK13">
        <f t="shared" si="72"/>
        <v>-4.0884836255617889E-2</v>
      </c>
      <c r="FM13" t="s">
        <v>45</v>
      </c>
      <c r="FN13">
        <f t="shared" si="137"/>
        <v>-0.11981292369895002</v>
      </c>
      <c r="FO13">
        <f t="shared" si="73"/>
        <v>0.49155436718597512</v>
      </c>
      <c r="FP13">
        <f t="shared" si="73"/>
        <v>-2.1434020168208709</v>
      </c>
      <c r="FQ13">
        <f t="shared" si="73"/>
        <v>0.76329798433037854</v>
      </c>
      <c r="FR13">
        <f t="shared" si="73"/>
        <v>1.9568446651199489</v>
      </c>
      <c r="FS13">
        <f t="shared" si="73"/>
        <v>-0.99095605008375187</v>
      </c>
      <c r="FT13">
        <f t="shared" si="73"/>
        <v>-0.38676935121856321</v>
      </c>
      <c r="FU13">
        <f t="shared" si="73"/>
        <v>2.1925095941048545</v>
      </c>
      <c r="FV13">
        <f t="shared" si="73"/>
        <v>2.212745015435245</v>
      </c>
      <c r="FW13">
        <f t="shared" si="73"/>
        <v>-0.42904955064547329</v>
      </c>
      <c r="FX13">
        <f t="shared" si="73"/>
        <v>-1.1983404824746746</v>
      </c>
      <c r="FY13">
        <f t="shared" si="73"/>
        <v>-2.1807213829594971</v>
      </c>
      <c r="FZ13">
        <f t="shared" si="73"/>
        <v>1.4822299610049998</v>
      </c>
      <c r="GA13" t="e">
        <f t="shared" si="138"/>
        <v>#N/A</v>
      </c>
      <c r="GB13">
        <f t="shared" si="73"/>
        <v>2.1861384168796487</v>
      </c>
      <c r="GC13">
        <f t="shared" si="73"/>
        <v>-5.8029294806690043E-2</v>
      </c>
      <c r="GD13">
        <f t="shared" si="73"/>
        <v>-0.8890511391288205</v>
      </c>
      <c r="GE13">
        <f t="shared" si="73"/>
        <v>0.12612953465647464</v>
      </c>
      <c r="GF13">
        <f t="shared" si="73"/>
        <v>1.527972829301858</v>
      </c>
      <c r="GH13" t="s">
        <v>44</v>
      </c>
      <c r="GI13">
        <f t="shared" si="139"/>
        <v>-3.0269356045575613</v>
      </c>
      <c r="GJ13">
        <f t="shared" si="74"/>
        <v>-2.2897880814338754</v>
      </c>
      <c r="GK13">
        <f t="shared" si="74"/>
        <v>-1.635880370785157</v>
      </c>
      <c r="GL13">
        <f t="shared" si="74"/>
        <v>0.91972675750164201</v>
      </c>
      <c r="GM13">
        <f t="shared" si="74"/>
        <v>2.023330448251814</v>
      </c>
      <c r="GN13">
        <f t="shared" si="74"/>
        <v>-1.1191955001172336</v>
      </c>
      <c r="GO13">
        <f t="shared" si="74"/>
        <v>-0.90377626661087174</v>
      </c>
      <c r="GP13">
        <f t="shared" si="74"/>
        <v>-1.7815258541950638</v>
      </c>
      <c r="GQ13">
        <f t="shared" si="74"/>
        <v>-1.6478660611550884</v>
      </c>
      <c r="GR13">
        <f t="shared" si="74"/>
        <v>-2.2588159086079647</v>
      </c>
      <c r="GS13">
        <f t="shared" si="74"/>
        <v>-0.42747309717491283</v>
      </c>
      <c r="GT13">
        <f t="shared" si="74"/>
        <v>-1.7371063580404229</v>
      </c>
      <c r="GU13">
        <f t="shared" si="74"/>
        <v>1.6687727162838462</v>
      </c>
      <c r="GV13" t="e">
        <f t="shared" si="140"/>
        <v>#N/A</v>
      </c>
      <c r="GW13">
        <f t="shared" si="74"/>
        <v>1.1408909587196334</v>
      </c>
      <c r="GX13">
        <f t="shared" si="74"/>
        <v>-1.460309432892142</v>
      </c>
      <c r="GY13">
        <f t="shared" si="74"/>
        <v>-2.859908431592924</v>
      </c>
      <c r="GZ13">
        <f t="shared" si="74"/>
        <v>-8.1538595482433349E-2</v>
      </c>
      <c r="HA13">
        <f t="shared" si="74"/>
        <v>-2.6125924752870722</v>
      </c>
      <c r="HC13" t="s">
        <v>45</v>
      </c>
      <c r="HD13">
        <f t="shared" si="141"/>
        <v>-3.0269356045575613</v>
      </c>
      <c r="HE13">
        <f t="shared" si="75"/>
        <v>-2.2897880814338754</v>
      </c>
      <c r="HF13">
        <f t="shared" si="75"/>
        <v>-1.635880370785157</v>
      </c>
      <c r="HG13">
        <f t="shared" si="75"/>
        <v>0.91972675750164201</v>
      </c>
      <c r="HH13">
        <f t="shared" si="75"/>
        <v>2.023330448251814</v>
      </c>
      <c r="HI13">
        <f t="shared" si="75"/>
        <v>-1.1191955001172336</v>
      </c>
      <c r="HJ13">
        <f t="shared" si="75"/>
        <v>-0.90377626661087174</v>
      </c>
      <c r="HK13">
        <f t="shared" si="75"/>
        <v>-1.7815258541950638</v>
      </c>
      <c r="HL13">
        <f t="shared" si="75"/>
        <v>-1.6478660611550884</v>
      </c>
      <c r="HM13">
        <f t="shared" si="75"/>
        <v>-2.2588159086079647</v>
      </c>
      <c r="HN13">
        <f t="shared" si="75"/>
        <v>-0.42747309717491283</v>
      </c>
      <c r="HO13">
        <f t="shared" si="75"/>
        <v>-1.7371063580404229</v>
      </c>
      <c r="HP13">
        <f t="shared" si="75"/>
        <v>1.6687727162838462</v>
      </c>
      <c r="HQ13" t="e">
        <f t="shared" si="75"/>
        <v>#N/A</v>
      </c>
      <c r="HR13">
        <f t="shared" si="75"/>
        <v>1.1408909587196334</v>
      </c>
      <c r="HS13">
        <f t="shared" si="75"/>
        <v>-1.460309432892142</v>
      </c>
      <c r="HT13">
        <f t="shared" si="75"/>
        <v>-2.859908431592924</v>
      </c>
      <c r="HU13">
        <f t="shared" si="75"/>
        <v>-8.1538595482433349E-2</v>
      </c>
      <c r="HV13">
        <f t="shared" si="75"/>
        <v>-2.6125924752870722</v>
      </c>
      <c r="HX13" t="s">
        <v>45</v>
      </c>
      <c r="HY13">
        <f t="shared" si="142"/>
        <v>-5.5500000000000008E-2</v>
      </c>
      <c r="HZ13">
        <f t="shared" si="143"/>
        <v>-1.225E-2</v>
      </c>
      <c r="IA13">
        <f t="shared" si="144"/>
        <v>2.2475000000000002E-2</v>
      </c>
      <c r="IB13">
        <f t="shared" si="145"/>
        <v>4.1960749999999996</v>
      </c>
      <c r="IC13">
        <f t="shared" si="146"/>
        <v>4.5499999999999999E-2</v>
      </c>
      <c r="ID13">
        <f t="shared" si="147"/>
        <v>1495.9725000000001</v>
      </c>
      <c r="IE13">
        <f t="shared" si="148"/>
        <v>10596.32</v>
      </c>
      <c r="IF13">
        <f t="shared" si="149"/>
        <v>-8.6500000000000007E-2</v>
      </c>
      <c r="IG13">
        <f t="shared" si="150"/>
        <v>-7.9000000000000001E-2</v>
      </c>
      <c r="IH13">
        <f t="shared" si="151"/>
        <v>-0.14124999999999999</v>
      </c>
      <c r="II13">
        <f t="shared" si="152"/>
        <v>0.13725000000000001</v>
      </c>
      <c r="IJ13">
        <f t="shared" si="153"/>
        <v>2.0250000000000001E-2</v>
      </c>
      <c r="IK13">
        <f t="shared" si="154"/>
        <v>1785.58</v>
      </c>
      <c r="IL13" t="e">
        <f t="shared" si="155"/>
        <v>#N/A</v>
      </c>
      <c r="IM13">
        <f t="shared" si="156"/>
        <v>105.125</v>
      </c>
      <c r="IN13">
        <f t="shared" si="157"/>
        <v>39.159999999999997</v>
      </c>
      <c r="IO13">
        <f t="shared" si="158"/>
        <v>-4.2040348382072351E-2</v>
      </c>
      <c r="IP13">
        <f t="shared" si="159"/>
        <v>4.9094987311452003E-2</v>
      </c>
      <c r="IQ13">
        <f t="shared" si="160"/>
        <v>-4.0884836255617889E-2</v>
      </c>
      <c r="IS13" t="s">
        <v>45</v>
      </c>
      <c r="IT13">
        <f t="shared" si="161"/>
        <v>-2.9106165985875094</v>
      </c>
      <c r="IU13">
        <f t="shared" si="162"/>
        <v>-2.1675679820153002</v>
      </c>
      <c r="IV13">
        <f t="shared" si="163"/>
        <v>-2.3543964185556803</v>
      </c>
      <c r="IW13">
        <f t="shared" si="164"/>
        <v>0.98676168494059191</v>
      </c>
      <c r="IX13">
        <f t="shared" si="165"/>
        <v>2.7793732899911325</v>
      </c>
      <c r="IY13">
        <f t="shared" si="166"/>
        <v>-1.1541703737615099</v>
      </c>
      <c r="IZ13">
        <f t="shared" si="167"/>
        <v>-0.87333225359484801</v>
      </c>
      <c r="JA13">
        <f t="shared" si="168"/>
        <v>-1.9592253212250625</v>
      </c>
      <c r="JB13">
        <f t="shared" si="169"/>
        <v>-1.7328318418060578</v>
      </c>
      <c r="JC13">
        <f t="shared" si="170"/>
        <v>-2.228220721467558</v>
      </c>
      <c r="JD13">
        <f t="shared" si="171"/>
        <v>-0.5307346241937837</v>
      </c>
      <c r="JE13">
        <f t="shared" si="172"/>
        <v>-2.5658150231505732</v>
      </c>
      <c r="JF13">
        <f t="shared" si="173"/>
        <v>1.9926278149411512</v>
      </c>
      <c r="JG13" t="e">
        <f t="shared" si="174"/>
        <v>#N/A</v>
      </c>
      <c r="JH13">
        <f t="shared" si="78"/>
        <v>1.7451906596965405</v>
      </c>
      <c r="JI13">
        <f t="shared" si="79"/>
        <v>-1.4005578521949116</v>
      </c>
      <c r="JJ13">
        <f t="shared" si="80"/>
        <v>-2.9467272591650335</v>
      </c>
      <c r="JK13">
        <f t="shared" si="81"/>
        <v>-6.3609850903397297E-2</v>
      </c>
      <c r="JL13">
        <f t="shared" si="82"/>
        <v>-2.6329994793494742</v>
      </c>
      <c r="JN13" t="s">
        <v>45</v>
      </c>
      <c r="JO13">
        <f t="shared" si="83"/>
        <v>5.6701030927834885E-2</v>
      </c>
      <c r="JP13">
        <f t="shared" si="84"/>
        <v>3.6241076536577023E-2</v>
      </c>
      <c r="JQ13">
        <f t="shared" si="85"/>
        <v>-0.10416666666666675</v>
      </c>
      <c r="JR13">
        <f t="shared" si="86"/>
        <v>-3.6676274113359712E-2</v>
      </c>
      <c r="JS13">
        <f t="shared" si="87"/>
        <v>-3.8525990207389386E-2</v>
      </c>
      <c r="JT13">
        <f t="shared" si="88"/>
        <v>-0.36046511627906969</v>
      </c>
      <c r="JU13">
        <f t="shared" si="89"/>
        <v>0</v>
      </c>
      <c r="JV13">
        <f t="shared" si="90"/>
        <v>-3.6431446090309454E-2</v>
      </c>
      <c r="JW13" t="e">
        <f t="shared" si="91"/>
        <v>#N/A</v>
      </c>
      <c r="JX13">
        <f t="shared" si="92"/>
        <v>2.0146520146520172E-2</v>
      </c>
      <c r="JY13">
        <f t="shared" si="93"/>
        <v>0.50154440154440161</v>
      </c>
      <c r="KA13" t="s">
        <v>45</v>
      </c>
      <c r="KB13">
        <f t="shared" si="175"/>
        <v>0.49727192183583246</v>
      </c>
      <c r="KC13">
        <f t="shared" si="94"/>
        <v>6.939350160697072E-2</v>
      </c>
      <c r="KD13">
        <f t="shared" si="94"/>
        <v>-0.93422475972417962</v>
      </c>
      <c r="KE13">
        <f t="shared" si="94"/>
        <v>-0.61791375102717128</v>
      </c>
      <c r="KF13">
        <f t="shared" si="94"/>
        <v>-0.63688989505889182</v>
      </c>
      <c r="KG13">
        <f t="shared" si="94"/>
        <v>-1.4078664848258715</v>
      </c>
      <c r="KH13">
        <f t="shared" si="94"/>
        <v>0.20317917395076276</v>
      </c>
      <c r="KI13">
        <f t="shared" si="94"/>
        <v>-0.47535597772301685</v>
      </c>
      <c r="KJ13" t="e">
        <f t="shared" si="176"/>
        <v>#N/A</v>
      </c>
      <c r="KK13">
        <f t="shared" si="94"/>
        <v>0.1701882698798407</v>
      </c>
      <c r="KL13">
        <f t="shared" si="94"/>
        <v>1.4447411100650753</v>
      </c>
    </row>
    <row r="14" spans="1:298" x14ac:dyDescent="0.35">
      <c r="A14" t="s">
        <v>45</v>
      </c>
      <c r="B14">
        <f>'Sorting Y'!B13/100</f>
        <v>3.6000000000000004E-2</v>
      </c>
      <c r="C14">
        <f>'Sorting Y'!C13/100</f>
        <v>3.2000000000000001E-2</v>
      </c>
      <c r="D14">
        <f>'Sorting Y'!D13/100</f>
        <v>2.0499999999999997E-2</v>
      </c>
      <c r="E14">
        <f>'Sorting Y'!E13</f>
        <v>4.1660000000000004</v>
      </c>
      <c r="F14">
        <f>'Sorting Y'!F13/100</f>
        <v>4.2999999999999997E-2</v>
      </c>
      <c r="G14">
        <f>'Sorting Y'!G13</f>
        <v>1567.53</v>
      </c>
      <c r="H14">
        <f>'Sorting Y'!H13</f>
        <v>11308.79</v>
      </c>
      <c r="I14">
        <f>'Sorting Y'!I13/100</f>
        <v>0.13</v>
      </c>
      <c r="J14">
        <f>'Sorting Y'!J13/100</f>
        <v>0.14499999999999999</v>
      </c>
      <c r="K14">
        <f>'Sorting Y'!K13/100</f>
        <v>-0.03</v>
      </c>
      <c r="L14">
        <f>'Sorting Y'!L13/100</f>
        <v>0.11</v>
      </c>
      <c r="M14">
        <f>'Sorting Y'!M13/100</f>
        <v>1.8000000000000002E-2</v>
      </c>
      <c r="N14">
        <f>'Sorting Y'!N13</f>
        <v>1829.2</v>
      </c>
      <c r="O14" t="e">
        <f>'Sorting Y'!O13</f>
        <v>#N/A</v>
      </c>
      <c r="P14">
        <f>'Sorting Y'!P13</f>
        <v>111.4</v>
      </c>
      <c r="Q14">
        <f>'Sorting Y'!Q13</f>
        <v>77.78</v>
      </c>
      <c r="R14">
        <f>'Sorting Y'!R13/100</f>
        <v>3.6702078823249495E-2</v>
      </c>
      <c r="S14">
        <f>'Sorting Y'!S13/100</f>
        <v>1.5872969223999389E-2</v>
      </c>
      <c r="T14">
        <f>'Sorting Y'!T13/100</f>
        <v>6.8345026604946346E-2</v>
      </c>
      <c r="BL14" t="s">
        <v>45</v>
      </c>
      <c r="BM14">
        <f t="shared" si="97"/>
        <v>-0.27906499230486392</v>
      </c>
      <c r="BN14">
        <f t="shared" si="98"/>
        <v>0.86428595858614954</v>
      </c>
      <c r="BO14">
        <f t="shared" si="99"/>
        <v>-1.852886659344581</v>
      </c>
      <c r="BP14">
        <f t="shared" si="100"/>
        <v>0.74886280009404671</v>
      </c>
      <c r="BQ14">
        <f t="shared" si="101"/>
        <v>1.5542372712815524</v>
      </c>
      <c r="BR14">
        <f t="shared" si="102"/>
        <v>-0.90422125421009703</v>
      </c>
      <c r="BS14">
        <f t="shared" si="103"/>
        <v>-0.39175572113939694</v>
      </c>
      <c r="BT14">
        <f t="shared" si="104"/>
        <v>2.2436340519966094</v>
      </c>
      <c r="BU14">
        <f t="shared" si="105"/>
        <v>2.1733177951337694</v>
      </c>
      <c r="BV14">
        <f t="shared" si="106"/>
        <v>-0.88893652461600448</v>
      </c>
      <c r="BW14">
        <f t="shared" si="107"/>
        <v>-0.90448728020464808</v>
      </c>
      <c r="BX14">
        <f t="shared" si="108"/>
        <v>-2.043944783004791</v>
      </c>
      <c r="BY14">
        <f t="shared" si="109"/>
        <v>1.475008962100228</v>
      </c>
      <c r="BZ14" t="e">
        <f t="shared" si="110"/>
        <v>#N/A</v>
      </c>
      <c r="CA14">
        <f t="shared" si="23"/>
        <v>2.0585717085139734</v>
      </c>
      <c r="CB14">
        <f t="shared" si="24"/>
        <v>0.13538292508862329</v>
      </c>
      <c r="CC14">
        <f t="shared" si="25"/>
        <v>-0.69105138240653052</v>
      </c>
      <c r="CD14">
        <f t="shared" si="26"/>
        <v>-0.44239294600005685</v>
      </c>
      <c r="CE14">
        <f t="shared" si="27"/>
        <v>1.4369642127091988</v>
      </c>
      <c r="ER14" t="s">
        <v>45</v>
      </c>
      <c r="ES14">
        <f t="shared" ref="ES14" si="178">B29/100</f>
        <v>3.6249999999999998E-2</v>
      </c>
      <c r="ET14">
        <f t="shared" ref="ET14" si="179">C29/100</f>
        <v>2.6249999999999999E-2</v>
      </c>
      <c r="EU14">
        <f t="shared" ref="EU14" si="180">D29/100</f>
        <v>1.9649999999999997E-2</v>
      </c>
      <c r="EV14">
        <f t="shared" si="57"/>
        <v>4.1615500000000001</v>
      </c>
      <c r="EW14">
        <f t="shared" ref="EW14" si="181">F29/100</f>
        <v>4.5749999999999999E-2</v>
      </c>
      <c r="EX14">
        <f t="shared" si="59"/>
        <v>1552.8675000000001</v>
      </c>
      <c r="EY14">
        <f t="shared" si="60"/>
        <v>11347.6625</v>
      </c>
      <c r="EZ14">
        <f t="shared" ref="EZ14" si="182">I29/100</f>
        <v>0.16500000000000001</v>
      </c>
      <c r="FA14">
        <f t="shared" ref="FA14" si="183">J29/100</f>
        <v>0.184</v>
      </c>
      <c r="FB14">
        <f t="shared" ref="FB14" si="184">K29/100</f>
        <v>-1.7500000000000072E-3</v>
      </c>
      <c r="FC14">
        <f t="shared" ref="FC14" si="185">L29/100</f>
        <v>0.1105</v>
      </c>
      <c r="FD14">
        <f t="shared" ref="FD14" si="186">M29/100</f>
        <v>1.8000000000000002E-2</v>
      </c>
      <c r="FE14">
        <f t="shared" si="66"/>
        <v>1765.9924999999998</v>
      </c>
      <c r="FF14" t="e">
        <f t="shared" si="67"/>
        <v>#N/A</v>
      </c>
      <c r="FG14">
        <f t="shared" si="68"/>
        <v>110.02500000000001</v>
      </c>
      <c r="FH14">
        <f t="shared" si="69"/>
        <v>73.742500000000007</v>
      </c>
      <c r="FI14">
        <f t="shared" ref="FI14" si="187">R29/100</f>
        <v>2.4183003788646521E-2</v>
      </c>
      <c r="FJ14">
        <f t="shared" ref="FJ14" si="188">S29/100</f>
        <v>5.6414510511007328E-2</v>
      </c>
      <c r="FK14">
        <f t="shared" ref="FK14" si="189">T29/100</f>
        <v>7.9151789633027519E-2</v>
      </c>
      <c r="GH14" t="s">
        <v>45</v>
      </c>
      <c r="GI14">
        <f t="shared" si="139"/>
        <v>-0.20981294976645828</v>
      </c>
      <c r="GJ14">
        <f t="shared" si="74"/>
        <v>0.5256000586125662</v>
      </c>
      <c r="GK14">
        <f t="shared" si="74"/>
        <v>-2.1323561502803843</v>
      </c>
      <c r="GL14">
        <f t="shared" si="74"/>
        <v>0.8508712753175014</v>
      </c>
      <c r="GM14">
        <f t="shared" si="74"/>
        <v>2.0688838542162076</v>
      </c>
      <c r="GN14">
        <f t="shared" si="74"/>
        <v>-0.68805222622607431</v>
      </c>
      <c r="GO14">
        <f t="shared" si="74"/>
        <v>-0.12606271476279671</v>
      </c>
      <c r="GP14">
        <f t="shared" si="74"/>
        <v>1.9915583759527977</v>
      </c>
      <c r="GQ14">
        <f t="shared" si="74"/>
        <v>1.8419277915578518</v>
      </c>
      <c r="GR14">
        <f t="shared" si="74"/>
        <v>-0.51690282280364241</v>
      </c>
      <c r="GS14">
        <f t="shared" si="74"/>
        <v>-1.0657003724918761</v>
      </c>
      <c r="GT14">
        <f t="shared" si="74"/>
        <v>-2.2037916482602378</v>
      </c>
      <c r="GU14">
        <f t="shared" si="74"/>
        <v>1.5808673332658754</v>
      </c>
      <c r="GV14" t="e">
        <f t="shared" si="140"/>
        <v>#N/A</v>
      </c>
      <c r="GW14">
        <f t="shared" si="74"/>
        <v>2.1670383908070439</v>
      </c>
      <c r="GX14">
        <f t="shared" si="74"/>
        <v>-8.8422709315559969E-2</v>
      </c>
      <c r="GY14">
        <f t="shared" si="74"/>
        <v>-0.95687515716151728</v>
      </c>
      <c r="GZ14">
        <f t="shared" si="74"/>
        <v>0.16404415176419279</v>
      </c>
      <c r="HA14">
        <f t="shared" si="74"/>
        <v>1.379887053898375</v>
      </c>
    </row>
    <row r="16" spans="1:298" x14ac:dyDescent="0.35">
      <c r="A16" t="s">
        <v>112</v>
      </c>
    </row>
    <row r="17" spans="1:20" x14ac:dyDescent="0.35">
      <c r="A17" t="s">
        <v>34</v>
      </c>
      <c r="B17" t="str">
        <f>CONCATENATE("AVG_",B2)</f>
        <v>AVG_GDP_YOY</v>
      </c>
      <c r="C17" t="str">
        <f t="shared" ref="C17:T17" si="190">CONCATENATE("AVG_",C2)</f>
        <v>AVG_CPI_YOY</v>
      </c>
      <c r="D17" t="str">
        <f t="shared" si="190"/>
        <v>AVG_KLIBOR3M</v>
      </c>
      <c r="E17" t="str">
        <f t="shared" si="190"/>
        <v>AVG_USDMYR</v>
      </c>
      <c r="F17" t="str">
        <f t="shared" si="190"/>
        <v>AVG_UNEMPLOYMENT</v>
      </c>
      <c r="G17" t="str">
        <f t="shared" si="190"/>
        <v>AVG_KLCI</v>
      </c>
      <c r="H17" t="str">
        <f t="shared" si="190"/>
        <v>AVG_EMAS</v>
      </c>
      <c r="I17" t="str">
        <f t="shared" si="190"/>
        <v>AVG_EXPORT_YOY</v>
      </c>
      <c r="J17" t="str">
        <f t="shared" si="190"/>
        <v>AVG_IMPORT_YOY</v>
      </c>
      <c r="K17" t="str">
        <f t="shared" si="190"/>
        <v>AVG_FIXED_INVESTMENT_YOY</v>
      </c>
      <c r="L17" t="str">
        <f t="shared" si="190"/>
        <v>AVG_DEBT_SERVICE_RATIO</v>
      </c>
      <c r="M17" t="str">
        <f t="shared" si="190"/>
        <v>AVG_OPR</v>
      </c>
      <c r="N17" t="str">
        <f t="shared" si="190"/>
        <v>AVG_GOLD</v>
      </c>
      <c r="O17" t="str">
        <f t="shared" si="190"/>
        <v>AVG_CSI</v>
      </c>
      <c r="P17" t="str">
        <f t="shared" si="190"/>
        <v>AVG_MYEILI</v>
      </c>
      <c r="Q17" t="str">
        <f t="shared" si="190"/>
        <v>AVG_BRENTUSD</v>
      </c>
      <c r="R17" t="str">
        <f t="shared" si="190"/>
        <v>AVG_PRIVCSUM_YOY</v>
      </c>
      <c r="S17" t="str">
        <f t="shared" si="190"/>
        <v>AVG_PUBCSUM_YOY</v>
      </c>
      <c r="T17" t="str">
        <f t="shared" si="190"/>
        <v>AVG_IPI_YOY</v>
      </c>
    </row>
    <row r="18" spans="1:20" x14ac:dyDescent="0.35">
      <c r="A18">
        <v>2010</v>
      </c>
      <c r="B18" cm="1">
        <f t="array" ref="B18:B29">AVERAGEIF('Sorting Q'!$A$2:$A$49,Transformation!$A$18:$A$29,'Sorting Q'!C2:C49)</f>
        <v>7.5500000000000007</v>
      </c>
      <c r="C18" cm="1">
        <f t="array" ref="C18:C29">AVERAGEIF('Sorting Q'!$A$2:$A$49,Transformation!$A$18:$A$29,'Sorting Q'!D2:D49)</f>
        <v>1.75</v>
      </c>
      <c r="D18" cm="1">
        <f t="array" ref="D18:D29">AVERAGEIF('Sorting Q'!$A$2:$A$49,Transformation!$A$18:$A$29,'Sorting Q'!E2:E49)</f>
        <v>2.7875000000000001</v>
      </c>
      <c r="E18" cm="1">
        <f t="array" ref="E18:E29">AVERAGEIF('Sorting Q'!$A$2:$A$49,Transformation!$A$18:$A$29,'Sorting Q'!F2:F49)</f>
        <v>3.1677749999999998</v>
      </c>
      <c r="F18" cm="1">
        <f t="array" ref="F18:F29">AVERAGEIF('Sorting Q'!$A$2:$A$49,Transformation!$A$18:$A$29,'Sorting Q'!G2:G49)</f>
        <v>3.3</v>
      </c>
      <c r="G18" cm="1">
        <f t="array" ref="G18:G29">AVERAGEIF('Sorting Q'!$A$2:$A$49,Transformation!$A$18:$A$29,'Sorting Q'!H2:H49)</f>
        <v>1404.25</v>
      </c>
      <c r="H18" cm="1">
        <f t="array" ref="H18:H29">AVERAGEIF('Sorting Q'!$A$2:$A$49,Transformation!$A$18:$A$29,'Sorting Q'!I2:I49)</f>
        <v>9501.8125</v>
      </c>
      <c r="I18" cm="1">
        <f t="array" ref="I18:I29">AVERAGEIF('Sorting Q'!$A$2:$A$49,Transformation!$A$18:$A$29,'Sorting Q'!J2:J49)</f>
        <v>11.7</v>
      </c>
      <c r="J18" cm="1">
        <f t="array" ref="J18:J29">AVERAGEIF('Sorting Q'!$A$2:$A$49,Transformation!$A$18:$A$29,'Sorting Q'!K2:K49)</f>
        <v>16.824999999999999</v>
      </c>
      <c r="K18" cm="1">
        <f t="array" ref="K18:K29">AVERAGEIF('Sorting Q'!$A$2:$A$49,Transformation!$A$18:$A$29,'Sorting Q'!L2:L49)</f>
        <v>11.774999999999999</v>
      </c>
      <c r="L18" cm="1">
        <f t="array" ref="L18:L29">AVERAGEIF('Sorting Q'!$A$2:$A$49,Transformation!$A$18:$A$29,'Sorting Q'!M2:M49)</f>
        <v>10.675000000000001</v>
      </c>
      <c r="M18" cm="1">
        <f t="array" ref="M18:M29">AVERAGEIF('Sorting Q'!$A$2:$A$49,Transformation!$A$18:$A$29,'Sorting Q'!N2:N49)</f>
        <v>2.5999999999999996</v>
      </c>
      <c r="N18" cm="1">
        <f t="array" ref="N18:N29">AVERAGEIF('Sorting Q'!$A$2:$A$49,Transformation!$A$18:$A$29,'Sorting Q'!O2:O49)</f>
        <v>1271.3924999999999</v>
      </c>
      <c r="O18" cm="1">
        <f t="array" ref="O18:O29">AVERAGEIF('Sorting Q'!$A$2:$A$49,Transformation!$A$18:$A$29,'Sorting Q'!P2:P49)</f>
        <v>114.4</v>
      </c>
      <c r="P18" cm="1">
        <f t="array" ref="P18:P29">AVERAGEIF('Sorting Q'!$A$2:$A$49,Transformation!$A$18:$A$29,'Sorting Q'!Q2:Q49)</f>
        <v>92.675000000000011</v>
      </c>
      <c r="Q18" cm="1">
        <f t="array" ref="Q18:Q29">AVERAGEIF('Sorting Q'!$A$2:$A$49,Transformation!$A$18:$A$29,'Sorting Q'!R2:R49)</f>
        <v>83.692499999999995</v>
      </c>
      <c r="R18" cm="1">
        <f t="array" ref="R18:R29">AVERAGEIF('Sorting Q'!$A$2:$A$49,Transformation!$A$18:$A$29,'Sorting Q'!S2:S49)</f>
        <v>6.8665925121074496</v>
      </c>
      <c r="S18" cm="1">
        <f t="array" ref="S18:S29">AVERAGEIF('Sorting Q'!$A$2:$A$49,Transformation!$A$18:$A$29,'Sorting Q'!T2:T49)</f>
        <v>4.0835655721988973</v>
      </c>
      <c r="T18" cm="1">
        <f t="array" ref="T18:T29">AVERAGEIF('Sorting Q'!$A$2:$A$49,Transformation!$A$18:$A$29,'Sorting Q'!U2:U49)</f>
        <v>7.3207211486786274</v>
      </c>
    </row>
    <row r="19" spans="1:20" x14ac:dyDescent="0.35">
      <c r="A19">
        <v>2011</v>
      </c>
      <c r="B19">
        <v>5.2750000000000004</v>
      </c>
      <c r="C19">
        <v>3.2250000000000001</v>
      </c>
      <c r="D19">
        <v>3.2025000000000001</v>
      </c>
      <c r="E19">
        <v>3.1005500000000001</v>
      </c>
      <c r="F19">
        <v>3.15</v>
      </c>
      <c r="G19">
        <v>1510.5149999999999</v>
      </c>
      <c r="H19">
        <v>10335.3375</v>
      </c>
      <c r="I19">
        <v>4.1749999999999998</v>
      </c>
      <c r="J19">
        <v>6.4</v>
      </c>
      <c r="K19">
        <v>6.5</v>
      </c>
      <c r="L19">
        <v>15.375</v>
      </c>
      <c r="M19">
        <v>2.95</v>
      </c>
      <c r="N19">
        <v>1530.27</v>
      </c>
      <c r="O19">
        <v>107.77500000000001</v>
      </c>
      <c r="P19">
        <v>93.45</v>
      </c>
      <c r="Q19">
        <v>109.995</v>
      </c>
      <c r="R19">
        <v>6.8519938514500112</v>
      </c>
      <c r="S19">
        <v>13.292917985793391</v>
      </c>
      <c r="T19">
        <v>2.3876701689565296</v>
      </c>
    </row>
    <row r="20" spans="1:20" x14ac:dyDescent="0.35">
      <c r="A20">
        <v>2012</v>
      </c>
      <c r="B20">
        <v>5.45</v>
      </c>
      <c r="C20">
        <v>1.55</v>
      </c>
      <c r="D20">
        <v>3.1974999999999998</v>
      </c>
      <c r="E20">
        <v>3.0898750000000001</v>
      </c>
      <c r="F20">
        <v>3.1000000000000005</v>
      </c>
      <c r="G20">
        <v>1630.2725</v>
      </c>
      <c r="H20">
        <v>11100.492499999998</v>
      </c>
      <c r="I20">
        <v>-1.7000000000000002</v>
      </c>
      <c r="J20">
        <v>3.0750000000000002</v>
      </c>
      <c r="K20">
        <v>18.924999999999997</v>
      </c>
      <c r="L20">
        <v>17.825000000000003</v>
      </c>
      <c r="M20">
        <v>3</v>
      </c>
      <c r="N20">
        <v>1678.3000000000002</v>
      </c>
      <c r="O20">
        <v>116.55</v>
      </c>
      <c r="P20">
        <v>95.25</v>
      </c>
      <c r="Q20">
        <v>111.045</v>
      </c>
      <c r="R20">
        <v>8.3554460800505002</v>
      </c>
      <c r="S20">
        <v>6.3694854971433905</v>
      </c>
      <c r="T20">
        <v>4.1952858939914126</v>
      </c>
    </row>
    <row r="21" spans="1:20" x14ac:dyDescent="0.35">
      <c r="A21">
        <v>2013</v>
      </c>
      <c r="B21">
        <v>4.6999999999999993</v>
      </c>
      <c r="C21">
        <v>2.2999999999999998</v>
      </c>
      <c r="D21">
        <v>3.2350000000000003</v>
      </c>
      <c r="E21">
        <v>3.1973250000000002</v>
      </c>
      <c r="F21">
        <v>3.05</v>
      </c>
      <c r="G21">
        <v>1770.1875</v>
      </c>
      <c r="H21">
        <v>12217.17</v>
      </c>
      <c r="I21">
        <v>0.30000000000000004</v>
      </c>
      <c r="J21">
        <v>1.7250000000000001</v>
      </c>
      <c r="K21">
        <v>8.3000000000000007</v>
      </c>
      <c r="L21">
        <v>17.375</v>
      </c>
      <c r="M21">
        <v>3</v>
      </c>
      <c r="N21">
        <v>1340.675</v>
      </c>
      <c r="O21">
        <v>104.25</v>
      </c>
      <c r="P21">
        <v>98.125</v>
      </c>
      <c r="Q21">
        <v>107.83750000000001</v>
      </c>
      <c r="R21">
        <v>7.2257371157817829</v>
      </c>
      <c r="S21">
        <v>5.7710404083925528</v>
      </c>
      <c r="T21">
        <v>3.438910606773582</v>
      </c>
    </row>
    <row r="22" spans="1:20" x14ac:dyDescent="0.35">
      <c r="A22">
        <v>2014</v>
      </c>
      <c r="B22">
        <v>6.0249999999999995</v>
      </c>
      <c r="C22">
        <v>3.0250000000000004</v>
      </c>
      <c r="D22">
        <v>3.62</v>
      </c>
      <c r="E22">
        <v>3.3133749999999997</v>
      </c>
      <c r="F22">
        <v>2.875</v>
      </c>
      <c r="G22">
        <v>1834.87</v>
      </c>
      <c r="H22">
        <v>12709.594999999999</v>
      </c>
      <c r="I22">
        <v>5.15</v>
      </c>
      <c r="J22">
        <v>4.0750000000000002</v>
      </c>
      <c r="K22">
        <v>4.8000000000000007</v>
      </c>
      <c r="L22">
        <v>18.100000000000001</v>
      </c>
      <c r="M22">
        <v>3.1500000000000004</v>
      </c>
      <c r="N22">
        <v>1250.9650000000001</v>
      </c>
      <c r="O22">
        <v>94.474999999999994</v>
      </c>
      <c r="P22">
        <v>99.625</v>
      </c>
      <c r="Q22">
        <v>93.03</v>
      </c>
      <c r="R22">
        <v>6.9715027561911604</v>
      </c>
      <c r="S22">
        <v>4.8459172103468751</v>
      </c>
      <c r="T22">
        <v>5.1765503529431323</v>
      </c>
    </row>
    <row r="23" spans="1:20" x14ac:dyDescent="0.35">
      <c r="A23">
        <v>2015</v>
      </c>
      <c r="B23">
        <v>5.0999999999999996</v>
      </c>
      <c r="C23">
        <v>2.1749999999999998</v>
      </c>
      <c r="D23">
        <v>3.75</v>
      </c>
      <c r="E23">
        <v>4.0411250000000001</v>
      </c>
      <c r="F23">
        <v>3.1750000000000003</v>
      </c>
      <c r="G23">
        <v>1712.7425000000001</v>
      </c>
      <c r="H23">
        <v>11832.65</v>
      </c>
      <c r="I23">
        <v>0.25</v>
      </c>
      <c r="J23">
        <v>0.77500000000000002</v>
      </c>
      <c r="K23">
        <v>3.6999999999999997</v>
      </c>
      <c r="L23">
        <v>22.625</v>
      </c>
      <c r="M23">
        <v>3.3</v>
      </c>
      <c r="N23">
        <v>1133.0275000000001</v>
      </c>
      <c r="O23">
        <v>69.575000000000003</v>
      </c>
      <c r="P23">
        <v>100.175</v>
      </c>
      <c r="Q23">
        <v>51.087499999999999</v>
      </c>
      <c r="R23">
        <v>6.0932511257150432</v>
      </c>
      <c r="S23">
        <v>4.6699211618352994</v>
      </c>
      <c r="T23">
        <v>4.7465302156429745</v>
      </c>
    </row>
    <row r="24" spans="1:20" x14ac:dyDescent="0.35">
      <c r="A24">
        <v>2016</v>
      </c>
      <c r="B24">
        <v>4.45</v>
      </c>
      <c r="C24">
        <v>1.85</v>
      </c>
      <c r="D24">
        <v>3.5425</v>
      </c>
      <c r="E24">
        <v>4.1382250000000003</v>
      </c>
      <c r="F24">
        <v>3.4750000000000001</v>
      </c>
      <c r="G24">
        <v>1666.4850000000001</v>
      </c>
      <c r="H24">
        <v>11651.2775</v>
      </c>
      <c r="I24">
        <v>1.325</v>
      </c>
      <c r="J24">
        <v>1.4749999999999999</v>
      </c>
      <c r="K24">
        <v>2.5499999999999998</v>
      </c>
      <c r="L24">
        <v>22.524999999999999</v>
      </c>
      <c r="M24">
        <v>3.15</v>
      </c>
      <c r="N24">
        <v>1254.5050000000001</v>
      </c>
      <c r="O24">
        <v>73.7</v>
      </c>
      <c r="P24">
        <v>99.325000000000003</v>
      </c>
      <c r="Q24">
        <v>48.79</v>
      </c>
      <c r="R24">
        <v>5.8447998670501038</v>
      </c>
      <c r="S24">
        <v>1.6344133576978668</v>
      </c>
      <c r="T24">
        <v>4.1025698596437739</v>
      </c>
    </row>
    <row r="25" spans="1:20" x14ac:dyDescent="0.35">
      <c r="A25">
        <v>2017</v>
      </c>
      <c r="B25">
        <v>5.8</v>
      </c>
      <c r="C25">
        <v>4</v>
      </c>
      <c r="D25">
        <v>3.4325000000000001</v>
      </c>
      <c r="E25">
        <v>4.2464500000000012</v>
      </c>
      <c r="F25">
        <v>3.375</v>
      </c>
      <c r="G25">
        <v>1764.0374999999999</v>
      </c>
      <c r="H25">
        <v>12608.622499999999</v>
      </c>
      <c r="I25">
        <v>8.7250000000000014</v>
      </c>
      <c r="J25">
        <v>10.25</v>
      </c>
      <c r="K25">
        <v>6.1</v>
      </c>
      <c r="L25">
        <v>12.75</v>
      </c>
      <c r="M25">
        <v>3</v>
      </c>
      <c r="N25">
        <v>1268.3399999999999</v>
      </c>
      <c r="O25">
        <v>79.25</v>
      </c>
      <c r="P25">
        <v>101.15</v>
      </c>
      <c r="Q25">
        <v>56.29</v>
      </c>
      <c r="R25">
        <v>6.9039576313246478</v>
      </c>
      <c r="S25">
        <v>5.603684063549685</v>
      </c>
      <c r="T25">
        <v>4.4532863413495996</v>
      </c>
    </row>
    <row r="26" spans="1:20" x14ac:dyDescent="0.35">
      <c r="A26">
        <v>2018</v>
      </c>
      <c r="B26">
        <v>4.8499999999999996</v>
      </c>
      <c r="C26">
        <v>0.65</v>
      </c>
      <c r="D26">
        <v>3.69</v>
      </c>
      <c r="E26">
        <v>4.04345</v>
      </c>
      <c r="F26">
        <v>3.3250000000000002</v>
      </c>
      <c r="G26">
        <v>1759.6725000000001</v>
      </c>
      <c r="H26">
        <v>12266.8125</v>
      </c>
      <c r="I26">
        <v>1.9249999999999998</v>
      </c>
      <c r="J26">
        <v>1.5</v>
      </c>
      <c r="K26">
        <v>1.3249999999999997</v>
      </c>
      <c r="L26">
        <v>11.675000000000001</v>
      </c>
      <c r="M26">
        <v>3.3</v>
      </c>
      <c r="N26">
        <v>1262.8625</v>
      </c>
      <c r="O26">
        <v>107.05</v>
      </c>
      <c r="P26">
        <v>100.575</v>
      </c>
      <c r="Q26">
        <v>71.55749999999999</v>
      </c>
      <c r="R26">
        <v>7.9556127750951777</v>
      </c>
      <c r="S26">
        <v>3.281999248773726</v>
      </c>
      <c r="T26">
        <v>3.087552281818545</v>
      </c>
    </row>
    <row r="27" spans="1:20" x14ac:dyDescent="0.35">
      <c r="A27">
        <v>2019</v>
      </c>
      <c r="B27">
        <v>4.4250000000000007</v>
      </c>
      <c r="C27">
        <v>0.95</v>
      </c>
      <c r="D27">
        <v>3.47</v>
      </c>
      <c r="E27">
        <v>4.1231749999999998</v>
      </c>
      <c r="F27">
        <v>3.3250000000000002</v>
      </c>
      <c r="G27">
        <v>1622.1075000000001</v>
      </c>
      <c r="H27">
        <v>11465.654999999999</v>
      </c>
      <c r="I27">
        <v>-1</v>
      </c>
      <c r="J27">
        <v>-2.375</v>
      </c>
      <c r="K27">
        <v>-2.1</v>
      </c>
      <c r="L27">
        <v>12.5</v>
      </c>
      <c r="M27">
        <v>3.0750000000000002</v>
      </c>
      <c r="N27">
        <v>1422.9225000000001</v>
      </c>
      <c r="O27" t="e">
        <v>#N/A</v>
      </c>
      <c r="P27">
        <v>100.625</v>
      </c>
      <c r="Q27">
        <v>65.430000000000007</v>
      </c>
      <c r="R27">
        <v>7.6942209331376024</v>
      </c>
      <c r="S27">
        <v>1.7263717701017534</v>
      </c>
      <c r="T27">
        <v>2.4616784448530158</v>
      </c>
    </row>
    <row r="28" spans="1:20" x14ac:dyDescent="0.35">
      <c r="A28">
        <v>2020</v>
      </c>
      <c r="B28">
        <v>-5.5500000000000007</v>
      </c>
      <c r="C28">
        <v>-1.2250000000000001</v>
      </c>
      <c r="D28">
        <v>2.2475000000000001</v>
      </c>
      <c r="E28">
        <v>4.1960749999999996</v>
      </c>
      <c r="F28">
        <v>4.55</v>
      </c>
      <c r="G28">
        <v>1495.9725000000001</v>
      </c>
      <c r="H28">
        <v>10596.32</v>
      </c>
      <c r="I28">
        <v>-8.65</v>
      </c>
      <c r="J28">
        <v>-7.8999999999999995</v>
      </c>
      <c r="K28">
        <v>-14.125</v>
      </c>
      <c r="L28">
        <v>13.725000000000001</v>
      </c>
      <c r="M28">
        <v>2.0249999999999999</v>
      </c>
      <c r="N28">
        <v>1785.58</v>
      </c>
      <c r="O28" t="e">
        <v>#N/A</v>
      </c>
      <c r="P28">
        <v>105.125</v>
      </c>
      <c r="Q28">
        <v>39.159999999999997</v>
      </c>
      <c r="R28">
        <v>-4.2040348382072352</v>
      </c>
      <c r="S28">
        <v>4.9094987311452005</v>
      </c>
      <c r="T28">
        <v>-4.0884836255617891</v>
      </c>
    </row>
    <row r="29" spans="1:20" x14ac:dyDescent="0.35">
      <c r="A29">
        <v>2021</v>
      </c>
      <c r="B29">
        <v>3.625</v>
      </c>
      <c r="C29">
        <v>2.625</v>
      </c>
      <c r="D29">
        <v>1.9649999999999999</v>
      </c>
      <c r="E29">
        <v>4.1615500000000001</v>
      </c>
      <c r="F29">
        <v>4.5750000000000002</v>
      </c>
      <c r="G29">
        <v>1552.8675000000001</v>
      </c>
      <c r="H29">
        <v>11347.6625</v>
      </c>
      <c r="I29">
        <v>16.5</v>
      </c>
      <c r="J29">
        <v>18.399999999999999</v>
      </c>
      <c r="K29">
        <v>-0.17500000000000071</v>
      </c>
      <c r="L29">
        <v>11.05</v>
      </c>
      <c r="M29">
        <v>1.8</v>
      </c>
      <c r="N29">
        <v>1765.9924999999998</v>
      </c>
      <c r="O29" t="e">
        <v>#N/A</v>
      </c>
      <c r="P29">
        <v>110.02500000000001</v>
      </c>
      <c r="Q29">
        <v>73.742500000000007</v>
      </c>
      <c r="R29">
        <v>2.418300378864652</v>
      </c>
      <c r="S29">
        <v>5.6414510511007325</v>
      </c>
      <c r="T29">
        <v>7.9151789633027523</v>
      </c>
    </row>
  </sheetData>
  <sortState xmlns:xlrd2="http://schemas.microsoft.com/office/spreadsheetml/2017/richdata2" ref="A2:A13">
    <sortCondition descending="1" ref="A2:A13"/>
  </sortState>
  <phoneticPr fontId="3" type="noConversion"/>
  <pageMargins left="0.7" right="0.7" top="0.75" bottom="0.75" header="0.3" footer="0.3"/>
  <ignoredErrors>
    <ignoredError sqref="CU3:CU12 BZ3:BZ12 EV3:EV14 EW3:EW14 JG3:JG13 KJ3:KJ13 BE3:BE13 EB3:EB13 EA3:EA13 GA3:GA13 GV3:GV14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D130-01B4-40BE-BD5B-561562EF2CE3}">
  <dimension ref="A1:T91"/>
  <sheetViews>
    <sheetView workbookViewId="0">
      <selection activeCell="B48" sqref="B48"/>
    </sheetView>
  </sheetViews>
  <sheetFormatPr defaultRowHeight="14.5" x14ac:dyDescent="0.35"/>
  <cols>
    <col min="1" max="1" width="14.453125" bestFit="1" customWidth="1"/>
    <col min="2" max="2" width="8.81640625" bestFit="1" customWidth="1"/>
    <col min="3" max="3" width="9" bestFit="1" customWidth="1"/>
    <col min="4" max="5" width="8.7265625" bestFit="1" customWidth="1"/>
    <col min="7" max="8" width="8.7265625" bestFit="1" customWidth="1"/>
    <col min="9" max="10" width="8.81640625" bestFit="1" customWidth="1"/>
    <col min="11" max="11" width="9" bestFit="1" customWidth="1"/>
    <col min="12" max="12" width="8.7265625" bestFit="1" customWidth="1"/>
    <col min="14" max="14" width="8.26953125" bestFit="1" customWidth="1"/>
    <col min="16" max="16" width="9" bestFit="1" customWidth="1"/>
    <col min="17" max="17" width="5.81640625" bestFit="1" customWidth="1"/>
    <col min="18" max="19" width="8.1796875" bestFit="1" customWidth="1"/>
    <col min="20" max="20" width="8.81640625" bestFit="1" customWidth="1"/>
  </cols>
  <sheetData>
    <row r="1" spans="1:20" ht="145" x14ac:dyDescent="0.35">
      <c r="A1" t="s">
        <v>34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100</v>
      </c>
      <c r="R1" s="4" t="s">
        <v>65</v>
      </c>
      <c r="S1" s="4" t="s">
        <v>66</v>
      </c>
      <c r="T1" s="4" t="s">
        <v>67</v>
      </c>
    </row>
    <row r="2" spans="1:20" x14ac:dyDescent="0.35">
      <c r="A2" s="1">
        <v>40633</v>
      </c>
      <c r="B2">
        <f>'Sorting Q'!C6/100</f>
        <v>0.05</v>
      </c>
      <c r="C2">
        <f>'Sorting Q'!D6/100</f>
        <v>0.03</v>
      </c>
      <c r="D2">
        <f>'Sorting Q'!E6/100</f>
        <v>3.04E-2</v>
      </c>
      <c r="E2">
        <f>3.0255</f>
        <v>3.0255000000000001</v>
      </c>
      <c r="F2">
        <f>'Sorting Q'!G6/100</f>
        <v>0.03</v>
      </c>
      <c r="G2">
        <f>1545.13</f>
        <v>1545.13</v>
      </c>
      <c r="H2">
        <f>10612.46</f>
        <v>10612.46</v>
      </c>
      <c r="I2">
        <f>'Sorting Q'!J6/100</f>
        <v>1.4999999999999999E-2</v>
      </c>
      <c r="J2">
        <f>'Sorting Q'!K6/100</f>
        <v>0.1</v>
      </c>
      <c r="K2">
        <f>'Sorting Q'!L6/100</f>
        <v>0.109</v>
      </c>
      <c r="L2">
        <f>'Sorting Q'!M6/100</f>
        <v>0.125</v>
      </c>
      <c r="M2">
        <f>'Sorting Q'!N6/100</f>
        <v>2.7999999999999997E-2</v>
      </c>
      <c r="N2">
        <f>1432.2</f>
        <v>1432.2</v>
      </c>
      <c r="O2">
        <f>108.2</f>
        <v>108.2</v>
      </c>
      <c r="P2">
        <f>93</f>
        <v>93</v>
      </c>
      <c r="Q2">
        <v>117.36</v>
      </c>
      <c r="R2">
        <f>'Sorting Q'!S6/100</f>
        <v>6.7201266156686978E-2</v>
      </c>
      <c r="S2">
        <f>'Sorting Q'!T6/100</f>
        <v>8.9494343107827223E-2</v>
      </c>
      <c r="T2">
        <f>'Sorting Q'!U6/100</f>
        <v>1.9614044022763455E-2</v>
      </c>
    </row>
    <row r="3" spans="1:20" x14ac:dyDescent="0.35">
      <c r="A3" s="1">
        <v>40724</v>
      </c>
      <c r="B3">
        <f>'Sorting Q'!C7/100</f>
        <v>4.5999999999999999E-2</v>
      </c>
      <c r="C3">
        <f>'Sorting Q'!D7/100</f>
        <v>3.5000000000000003E-2</v>
      </c>
      <c r="D3">
        <f>'Sorting Q'!E7/100</f>
        <v>3.2899999999999999E-2</v>
      </c>
      <c r="E3">
        <f>3.0195</f>
        <v>3.0194999999999999</v>
      </c>
      <c r="F3">
        <f>'Sorting Q'!G7/100</f>
        <v>3.2000000000000001E-2</v>
      </c>
      <c r="G3">
        <f>1579.07</f>
        <v>1579.07</v>
      </c>
      <c r="H3">
        <f>10842.25</f>
        <v>10842.25</v>
      </c>
      <c r="I3">
        <f>'Sorting Q'!J7/100</f>
        <v>5.2999999999999999E-2</v>
      </c>
      <c r="J3">
        <f>'Sorting Q'!K7/100</f>
        <v>4.2999999999999997E-2</v>
      </c>
      <c r="K3">
        <f>'Sorting Q'!L7/100</f>
        <v>0.03</v>
      </c>
      <c r="L3">
        <f>'Sorting Q'!M7/100</f>
        <v>0.157</v>
      </c>
      <c r="M3">
        <f>'Sorting Q'!N7/100</f>
        <v>0.03</v>
      </c>
      <c r="N3">
        <f>1500.18</f>
        <v>1500.18</v>
      </c>
      <c r="O3">
        <f>107.9</f>
        <v>107.9</v>
      </c>
      <c r="P3">
        <f>93.3</f>
        <v>93.3</v>
      </c>
      <c r="Q3">
        <v>112.48</v>
      </c>
      <c r="R3">
        <f>'Sorting Q'!S7/100</f>
        <v>6.2240101718585628E-2</v>
      </c>
      <c r="S3">
        <f>'Sorting Q'!T7/100</f>
        <v>4.0509843513377053E-2</v>
      </c>
      <c r="T3">
        <f>'Sorting Q'!U7/100</f>
        <v>2.1321521715123026E-3</v>
      </c>
    </row>
    <row r="4" spans="1:20" x14ac:dyDescent="0.35">
      <c r="A4" s="1">
        <v>40816</v>
      </c>
      <c r="B4">
        <f>'Sorting Q'!C8/100</f>
        <v>0.06</v>
      </c>
      <c r="C4">
        <f>'Sorting Q'!D8/100</f>
        <v>3.4000000000000002E-2</v>
      </c>
      <c r="D4">
        <f>'Sorting Q'!E8/100</f>
        <v>3.2599999999999997E-2</v>
      </c>
      <c r="E4">
        <f>3.189</f>
        <v>3.1890000000000001</v>
      </c>
      <c r="F4">
        <f>'Sorting Q'!G8/100</f>
        <v>3.3000000000000002E-2</v>
      </c>
      <c r="G4">
        <f>1387.13</f>
        <v>1387.13</v>
      </c>
      <c r="H4">
        <f>9397.57</f>
        <v>9397.57</v>
      </c>
      <c r="I4">
        <f>'Sorting Q'!J8/100</f>
        <v>4.2999999999999997E-2</v>
      </c>
      <c r="J4">
        <f>'Sorting Q'!K8/100</f>
        <v>3.9E-2</v>
      </c>
      <c r="K4">
        <f>'Sorting Q'!L8/100</f>
        <v>5.7000000000000002E-2</v>
      </c>
      <c r="L4">
        <f>'Sorting Q'!M8/100</f>
        <v>0.20300000000000001</v>
      </c>
      <c r="M4">
        <f>'Sorting Q'!N8/100</f>
        <v>0.03</v>
      </c>
      <c r="N4">
        <f>1623.79</f>
        <v>1623.79</v>
      </c>
      <c r="O4">
        <f>108.7</f>
        <v>108.7</v>
      </c>
      <c r="P4">
        <f>93.5</f>
        <v>93.5</v>
      </c>
      <c r="Q4">
        <v>102.76</v>
      </c>
      <c r="R4">
        <f>'Sorting Q'!S8/100</f>
        <v>7.291910445432559E-2</v>
      </c>
      <c r="S4">
        <f>'Sorting Q'!T8/100</f>
        <v>0.19163361903543552</v>
      </c>
      <c r="T4">
        <f>'Sorting Q'!U8/100</f>
        <v>4.0114804955203143E-2</v>
      </c>
    </row>
    <row r="5" spans="1:20" x14ac:dyDescent="0.35">
      <c r="A5" s="1">
        <v>40908</v>
      </c>
      <c r="B5">
        <f>'Sorting Q'!C9/100</f>
        <v>5.5E-2</v>
      </c>
      <c r="C5">
        <f>'Sorting Q'!D9/100</f>
        <v>0.03</v>
      </c>
      <c r="D5">
        <f>'Sorting Q'!E9/100</f>
        <v>3.2199999999999999E-2</v>
      </c>
      <c r="E5">
        <f>3.1682</f>
        <v>3.1682000000000001</v>
      </c>
      <c r="F5">
        <f>'Sorting Q'!G9/100</f>
        <v>3.1E-2</v>
      </c>
      <c r="G5">
        <f>1530.73</f>
        <v>1530.73</v>
      </c>
      <c r="H5">
        <f>10489.07</f>
        <v>10489.07</v>
      </c>
      <c r="I5">
        <f>'Sorting Q'!J9/100</f>
        <v>5.5999999999999994E-2</v>
      </c>
      <c r="J5">
        <f>'Sorting Q'!K9/100</f>
        <v>7.400000000000001E-2</v>
      </c>
      <c r="K5">
        <f>'Sorting Q'!L9/100</f>
        <v>6.4000000000000001E-2</v>
      </c>
      <c r="L5">
        <f>'Sorting Q'!M9/100</f>
        <v>0.13</v>
      </c>
      <c r="M5">
        <f>'Sorting Q'!N9/100</f>
        <v>0.03</v>
      </c>
      <c r="N5">
        <f>1564.91</f>
        <v>1564.91</v>
      </c>
      <c r="O5">
        <f>106.3</f>
        <v>106.3</v>
      </c>
      <c r="P5">
        <f>94</f>
        <v>94</v>
      </c>
      <c r="Q5">
        <v>107.38</v>
      </c>
      <c r="R5">
        <f>'Sorting Q'!S9/100</f>
        <v>7.1719281728402251E-2</v>
      </c>
      <c r="S5">
        <f>'Sorting Q'!T9/100</f>
        <v>0.2100789137750958</v>
      </c>
      <c r="T5">
        <f>'Sorting Q'!U9/100</f>
        <v>3.3645805608782275E-2</v>
      </c>
    </row>
    <row r="6" spans="1:20" x14ac:dyDescent="0.35">
      <c r="A6" s="1">
        <v>40999</v>
      </c>
      <c r="B6">
        <f>'Sorting Q'!C10/100</f>
        <v>5.0999999999999997E-2</v>
      </c>
      <c r="C6">
        <f>'Sorting Q'!D10/100</f>
        <v>2.1000000000000001E-2</v>
      </c>
      <c r="D6">
        <f>'Sorting Q'!E10/100</f>
        <v>3.1899999999999998E-2</v>
      </c>
      <c r="E6">
        <f>3.0635</f>
        <v>3.0634999999999999</v>
      </c>
      <c r="F6">
        <f>'Sorting Q'!G10/100</f>
        <v>2.8999999999999998E-2</v>
      </c>
      <c r="G6">
        <f>1596.33</f>
        <v>1596.33</v>
      </c>
      <c r="H6">
        <f>10939.63</f>
        <v>10939.63</v>
      </c>
      <c r="I6">
        <f>'Sorting Q'!J10/100</f>
        <v>1.3999999999999999E-2</v>
      </c>
      <c r="J6">
        <f>'Sorting Q'!K10/100</f>
        <v>5.7999999999999996E-2</v>
      </c>
      <c r="K6">
        <f>'Sorting Q'!L10/100</f>
        <v>0.13600000000000001</v>
      </c>
      <c r="L6">
        <f>'Sorting Q'!M10/100</f>
        <v>0.13600000000000001</v>
      </c>
      <c r="M6">
        <f>'Sorting Q'!N10/100</f>
        <v>0.03</v>
      </c>
      <c r="N6">
        <f>1668.15</f>
        <v>1668.15</v>
      </c>
      <c r="O6">
        <f>114.3</f>
        <v>114.3</v>
      </c>
      <c r="P6">
        <f>95.2</f>
        <v>95.2</v>
      </c>
      <c r="Q6">
        <v>122.88</v>
      </c>
      <c r="R6">
        <f>'Sorting Q'!S10/100</f>
        <v>8.0884679269160889E-2</v>
      </c>
      <c r="S6">
        <f>'Sorting Q'!T10/100</f>
        <v>0.10490399694824726</v>
      </c>
      <c r="T6">
        <f>'Sorting Q'!U10/100</f>
        <v>4.8172348907659757E-2</v>
      </c>
    </row>
    <row r="7" spans="1:20" x14ac:dyDescent="0.35">
      <c r="A7" s="1">
        <v>41090</v>
      </c>
      <c r="B7">
        <f>'Sorting Q'!C11/100</f>
        <v>5.2000000000000005E-2</v>
      </c>
      <c r="C7">
        <f>'Sorting Q'!D11/100</f>
        <v>1.6E-2</v>
      </c>
      <c r="D7">
        <f>'Sorting Q'!E11/100</f>
        <v>3.1899999999999998E-2</v>
      </c>
      <c r="E7">
        <f>3.179</f>
        <v>3.1789999999999998</v>
      </c>
      <c r="F7">
        <f>'Sorting Q'!G11/100</f>
        <v>0.03</v>
      </c>
      <c r="G7">
        <f>1599.15</f>
        <v>1599.15</v>
      </c>
      <c r="H7">
        <f>10917.64</f>
        <v>10917.64</v>
      </c>
      <c r="I7">
        <f>'Sorting Q'!J11/100</f>
        <v>5.0000000000000001E-3</v>
      </c>
      <c r="J7">
        <f>'Sorting Q'!K11/100</f>
        <v>7.9000000000000001E-2</v>
      </c>
      <c r="K7">
        <f>'Sorting Q'!L11/100</f>
        <v>0.252</v>
      </c>
      <c r="L7">
        <f>'Sorting Q'!M11/100</f>
        <v>0.221</v>
      </c>
      <c r="M7">
        <f>'Sorting Q'!N11/100</f>
        <v>0.03</v>
      </c>
      <c r="N7">
        <f>1597.45</f>
        <v>1597.45</v>
      </c>
      <c r="O7">
        <f>114.9</f>
        <v>114.9</v>
      </c>
      <c r="P7">
        <f>95.6</f>
        <v>95.6</v>
      </c>
      <c r="Q7">
        <v>97.8</v>
      </c>
      <c r="R7">
        <f>'Sorting Q'!S11/100</f>
        <v>9.3315542124937423E-2</v>
      </c>
      <c r="S7">
        <f>'Sorting Q'!T11/100</f>
        <v>0.11190620578128163</v>
      </c>
      <c r="T7">
        <f>'Sorting Q'!U11/100</f>
        <v>3.7566060289698333E-2</v>
      </c>
    </row>
    <row r="8" spans="1:20" x14ac:dyDescent="0.35">
      <c r="A8" s="1">
        <v>41182</v>
      </c>
      <c r="B8">
        <f>'Sorting Q'!C12/100</f>
        <v>0.05</v>
      </c>
      <c r="C8">
        <f>'Sorting Q'!D12/100</f>
        <v>1.3000000000000001E-2</v>
      </c>
      <c r="D8">
        <f>'Sorting Q'!E12/100</f>
        <v>3.2000000000000001E-2</v>
      </c>
      <c r="E8">
        <f>3.0585</f>
        <v>3.0585</v>
      </c>
      <c r="F8">
        <f>'Sorting Q'!G12/100</f>
        <v>3.2000000000000001E-2</v>
      </c>
      <c r="G8">
        <f>1636.66</f>
        <v>1636.66</v>
      </c>
      <c r="H8">
        <f>11106.56</f>
        <v>11106.56</v>
      </c>
      <c r="I8">
        <f>'Sorting Q'!J12/100</f>
        <v>-4.7E-2</v>
      </c>
      <c r="J8">
        <f>'Sorting Q'!K12/100</f>
        <v>1.9E-2</v>
      </c>
      <c r="K8">
        <f>'Sorting Q'!L12/100</f>
        <v>0.214</v>
      </c>
      <c r="L8">
        <f>'Sorting Q'!M12/100</f>
        <v>0.20600000000000002</v>
      </c>
      <c r="M8">
        <f>'Sorting Q'!N12/100</f>
        <v>0.03</v>
      </c>
      <c r="N8">
        <f>1772.25</f>
        <v>1772.25</v>
      </c>
      <c r="O8">
        <f>118.3</f>
        <v>118.3</v>
      </c>
      <c r="P8">
        <f>94.7</f>
        <v>94.7</v>
      </c>
      <c r="Q8">
        <v>112.39</v>
      </c>
      <c r="R8">
        <f>'Sorting Q'!S12/100</f>
        <v>9.2365718440425404E-2</v>
      </c>
      <c r="S8">
        <f>'Sorting Q'!T12/100</f>
        <v>3.041689032027195E-2</v>
      </c>
      <c r="T8">
        <f>'Sorting Q'!U12/100</f>
        <v>1.6557614996659309E-2</v>
      </c>
    </row>
    <row r="9" spans="1:20" x14ac:dyDescent="0.35">
      <c r="A9" s="1">
        <v>41274</v>
      </c>
      <c r="B9">
        <f>'Sorting Q'!C13/100</f>
        <v>6.5000000000000002E-2</v>
      </c>
      <c r="C9">
        <f>'Sorting Q'!D13/100</f>
        <v>1.2E-2</v>
      </c>
      <c r="D9">
        <f>'Sorting Q'!E13/100</f>
        <v>3.2099999999999997E-2</v>
      </c>
      <c r="E9">
        <f>3.0585</f>
        <v>3.0585</v>
      </c>
      <c r="F9">
        <f>'Sorting Q'!G13/100</f>
        <v>3.3000000000000002E-2</v>
      </c>
      <c r="G9">
        <f>1688.95</f>
        <v>1688.95</v>
      </c>
      <c r="H9">
        <f>11438.14</f>
        <v>11438.14</v>
      </c>
      <c r="I9">
        <f>'Sorting Q'!J13/100</f>
        <v>-0.04</v>
      </c>
      <c r="J9">
        <f>'Sorting Q'!K13/100</f>
        <v>-3.3000000000000002E-2</v>
      </c>
      <c r="K9">
        <f>'Sorting Q'!L13/100</f>
        <v>0.155</v>
      </c>
      <c r="L9">
        <f>'Sorting Q'!M13/100</f>
        <v>0.15</v>
      </c>
      <c r="M9">
        <f>'Sorting Q'!N13/100</f>
        <v>0.03</v>
      </c>
      <c r="N9">
        <f>1675.35</f>
        <v>1675.35</v>
      </c>
      <c r="O9">
        <f>118.7</f>
        <v>118.7</v>
      </c>
      <c r="P9">
        <f>95.5</f>
        <v>95.5</v>
      </c>
      <c r="Q9">
        <v>111.11</v>
      </c>
      <c r="R9">
        <f>'Sorting Q'!S13/100</f>
        <v>6.7651903367496269E-2</v>
      </c>
      <c r="S9">
        <f>'Sorting Q'!T13/100</f>
        <v>7.5523268359347639E-3</v>
      </c>
      <c r="T9">
        <f>'Sorting Q'!U13/100</f>
        <v>6.5515411565639114E-2</v>
      </c>
    </row>
    <row r="10" spans="1:20" x14ac:dyDescent="0.35">
      <c r="A10" s="1">
        <v>41364</v>
      </c>
      <c r="B10">
        <f>'Sorting Q'!C14/100</f>
        <v>4.2999999999999997E-2</v>
      </c>
      <c r="C10">
        <f>'Sorting Q'!D14/100</f>
        <v>1.6E-2</v>
      </c>
      <c r="D10">
        <f>'Sorting Q'!E14/100</f>
        <v>3.2099999999999997E-2</v>
      </c>
      <c r="E10">
        <f>3.0938</f>
        <v>3.0937999999999999</v>
      </c>
      <c r="F10">
        <f>'Sorting Q'!G14/100</f>
        <v>3.3000000000000002E-2</v>
      </c>
      <c r="G10">
        <f>1671.63</f>
        <v>1671.63</v>
      </c>
      <c r="H10">
        <f>11420.49</f>
        <v>11420.49</v>
      </c>
      <c r="I10">
        <f>'Sorting Q'!J14/100</f>
        <v>-3.5000000000000003E-2</v>
      </c>
      <c r="J10">
        <f>'Sorting Q'!K14/100</f>
        <v>-2.4E-2</v>
      </c>
      <c r="K10">
        <f>'Sorting Q'!L14/100</f>
        <v>0.125</v>
      </c>
      <c r="L10">
        <f>'Sorting Q'!M14/100</f>
        <v>0.19800000000000001</v>
      </c>
      <c r="M10">
        <f>'Sorting Q'!N14/100</f>
        <v>0.03</v>
      </c>
      <c r="N10">
        <f>1597.5</f>
        <v>1597.5</v>
      </c>
      <c r="O10">
        <f>122.9</f>
        <v>122.9</v>
      </c>
      <c r="P10">
        <f>98</f>
        <v>98</v>
      </c>
      <c r="Q10">
        <v>110.02</v>
      </c>
      <c r="R10">
        <f>'Sorting Q'!S14/100</f>
        <v>6.4084152755545354E-2</v>
      </c>
      <c r="S10">
        <f>'Sorting Q'!T14/100</f>
        <v>1.7646156206843067E-3</v>
      </c>
      <c r="T10">
        <f>'Sorting Q'!U14/100</f>
        <v>4.049777670815935E-4</v>
      </c>
    </row>
    <row r="11" spans="1:20" x14ac:dyDescent="0.35">
      <c r="A11" s="1">
        <v>41455</v>
      </c>
      <c r="B11">
        <f>'Sorting Q'!C15/100</f>
        <v>4.5999999999999999E-2</v>
      </c>
      <c r="C11">
        <f>'Sorting Q'!D15/100</f>
        <v>1.8000000000000002E-2</v>
      </c>
      <c r="D11">
        <f>'Sorting Q'!E15/100</f>
        <v>3.2000000000000001E-2</v>
      </c>
      <c r="E11">
        <f>3.1605</f>
        <v>3.1604999999999999</v>
      </c>
      <c r="F11">
        <f>'Sorting Q'!G15/100</f>
        <v>2.7999999999999997E-2</v>
      </c>
      <c r="G11">
        <f>1773.54</f>
        <v>1773.54</v>
      </c>
      <c r="H11">
        <f>12304.91</f>
        <v>12304.91</v>
      </c>
      <c r="I11">
        <f>'Sorting Q'!J15/100</f>
        <v>-4.5999999999999999E-2</v>
      </c>
      <c r="J11">
        <f>'Sorting Q'!K15/100</f>
        <v>-1.3999999999999999E-2</v>
      </c>
      <c r="K11">
        <f>'Sorting Q'!L15/100</f>
        <v>5.7999999999999996E-2</v>
      </c>
      <c r="L11">
        <f>'Sorting Q'!M15/100</f>
        <v>0.187</v>
      </c>
      <c r="M11">
        <f>'Sorting Q'!N15/100</f>
        <v>0.03</v>
      </c>
      <c r="N11">
        <f>1234.53</f>
        <v>1234.53</v>
      </c>
      <c r="O11">
        <f>109.7</f>
        <v>109.7</v>
      </c>
      <c r="P11">
        <f>97.9</f>
        <v>97.9</v>
      </c>
      <c r="Q11">
        <v>102.16</v>
      </c>
      <c r="R11">
        <f>'Sorting Q'!S15/100</f>
        <v>6.8829980077893538E-2</v>
      </c>
      <c r="S11">
        <f>'Sorting Q'!T15/100</f>
        <v>0.10827909682580072</v>
      </c>
      <c r="T11">
        <f>'Sorting Q'!U15/100</f>
        <v>5.2840613801768299E-2</v>
      </c>
    </row>
    <row r="12" spans="1:20" x14ac:dyDescent="0.35">
      <c r="A12" s="1">
        <v>41547</v>
      </c>
      <c r="B12">
        <f>'Sorting Q'!C16/100</f>
        <v>4.9000000000000002E-2</v>
      </c>
      <c r="C12">
        <f>'Sorting Q'!D16/100</f>
        <v>2.6000000000000002E-2</v>
      </c>
      <c r="D12">
        <f>'Sorting Q'!E16/100</f>
        <v>3.2099999999999997E-2</v>
      </c>
      <c r="E12">
        <f>3.2595</f>
        <v>3.2595000000000001</v>
      </c>
      <c r="F12">
        <f>'Sorting Q'!G16/100</f>
        <v>3.1E-2</v>
      </c>
      <c r="G12">
        <f>1768.62</f>
        <v>1768.62</v>
      </c>
      <c r="H12">
        <f>12289.65</f>
        <v>12289.65</v>
      </c>
      <c r="I12">
        <f>'Sorting Q'!J16/100</f>
        <v>4.2000000000000003E-2</v>
      </c>
      <c r="J12">
        <f>'Sorting Q'!K16/100</f>
        <v>3.7999999999999999E-2</v>
      </c>
      <c r="K12">
        <f>'Sorting Q'!L16/100</f>
        <v>8.8000000000000009E-2</v>
      </c>
      <c r="L12">
        <f>'Sorting Q'!M16/100</f>
        <v>0.17399999999999999</v>
      </c>
      <c r="M12">
        <f>'Sorting Q'!N16/100</f>
        <v>0.03</v>
      </c>
      <c r="N12">
        <f>1329.03</f>
        <v>1329.03</v>
      </c>
      <c r="O12">
        <f>102</f>
        <v>102</v>
      </c>
      <c r="P12">
        <f>98.8</f>
        <v>98.8</v>
      </c>
      <c r="Q12">
        <v>108.37</v>
      </c>
      <c r="R12">
        <f>'Sorting Q'!S16/100</f>
        <v>8.0270897639629593E-2</v>
      </c>
      <c r="S12">
        <f>'Sorting Q'!T16/100</f>
        <v>6.6400416739017087E-2</v>
      </c>
      <c r="T12">
        <f>'Sorting Q'!U16/100</f>
        <v>5.4815808005471478E-2</v>
      </c>
    </row>
    <row r="13" spans="1:20" x14ac:dyDescent="0.35">
      <c r="A13" s="1">
        <v>41639</v>
      </c>
      <c r="B13">
        <f>'Sorting Q'!C17/100</f>
        <v>0.05</v>
      </c>
      <c r="C13">
        <f>'Sorting Q'!D17/100</f>
        <v>3.2000000000000001E-2</v>
      </c>
      <c r="D13">
        <f>'Sorting Q'!E17/100</f>
        <v>3.32E-2</v>
      </c>
      <c r="E13">
        <f>3.2755</f>
        <v>3.2755000000000001</v>
      </c>
      <c r="F13">
        <f>'Sorting Q'!G17/100</f>
        <v>0.03</v>
      </c>
      <c r="G13">
        <f>1866.96</f>
        <v>1866.96</v>
      </c>
      <c r="H13">
        <f>12853.63</f>
        <v>12853.63</v>
      </c>
      <c r="I13">
        <f>'Sorting Q'!J17/100</f>
        <v>5.0999999999999997E-2</v>
      </c>
      <c r="J13">
        <f>'Sorting Q'!K17/100</f>
        <v>6.9000000000000006E-2</v>
      </c>
      <c r="K13">
        <f>'Sorting Q'!L17/100</f>
        <v>6.0999999999999999E-2</v>
      </c>
      <c r="L13">
        <f>'Sorting Q'!M17/100</f>
        <v>0.13600000000000001</v>
      </c>
      <c r="M13">
        <f>'Sorting Q'!N17/100</f>
        <v>0.03</v>
      </c>
      <c r="N13">
        <f>1201.64</f>
        <v>1201.6400000000001</v>
      </c>
      <c r="O13">
        <f>82.4</f>
        <v>82.4</v>
      </c>
      <c r="P13">
        <f>97.8</f>
        <v>97.8</v>
      </c>
      <c r="Q13">
        <v>110.8</v>
      </c>
      <c r="R13">
        <f>'Sorting Q'!S17/100</f>
        <v>7.5844454158202845E-2</v>
      </c>
      <c r="S13">
        <f>'Sorting Q'!T17/100</f>
        <v>5.4397487150199986E-2</v>
      </c>
      <c r="T13">
        <f>'Sorting Q'!U17/100</f>
        <v>2.9495024696621908E-2</v>
      </c>
    </row>
    <row r="14" spans="1:20" x14ac:dyDescent="0.35">
      <c r="A14" s="1">
        <v>41729</v>
      </c>
      <c r="B14">
        <f>'Sorting Q'!C18/100</f>
        <v>6.3E-2</v>
      </c>
      <c r="C14">
        <f>'Sorting Q'!D18/100</f>
        <v>3.5000000000000003E-2</v>
      </c>
      <c r="D14">
        <f>'Sorting Q'!E18/100</f>
        <v>3.3300000000000003E-2</v>
      </c>
      <c r="E14">
        <f>3.2655</f>
        <v>3.2654999999999998</v>
      </c>
      <c r="F14">
        <f>'Sorting Q'!G18/100</f>
        <v>0.03</v>
      </c>
      <c r="G14">
        <f>1849.21</f>
        <v>1849.21</v>
      </c>
      <c r="H14">
        <f>12797.64</f>
        <v>12797.64</v>
      </c>
      <c r="I14">
        <f>'Sorting Q'!J18/100</f>
        <v>7.8E-2</v>
      </c>
      <c r="J14">
        <f>'Sorting Q'!K18/100</f>
        <v>7.4999999999999997E-2</v>
      </c>
      <c r="K14">
        <f>'Sorting Q'!L18/100</f>
        <v>6.7000000000000004E-2</v>
      </c>
      <c r="L14">
        <f>'Sorting Q'!M18/100</f>
        <v>0.14800000000000002</v>
      </c>
      <c r="M14">
        <f>'Sorting Q'!N18/100</f>
        <v>0.03</v>
      </c>
      <c r="N14">
        <f>1284.01</f>
        <v>1284.01</v>
      </c>
      <c r="O14">
        <f>96.8</f>
        <v>96.8</v>
      </c>
      <c r="P14">
        <f>98.2</f>
        <v>98.2</v>
      </c>
      <c r="Q14">
        <v>107.76</v>
      </c>
      <c r="R14">
        <f>'Sorting Q'!S18/100</f>
        <v>6.9474172834412151E-2</v>
      </c>
      <c r="S14">
        <f>'Sorting Q'!T18/100</f>
        <v>0.11951443670062044</v>
      </c>
      <c r="T14">
        <f>'Sorting Q'!U18/100</f>
        <v>4.7175979985097261E-2</v>
      </c>
    </row>
    <row r="15" spans="1:20" x14ac:dyDescent="0.35">
      <c r="A15" s="1">
        <v>41820</v>
      </c>
      <c r="B15">
        <f>'Sorting Q'!C19/100</f>
        <v>6.5000000000000002E-2</v>
      </c>
      <c r="C15">
        <f>'Sorting Q'!D19/100</f>
        <v>3.3000000000000002E-2</v>
      </c>
      <c r="D15">
        <f>'Sorting Q'!E19/100</f>
        <v>3.5499999999999997E-2</v>
      </c>
      <c r="E15">
        <f>3.211</f>
        <v>3.2109999999999999</v>
      </c>
      <c r="F15">
        <f>'Sorting Q'!G19/100</f>
        <v>2.7999999999999997E-2</v>
      </c>
      <c r="G15">
        <f>1882.71</f>
        <v>1882.71</v>
      </c>
      <c r="H15">
        <f>13049.79</f>
        <v>13049.79</v>
      </c>
      <c r="I15">
        <f>'Sorting Q'!J19/100</f>
        <v>8.5999999999999993E-2</v>
      </c>
      <c r="J15">
        <f>'Sorting Q'!K19/100</f>
        <v>4.4000000000000004E-2</v>
      </c>
      <c r="K15">
        <f>'Sorting Q'!L19/100</f>
        <v>6.9000000000000006E-2</v>
      </c>
      <c r="L15">
        <f>'Sorting Q'!M19/100</f>
        <v>0.17600000000000002</v>
      </c>
      <c r="M15">
        <f>'Sorting Q'!N19/100</f>
        <v>0.03</v>
      </c>
      <c r="N15">
        <f>1327.33</f>
        <v>1327.33</v>
      </c>
      <c r="O15">
        <f>100.1</f>
        <v>100.1</v>
      </c>
      <c r="P15">
        <f>98.9</f>
        <v>98.9</v>
      </c>
      <c r="Q15">
        <v>112.36</v>
      </c>
      <c r="R15">
        <f>'Sorting Q'!S19/100</f>
        <v>6.5169935518538447E-2</v>
      </c>
      <c r="S15">
        <f>'Sorting Q'!T19/100</f>
        <v>-1.4107148715593043E-3</v>
      </c>
      <c r="T15">
        <f>'Sorting Q'!U19/100</f>
        <v>5.8995429371448083E-2</v>
      </c>
    </row>
    <row r="16" spans="1:20" x14ac:dyDescent="0.35">
      <c r="A16" s="1">
        <v>41912</v>
      </c>
      <c r="B16">
        <f>'Sorting Q'!C20/100</f>
        <v>5.5999999999999994E-2</v>
      </c>
      <c r="C16">
        <f>'Sorting Q'!D20/100</f>
        <v>2.6000000000000002E-2</v>
      </c>
      <c r="D16">
        <f>'Sorting Q'!E20/100</f>
        <v>3.7400000000000003E-2</v>
      </c>
      <c r="E16">
        <f>3.2805</f>
        <v>3.2805</v>
      </c>
      <c r="F16">
        <f>'Sorting Q'!G20/100</f>
        <v>2.7000000000000003E-2</v>
      </c>
      <c r="G16">
        <f>1846.31</f>
        <v>1846.31</v>
      </c>
      <c r="H16">
        <f>12924.67</f>
        <v>12924.67</v>
      </c>
      <c r="I16">
        <f>'Sorting Q'!J20/100</f>
        <v>2.6000000000000002E-2</v>
      </c>
      <c r="J16">
        <f>'Sorting Q'!K20/100</f>
        <v>2.1000000000000001E-2</v>
      </c>
      <c r="K16">
        <f>'Sorting Q'!L20/100</f>
        <v>1.3000000000000001E-2</v>
      </c>
      <c r="L16">
        <f>'Sorting Q'!M20/100</f>
        <v>0.253</v>
      </c>
      <c r="M16">
        <f>'Sorting Q'!N20/100</f>
        <v>3.3000000000000002E-2</v>
      </c>
      <c r="N16">
        <f>1208.15</f>
        <v>1208.1500000000001</v>
      </c>
      <c r="O16">
        <f>98</f>
        <v>98</v>
      </c>
      <c r="P16">
        <f>100.4</f>
        <v>100.4</v>
      </c>
      <c r="Q16">
        <v>94.67</v>
      </c>
      <c r="R16">
        <f>'Sorting Q'!S20/100</f>
        <v>6.8006253802727956E-2</v>
      </c>
      <c r="S16">
        <f>'Sorting Q'!T20/100</f>
        <v>5.0998143745725644E-2</v>
      </c>
      <c r="T16">
        <f>'Sorting Q'!U20/100</f>
        <v>4.2131817743692013E-2</v>
      </c>
    </row>
    <row r="17" spans="1:20" x14ac:dyDescent="0.35">
      <c r="A17" s="1">
        <v>42004</v>
      </c>
      <c r="B17">
        <f>'Sorting Q'!C21/100</f>
        <v>5.7000000000000002E-2</v>
      </c>
      <c r="C17">
        <f>'Sorting Q'!D21/100</f>
        <v>2.7000000000000003E-2</v>
      </c>
      <c r="D17">
        <f>'Sorting Q'!E21/100</f>
        <v>3.8599999999999995E-2</v>
      </c>
      <c r="E17">
        <f>3.4965</f>
        <v>3.4965000000000002</v>
      </c>
      <c r="F17">
        <f>'Sorting Q'!G21/100</f>
        <v>0.03</v>
      </c>
      <c r="G17">
        <f>1761.25</f>
        <v>1761.25</v>
      </c>
      <c r="H17">
        <f>12066.28</f>
        <v>12066.28</v>
      </c>
      <c r="I17">
        <f>'Sorting Q'!J21/100</f>
        <v>1.6E-2</v>
      </c>
      <c r="J17">
        <f>'Sorting Q'!K21/100</f>
        <v>2.3E-2</v>
      </c>
      <c r="K17">
        <f>'Sorting Q'!L21/100</f>
        <v>4.2999999999999997E-2</v>
      </c>
      <c r="L17">
        <f>'Sorting Q'!M21/100</f>
        <v>0.14699999999999999</v>
      </c>
      <c r="M17">
        <f>'Sorting Q'!N21/100</f>
        <v>3.3000000000000002E-2</v>
      </c>
      <c r="N17">
        <f>1184.37</f>
        <v>1184.3699999999999</v>
      </c>
      <c r="O17">
        <f>83</f>
        <v>83</v>
      </c>
      <c r="P17">
        <f>101</f>
        <v>101</v>
      </c>
      <c r="Q17">
        <v>57.33</v>
      </c>
      <c r="R17">
        <f>'Sorting Q'!S21/100</f>
        <v>7.6209748091967899E-2</v>
      </c>
      <c r="S17">
        <f>'Sorting Q'!T21/100</f>
        <v>2.4734822839088233E-2</v>
      </c>
      <c r="T17">
        <f>'Sorting Q'!U21/100</f>
        <v>5.8758787017487935E-2</v>
      </c>
    </row>
    <row r="18" spans="1:20" x14ac:dyDescent="0.35">
      <c r="A18" s="1">
        <v>42094</v>
      </c>
      <c r="B18">
        <f>'Sorting Q'!C22/100</f>
        <v>5.9000000000000004E-2</v>
      </c>
      <c r="C18">
        <f>'Sorting Q'!D22/100</f>
        <v>9.0000000000000011E-3</v>
      </c>
      <c r="D18">
        <f>'Sorting Q'!E22/100</f>
        <v>3.73E-2</v>
      </c>
      <c r="E18">
        <f>3.7035</f>
        <v>3.7035</v>
      </c>
      <c r="F18">
        <f>'Sorting Q'!G22/100</f>
        <v>0.03</v>
      </c>
      <c r="G18">
        <f>1830.78</f>
        <v>1830.78</v>
      </c>
      <c r="H18">
        <f>12563.38</f>
        <v>12563.38</v>
      </c>
      <c r="I18">
        <f>'Sorting Q'!J22/100</f>
        <v>-1.7000000000000001E-2</v>
      </c>
      <c r="J18">
        <f>'Sorting Q'!K22/100</f>
        <v>-2E-3</v>
      </c>
      <c r="K18">
        <f>'Sorting Q'!L22/100</f>
        <v>7.8E-2</v>
      </c>
      <c r="L18">
        <f>'Sorting Q'!M22/100</f>
        <v>0.22500000000000001</v>
      </c>
      <c r="M18">
        <f>'Sorting Q'!N22/100</f>
        <v>3.3000000000000002E-2</v>
      </c>
      <c r="N18">
        <f>1183.57</f>
        <v>1183.57</v>
      </c>
      <c r="O18">
        <f>72.6</f>
        <v>72.599999999999994</v>
      </c>
      <c r="P18">
        <f>101.1</f>
        <v>101.1</v>
      </c>
      <c r="Q18">
        <v>55.11</v>
      </c>
      <c r="R18">
        <f>'Sorting Q'!S22/100</f>
        <v>8.884923601231387E-2</v>
      </c>
      <c r="S18">
        <f>'Sorting Q'!T22/100</f>
        <v>4.3680519924747641E-2</v>
      </c>
      <c r="T18">
        <f>'Sorting Q'!U22/100</f>
        <v>6.8795794753786943E-2</v>
      </c>
    </row>
    <row r="19" spans="1:20" x14ac:dyDescent="0.35">
      <c r="A19" s="1">
        <v>42185</v>
      </c>
      <c r="B19">
        <f>'Sorting Q'!C23/100</f>
        <v>0.05</v>
      </c>
      <c r="C19">
        <f>'Sorting Q'!D23/100</f>
        <v>2.5000000000000001E-2</v>
      </c>
      <c r="D19">
        <f>'Sorting Q'!E23/100</f>
        <v>3.6900000000000002E-2</v>
      </c>
      <c r="E19">
        <f>3.773</f>
        <v>3.7730000000000001</v>
      </c>
      <c r="F19">
        <f>'Sorting Q'!G23/100</f>
        <v>3.1E-2</v>
      </c>
      <c r="G19">
        <f>1706.64</f>
        <v>1706.64</v>
      </c>
      <c r="H19">
        <f>11771.94</f>
        <v>11771.94</v>
      </c>
      <c r="I19">
        <f>'Sorting Q'!J23/100</f>
        <v>-4.2999999999999997E-2</v>
      </c>
      <c r="J19">
        <f>'Sorting Q'!K23/100</f>
        <v>-3.3000000000000002E-2</v>
      </c>
      <c r="K19">
        <f>'Sorting Q'!L23/100</f>
        <v>3.0000000000000001E-3</v>
      </c>
      <c r="L19">
        <f>'Sorting Q'!M23/100</f>
        <v>0.21100000000000002</v>
      </c>
      <c r="M19">
        <f>'Sorting Q'!N23/100</f>
        <v>3.3000000000000002E-2</v>
      </c>
      <c r="N19">
        <f>1172.35</f>
        <v>1172.3499999999999</v>
      </c>
      <c r="O19">
        <f>71.7</f>
        <v>71.7</v>
      </c>
      <c r="P19">
        <f>99.8</f>
        <v>99.8</v>
      </c>
      <c r="Q19">
        <v>63.59</v>
      </c>
      <c r="R19">
        <f>'Sorting Q'!S23/100</f>
        <v>6.4477480175933577E-2</v>
      </c>
      <c r="S19">
        <f>'Sorting Q'!T23/100</f>
        <v>7.0898219331099188E-2</v>
      </c>
      <c r="T19">
        <f>'Sorting Q'!U23/100</f>
        <v>4.3581326937337517E-2</v>
      </c>
    </row>
    <row r="20" spans="1:20" x14ac:dyDescent="0.35">
      <c r="A20" s="1">
        <v>42277</v>
      </c>
      <c r="B20">
        <f>'Sorting Q'!C24/100</f>
        <v>4.8000000000000001E-2</v>
      </c>
      <c r="C20">
        <f>'Sorting Q'!D24/100</f>
        <v>2.6000000000000002E-2</v>
      </c>
      <c r="D20">
        <f>'Sorting Q'!E24/100</f>
        <v>3.7400000000000003E-2</v>
      </c>
      <c r="E20">
        <f>4.3955</f>
        <v>4.3955000000000002</v>
      </c>
      <c r="F20">
        <f>'Sorting Q'!G24/100</f>
        <v>3.2000000000000001E-2</v>
      </c>
      <c r="G20">
        <f>1621.04</f>
        <v>1621.04</v>
      </c>
      <c r="H20">
        <f>11201.63</f>
        <v>11201.63</v>
      </c>
      <c r="I20">
        <f>'Sorting Q'!J24/100</f>
        <v>3.2000000000000001E-2</v>
      </c>
      <c r="J20">
        <f>'Sorting Q'!K24/100</f>
        <v>2.8999999999999998E-2</v>
      </c>
      <c r="K20">
        <f>'Sorting Q'!L24/100</f>
        <v>4.0999999999999995E-2</v>
      </c>
      <c r="L20">
        <f>'Sorting Q'!M24/100</f>
        <v>0.26500000000000001</v>
      </c>
      <c r="M20">
        <f>'Sorting Q'!N24/100</f>
        <v>3.3000000000000002E-2</v>
      </c>
      <c r="N20">
        <f>1115.09</f>
        <v>1115.0899999999999</v>
      </c>
      <c r="O20">
        <f>70.2</f>
        <v>70.2</v>
      </c>
      <c r="P20">
        <f>100</f>
        <v>100</v>
      </c>
      <c r="Q20">
        <v>48.37</v>
      </c>
      <c r="R20">
        <f>'Sorting Q'!S24/100</f>
        <v>4.1472261684130096E-2</v>
      </c>
      <c r="S20">
        <f>'Sorting Q'!T24/100</f>
        <v>3.7244755678121022E-2</v>
      </c>
      <c r="T20">
        <f>'Sorting Q'!U24/100</f>
        <v>4.6055917167041605E-2</v>
      </c>
    </row>
    <row r="21" spans="1:20" x14ac:dyDescent="0.35">
      <c r="A21" s="1">
        <v>42369</v>
      </c>
      <c r="B21">
        <f>'Sorting Q'!C25/100</f>
        <v>4.7E-2</v>
      </c>
      <c r="C21">
        <f>'Sorting Q'!D25/100</f>
        <v>2.7000000000000003E-2</v>
      </c>
      <c r="D21">
        <f>'Sorting Q'!E25/100</f>
        <v>3.8399999999999997E-2</v>
      </c>
      <c r="E21">
        <f>4.2925</f>
        <v>4.2925000000000004</v>
      </c>
      <c r="F21">
        <f>'Sorting Q'!G25/100</f>
        <v>3.4000000000000002E-2</v>
      </c>
      <c r="G21">
        <f>1692.51</f>
        <v>1692.51</v>
      </c>
      <c r="H21">
        <f>11793.65</f>
        <v>11793.65</v>
      </c>
      <c r="I21">
        <f>'Sorting Q'!J25/100</f>
        <v>3.7999999999999999E-2</v>
      </c>
      <c r="J21">
        <f>'Sorting Q'!K25/100</f>
        <v>3.7000000000000005E-2</v>
      </c>
      <c r="K21">
        <f>'Sorting Q'!L25/100</f>
        <v>2.6000000000000002E-2</v>
      </c>
      <c r="L21">
        <f>'Sorting Q'!M25/100</f>
        <v>0.20399999999999999</v>
      </c>
      <c r="M21">
        <f>'Sorting Q'!N25/100</f>
        <v>3.3000000000000002E-2</v>
      </c>
      <c r="N21">
        <f>1061.1</f>
        <v>1061.0999999999999</v>
      </c>
      <c r="O21">
        <f>63.8</f>
        <v>63.8</v>
      </c>
      <c r="P21">
        <f>99.8</f>
        <v>99.8</v>
      </c>
      <c r="Q21">
        <v>37.28</v>
      </c>
      <c r="R21">
        <f>'Sorting Q'!S25/100</f>
        <v>4.8931067156224195E-2</v>
      </c>
      <c r="S21">
        <f>'Sorting Q'!T25/100</f>
        <v>3.4973351539444142E-2</v>
      </c>
      <c r="T21">
        <f>'Sorting Q'!U25/100</f>
        <v>3.1428169767552916E-2</v>
      </c>
    </row>
    <row r="22" spans="1:20" x14ac:dyDescent="0.35">
      <c r="A22" s="1">
        <v>42460</v>
      </c>
      <c r="B22">
        <f>'Sorting Q'!C26/100</f>
        <v>4.2999999999999997E-2</v>
      </c>
      <c r="C22">
        <f>'Sorting Q'!D26/100</f>
        <v>2.6000000000000002E-2</v>
      </c>
      <c r="D22">
        <f>'Sorting Q'!E26/100</f>
        <v>3.7100000000000001E-2</v>
      </c>
      <c r="E22">
        <f>3.8995</f>
        <v>3.8995000000000002</v>
      </c>
      <c r="F22">
        <f>'Sorting Q'!G26/100</f>
        <v>3.5000000000000003E-2</v>
      </c>
      <c r="G22">
        <f>1717.58</f>
        <v>1717.58</v>
      </c>
      <c r="H22">
        <f>11920.78</f>
        <v>11920.78</v>
      </c>
      <c r="I22">
        <f>'Sorting Q'!J26/100</f>
        <v>0.01</v>
      </c>
      <c r="J22">
        <f>'Sorting Q'!K26/100</f>
        <v>2.4E-2</v>
      </c>
      <c r="K22">
        <f>'Sorting Q'!L26/100</f>
        <v>1E-3</v>
      </c>
      <c r="L22">
        <f>'Sorting Q'!M26/100</f>
        <v>0.22399999999999998</v>
      </c>
      <c r="M22">
        <f>'Sorting Q'!N26/100</f>
        <v>3.3000000000000002E-2</v>
      </c>
      <c r="N22">
        <f>1232.75</f>
        <v>1232.75</v>
      </c>
      <c r="O22">
        <f>72.9</f>
        <v>72.900000000000006</v>
      </c>
      <c r="P22">
        <f>99</f>
        <v>99</v>
      </c>
      <c r="Q22">
        <v>39.6</v>
      </c>
      <c r="R22">
        <f>'Sorting Q'!S26/100</f>
        <v>5.0665948936730931E-2</v>
      </c>
      <c r="S22">
        <f>'Sorting Q'!T26/100</f>
        <v>2.7713007558684666E-2</v>
      </c>
      <c r="T22">
        <f>'Sorting Q'!U26/100</f>
        <v>3.3121088546617106E-2</v>
      </c>
    </row>
    <row r="23" spans="1:20" x14ac:dyDescent="0.35">
      <c r="A23" s="1">
        <v>42551</v>
      </c>
      <c r="B23">
        <f>'Sorting Q'!C27/100</f>
        <v>4.2000000000000003E-2</v>
      </c>
      <c r="C23">
        <f>'Sorting Q'!D27/100</f>
        <v>1.6E-2</v>
      </c>
      <c r="D23">
        <f>'Sorting Q'!E27/100</f>
        <v>3.6499999999999998E-2</v>
      </c>
      <c r="E23">
        <f>4.0315</f>
        <v>4.0315000000000003</v>
      </c>
      <c r="F23">
        <f>'Sorting Q'!G27/100</f>
        <v>3.4000000000000002E-2</v>
      </c>
      <c r="G23">
        <f>1654.08</f>
        <v>1654.08</v>
      </c>
      <c r="H23">
        <f>11530.21</f>
        <v>11530.21</v>
      </c>
      <c r="I23">
        <f>'Sorting Q'!J27/100</f>
        <v>2.1000000000000001E-2</v>
      </c>
      <c r="J23">
        <f>'Sorting Q'!K27/100</f>
        <v>2.7999999999999997E-2</v>
      </c>
      <c r="K23">
        <f>'Sorting Q'!L27/100</f>
        <v>6.0999999999999999E-2</v>
      </c>
      <c r="L23">
        <f>'Sorting Q'!M27/100</f>
        <v>0.17399999999999999</v>
      </c>
      <c r="M23">
        <f>'Sorting Q'!N27/100</f>
        <v>3.3000000000000002E-2</v>
      </c>
      <c r="N23">
        <f>1321.9</f>
        <v>1321.9</v>
      </c>
      <c r="O23">
        <f>78.5</f>
        <v>78.5</v>
      </c>
      <c r="P23">
        <f>99.5</f>
        <v>99.5</v>
      </c>
      <c r="Q23">
        <v>49.68</v>
      </c>
      <c r="R23">
        <f>'Sorting Q'!S27/100</f>
        <v>6.1383580908601187E-2</v>
      </c>
      <c r="S23">
        <f>'Sorting Q'!T27/100</f>
        <v>5.5741513379082619E-2</v>
      </c>
      <c r="T23">
        <f>'Sorting Q'!U27/100</f>
        <v>3.6977502729275802E-2</v>
      </c>
    </row>
    <row r="24" spans="1:20" x14ac:dyDescent="0.35">
      <c r="A24" s="1">
        <v>42643</v>
      </c>
      <c r="B24">
        <f>'Sorting Q'!C28/100</f>
        <v>4.4999999999999998E-2</v>
      </c>
      <c r="C24">
        <f>'Sorting Q'!D28/100</f>
        <v>1.4999999999999999E-2</v>
      </c>
      <c r="D24">
        <f>'Sorting Q'!E28/100</f>
        <v>3.4000000000000002E-2</v>
      </c>
      <c r="E24">
        <f>4.1357</f>
        <v>4.1356999999999999</v>
      </c>
      <c r="F24">
        <f>'Sorting Q'!G28/100</f>
        <v>3.5000000000000003E-2</v>
      </c>
      <c r="G24">
        <f>1652.55</f>
        <v>1652.55</v>
      </c>
      <c r="H24">
        <f>11687.58</f>
        <v>11687.58</v>
      </c>
      <c r="I24">
        <f>'Sorting Q'!J28/100</f>
        <v>-2E-3</v>
      </c>
      <c r="J24">
        <f>'Sorting Q'!K28/100</f>
        <v>-1.3999999999999999E-2</v>
      </c>
      <c r="K24">
        <f>'Sorting Q'!L28/100</f>
        <v>1.9E-2</v>
      </c>
      <c r="L24">
        <f>'Sorting Q'!M28/100</f>
        <v>0.308</v>
      </c>
      <c r="M24">
        <f>'Sorting Q'!N28/100</f>
        <v>0.03</v>
      </c>
      <c r="N24">
        <f>1315.87</f>
        <v>1315.87</v>
      </c>
      <c r="O24">
        <f>73.6</f>
        <v>73.599999999999994</v>
      </c>
      <c r="P24">
        <f>99.3</f>
        <v>99.3</v>
      </c>
      <c r="Q24">
        <v>49.06</v>
      </c>
      <c r="R24">
        <f>'Sorting Q'!S28/100</f>
        <v>6.1587247849444804E-2</v>
      </c>
      <c r="S24">
        <f>'Sorting Q'!T28/100</f>
        <v>2.250184983389425E-2</v>
      </c>
      <c r="T24">
        <f>'Sorting Q'!U28/100</f>
        <v>3.9396705669127341E-2</v>
      </c>
    </row>
    <row r="25" spans="1:20" x14ac:dyDescent="0.35">
      <c r="A25" s="1">
        <v>42735</v>
      </c>
      <c r="B25">
        <f>'Sorting Q'!C29/100</f>
        <v>4.8000000000000001E-2</v>
      </c>
      <c r="C25">
        <f>'Sorting Q'!D29/100</f>
        <v>1.7000000000000001E-2</v>
      </c>
      <c r="D25">
        <f>'Sorting Q'!E29/100</f>
        <v>3.4099999999999998E-2</v>
      </c>
      <c r="E25">
        <f>4.4862</f>
        <v>4.4862000000000002</v>
      </c>
      <c r="F25">
        <f>'Sorting Q'!G29/100</f>
        <v>3.5000000000000003E-2</v>
      </c>
      <c r="G25">
        <f>1641.73</f>
        <v>1641.73</v>
      </c>
      <c r="H25">
        <f>11466.54</f>
        <v>11466.54</v>
      </c>
      <c r="I25">
        <f>'Sorting Q'!J29/100</f>
        <v>2.4E-2</v>
      </c>
      <c r="J25">
        <f>'Sorting Q'!K29/100</f>
        <v>2.1000000000000001E-2</v>
      </c>
      <c r="K25">
        <f>'Sorting Q'!L29/100</f>
        <v>2.1000000000000001E-2</v>
      </c>
      <c r="L25">
        <f>'Sorting Q'!M29/100</f>
        <v>0.19500000000000001</v>
      </c>
      <c r="M25">
        <f>'Sorting Q'!N29/100</f>
        <v>0.03</v>
      </c>
      <c r="N25">
        <f>1147.5</f>
        <v>1147.5</v>
      </c>
      <c r="O25">
        <f>69.8</f>
        <v>69.8</v>
      </c>
      <c r="P25">
        <f>99.5</f>
        <v>99.5</v>
      </c>
      <c r="Q25">
        <v>56.82</v>
      </c>
      <c r="R25">
        <f>'Sorting Q'!S29/100</f>
        <v>6.0155216987227256E-2</v>
      </c>
      <c r="S25">
        <f>'Sorting Q'!T29/100</f>
        <v>-4.0579836463746854E-2</v>
      </c>
      <c r="T25">
        <f>'Sorting Q'!U29/100</f>
        <v>5.4607497440730679E-2</v>
      </c>
    </row>
    <row r="26" spans="1:20" x14ac:dyDescent="0.35">
      <c r="A26" s="1">
        <v>42825</v>
      </c>
      <c r="B26">
        <f>'Sorting Q'!C30/100</f>
        <v>5.5999999999999994E-2</v>
      </c>
      <c r="C26">
        <f>'Sorting Q'!D30/100</f>
        <v>4.9000000000000002E-2</v>
      </c>
      <c r="D26">
        <f>'Sorting Q'!E30/100</f>
        <v>3.4300000000000004E-2</v>
      </c>
      <c r="E26">
        <f>4.4255</f>
        <v>4.4255000000000004</v>
      </c>
      <c r="F26">
        <f>'Sorting Q'!G30/100</f>
        <v>3.4000000000000002E-2</v>
      </c>
      <c r="G26">
        <f>1740.09</f>
        <v>1740.09</v>
      </c>
      <c r="H26">
        <f>12361.69</f>
        <v>12361.69</v>
      </c>
      <c r="I26">
        <f>'Sorting Q'!J30/100</f>
        <v>9.9000000000000005E-2</v>
      </c>
      <c r="J26">
        <f>'Sorting Q'!K30/100</f>
        <v>0.13</v>
      </c>
      <c r="K26">
        <f>'Sorting Q'!L30/100</f>
        <v>9.5000000000000001E-2</v>
      </c>
      <c r="L26">
        <f>'Sorting Q'!M30/100</f>
        <v>0.13800000000000001</v>
      </c>
      <c r="M26">
        <f>'Sorting Q'!N30/100</f>
        <v>0.03</v>
      </c>
      <c r="N26">
        <f>1249.2</f>
        <v>1249.2</v>
      </c>
      <c r="O26">
        <f>76.6</f>
        <v>76.599999999999994</v>
      </c>
      <c r="P26">
        <f>100.9</f>
        <v>100.9</v>
      </c>
      <c r="Q26">
        <v>52.83</v>
      </c>
      <c r="R26">
        <f>'Sorting Q'!S30/100</f>
        <v>6.5918662693093655E-2</v>
      </c>
      <c r="S26">
        <f>'Sorting Q'!T30/100</f>
        <v>7.7499194441885244E-2</v>
      </c>
      <c r="T26">
        <f>'Sorting Q'!U30/100</f>
        <v>4.4853932880683178E-2</v>
      </c>
    </row>
    <row r="27" spans="1:20" x14ac:dyDescent="0.35">
      <c r="A27" s="1">
        <v>42916</v>
      </c>
      <c r="B27">
        <f>'Sorting Q'!C31/100</f>
        <v>5.7000000000000002E-2</v>
      </c>
      <c r="C27">
        <f>'Sorting Q'!D31/100</f>
        <v>3.4000000000000002E-2</v>
      </c>
      <c r="D27">
        <f>'Sorting Q'!E31/100</f>
        <v>3.4300000000000004E-2</v>
      </c>
      <c r="E27">
        <f>4.2933</f>
        <v>4.2933000000000003</v>
      </c>
      <c r="F27">
        <f>'Sorting Q'!G31/100</f>
        <v>3.4000000000000002E-2</v>
      </c>
      <c r="G27">
        <f>1763.67</f>
        <v>1763.67</v>
      </c>
      <c r="H27">
        <f>12598.94</f>
        <v>12598.94</v>
      </c>
      <c r="I27">
        <f>'Sorting Q'!J31/100</f>
        <v>9.3000000000000013E-2</v>
      </c>
      <c r="J27">
        <f>'Sorting Q'!K31/100</f>
        <v>9.6000000000000002E-2</v>
      </c>
      <c r="K27">
        <f>'Sorting Q'!L31/100</f>
        <v>3.9E-2</v>
      </c>
      <c r="L27">
        <f>'Sorting Q'!M31/100</f>
        <v>9.6000000000000002E-2</v>
      </c>
      <c r="M27">
        <f>'Sorting Q'!N31/100</f>
        <v>0.03</v>
      </c>
      <c r="N27">
        <f>1241.61</f>
        <v>1241.6099999999999</v>
      </c>
      <c r="O27">
        <f>80.7</f>
        <v>80.7</v>
      </c>
      <c r="P27">
        <f>100.2</f>
        <v>100.2</v>
      </c>
      <c r="Q27">
        <v>47.92</v>
      </c>
      <c r="R27">
        <f>'Sorting Q'!S31/100</f>
        <v>6.9799276128784671E-2</v>
      </c>
      <c r="S27">
        <f>'Sorting Q'!T31/100</f>
        <v>3.5078656553398035E-2</v>
      </c>
      <c r="T27">
        <f>'Sorting Q'!U31/100</f>
        <v>3.7477071330767053E-2</v>
      </c>
    </row>
    <row r="28" spans="1:20" x14ac:dyDescent="0.35">
      <c r="A28" s="1">
        <v>43008</v>
      </c>
      <c r="B28">
        <f>'Sorting Q'!C32/100</f>
        <v>6.0999999999999999E-2</v>
      </c>
      <c r="C28">
        <f>'Sorting Q'!D32/100</f>
        <v>4.2000000000000003E-2</v>
      </c>
      <c r="D28">
        <f>'Sorting Q'!E32/100</f>
        <v>3.4300000000000004E-2</v>
      </c>
      <c r="E28">
        <f>4.2205</f>
        <v>4.2205000000000004</v>
      </c>
      <c r="F28">
        <f>'Sorting Q'!G32/100</f>
        <v>3.4000000000000002E-2</v>
      </c>
      <c r="G28">
        <f>1755.58</f>
        <v>1755.58</v>
      </c>
      <c r="H28">
        <f>12531.29</f>
        <v>12531.29</v>
      </c>
      <c r="I28">
        <f>'Sorting Q'!J32/100</f>
        <v>0.106</v>
      </c>
      <c r="J28">
        <f>'Sorting Q'!K32/100</f>
        <v>0.122</v>
      </c>
      <c r="K28">
        <f>'Sorting Q'!L32/100</f>
        <v>6.6000000000000003E-2</v>
      </c>
      <c r="L28">
        <f>'Sorting Q'!M32/100</f>
        <v>0.155</v>
      </c>
      <c r="M28">
        <f>'Sorting Q'!N32/100</f>
        <v>0.03</v>
      </c>
      <c r="N28">
        <f>1279.75</f>
        <v>1279.75</v>
      </c>
      <c r="O28">
        <f>77.1</f>
        <v>77.099999999999994</v>
      </c>
      <c r="P28">
        <f>102.1</f>
        <v>102.1</v>
      </c>
      <c r="Q28">
        <v>57.54</v>
      </c>
      <c r="R28">
        <f>'Sorting Q'!S32/100</f>
        <v>7.1280834848273411E-2</v>
      </c>
      <c r="S28">
        <f>'Sorting Q'!T32/100</f>
        <v>4.1910345824184292E-2</v>
      </c>
      <c r="T28">
        <f>'Sorting Q'!U32/100</f>
        <v>5.8017097414232444E-2</v>
      </c>
    </row>
    <row r="29" spans="1:20" x14ac:dyDescent="0.35">
      <c r="A29" s="1">
        <v>43100</v>
      </c>
      <c r="B29">
        <f>'Sorting Q'!C33/100</f>
        <v>5.7999999999999996E-2</v>
      </c>
      <c r="C29">
        <f>'Sorting Q'!D33/100</f>
        <v>3.5000000000000003E-2</v>
      </c>
      <c r="D29">
        <f>'Sorting Q'!E33/100</f>
        <v>3.44E-2</v>
      </c>
      <c r="E29">
        <f>4.0465</f>
        <v>4.0465</v>
      </c>
      <c r="F29">
        <f>'Sorting Q'!G33/100</f>
        <v>3.3000000000000002E-2</v>
      </c>
      <c r="G29">
        <f>1796.81</f>
        <v>1796.81</v>
      </c>
      <c r="H29">
        <f>12942.57</f>
        <v>12942.57</v>
      </c>
      <c r="I29">
        <f>'Sorting Q'!J33/100</f>
        <v>5.0999999999999997E-2</v>
      </c>
      <c r="J29">
        <f>'Sorting Q'!K33/100</f>
        <v>6.2E-2</v>
      </c>
      <c r="K29">
        <f>'Sorting Q'!L33/100</f>
        <v>4.4000000000000004E-2</v>
      </c>
      <c r="L29">
        <f>'Sorting Q'!M33/100</f>
        <v>0.121</v>
      </c>
      <c r="M29">
        <f>'Sorting Q'!N33/100</f>
        <v>0.03</v>
      </c>
      <c r="N29">
        <f>1302.8</f>
        <v>1302.8</v>
      </c>
      <c r="O29">
        <f>82.6</f>
        <v>82.6</v>
      </c>
      <c r="P29">
        <f>101.4</f>
        <v>101.4</v>
      </c>
      <c r="Q29">
        <v>66.87</v>
      </c>
      <c r="R29">
        <f>'Sorting Q'!S33/100</f>
        <v>6.9159531582834166E-2</v>
      </c>
      <c r="S29">
        <f>'Sorting Q'!T33/100</f>
        <v>6.9659165722519845E-2</v>
      </c>
      <c r="T29">
        <f>'Sorting Q'!U33/100</f>
        <v>3.7783352028301298E-2</v>
      </c>
    </row>
    <row r="30" spans="1:20" x14ac:dyDescent="0.35">
      <c r="A30" s="1">
        <v>43190</v>
      </c>
      <c r="B30">
        <f>'Sorting Q'!C34/100</f>
        <v>5.2999999999999999E-2</v>
      </c>
      <c r="C30">
        <f>'Sorting Q'!D34/100</f>
        <v>1.3000000000000001E-2</v>
      </c>
      <c r="D30">
        <f>'Sorting Q'!E34/100</f>
        <v>3.6900000000000002E-2</v>
      </c>
      <c r="E30">
        <f>3.8635</f>
        <v>3.8635000000000002</v>
      </c>
      <c r="F30">
        <f>'Sorting Q'!G34/100</f>
        <v>3.3000000000000002E-2</v>
      </c>
      <c r="G30">
        <f>1863.46</f>
        <v>1863.46</v>
      </c>
      <c r="H30">
        <f>13045.59</f>
        <v>13045.59</v>
      </c>
      <c r="I30">
        <f>'Sorting Q'!J34/100</f>
        <v>2.3E-2</v>
      </c>
      <c r="J30">
        <f>'Sorting Q'!K34/100</f>
        <v>-0.02</v>
      </c>
      <c r="K30">
        <f>'Sorting Q'!L34/100</f>
        <v>2E-3</v>
      </c>
      <c r="L30">
        <f>'Sorting Q'!M34/100</f>
        <v>0.128</v>
      </c>
      <c r="M30">
        <f>'Sorting Q'!N34/100</f>
        <v>3.3000000000000002E-2</v>
      </c>
      <c r="N30">
        <f>1325.48</f>
        <v>1325.48</v>
      </c>
      <c r="O30">
        <f>91</f>
        <v>91</v>
      </c>
      <c r="P30">
        <f>102.2</f>
        <v>102.2</v>
      </c>
      <c r="Q30">
        <v>70.27</v>
      </c>
      <c r="R30">
        <f>'Sorting Q'!S34/100</f>
        <v>6.5711458787746757E-2</v>
      </c>
      <c r="S30">
        <f>'Sorting Q'!T34/100</f>
        <v>4.2470292536094245E-3</v>
      </c>
      <c r="T30">
        <f>'Sorting Q'!U34/100</f>
        <v>3.2816479566234014E-2</v>
      </c>
    </row>
    <row r="31" spans="1:20" x14ac:dyDescent="0.35">
      <c r="A31" s="1">
        <v>43281</v>
      </c>
      <c r="B31">
        <f>'Sorting Q'!C35/100</f>
        <v>4.8000000000000001E-2</v>
      </c>
      <c r="C31">
        <f>'Sorting Q'!D35/100</f>
        <v>8.0000000000000002E-3</v>
      </c>
      <c r="D31">
        <f>'Sorting Q'!E35/100</f>
        <v>3.6900000000000002E-2</v>
      </c>
      <c r="E31">
        <f>4.0385</f>
        <v>4.0385</v>
      </c>
      <c r="F31">
        <f>'Sorting Q'!G35/100</f>
        <v>3.4000000000000002E-2</v>
      </c>
      <c r="G31">
        <f>1691.5</f>
        <v>1691.5</v>
      </c>
      <c r="H31">
        <f>11960.93</f>
        <v>11960.93</v>
      </c>
      <c r="I31">
        <f>'Sorting Q'!J35/100</f>
        <v>0.02</v>
      </c>
      <c r="J31">
        <f>'Sorting Q'!K35/100</f>
        <v>3.7000000000000005E-2</v>
      </c>
      <c r="K31">
        <f>'Sorting Q'!L35/100</f>
        <v>1.7000000000000001E-2</v>
      </c>
      <c r="L31">
        <f>'Sorting Q'!M35/100</f>
        <v>0.124</v>
      </c>
      <c r="M31">
        <f>'Sorting Q'!N35/100</f>
        <v>3.3000000000000002E-2</v>
      </c>
      <c r="N31">
        <f>1252.6</f>
        <v>1252.5999999999999</v>
      </c>
      <c r="O31">
        <f>132.9</f>
        <v>132.9</v>
      </c>
      <c r="P31">
        <f>100.8</f>
        <v>100.8</v>
      </c>
      <c r="Q31">
        <v>79.44</v>
      </c>
      <c r="R31">
        <f>'Sorting Q'!S35/100</f>
        <v>7.954914276553926E-2</v>
      </c>
      <c r="S31">
        <f>'Sorting Q'!T35/100</f>
        <v>3.243652477758352E-2</v>
      </c>
      <c r="T31">
        <f>'Sorting Q'!U35/100</f>
        <v>3.4252523648995448E-2</v>
      </c>
    </row>
    <row r="32" spans="1:20" x14ac:dyDescent="0.35">
      <c r="A32" s="1">
        <v>43373</v>
      </c>
      <c r="B32">
        <f>'Sorting Q'!C36/100</f>
        <v>4.4999999999999998E-2</v>
      </c>
      <c r="C32">
        <f>'Sorting Q'!D36/100</f>
        <v>3.0000000000000001E-3</v>
      </c>
      <c r="D32">
        <f>'Sorting Q'!E36/100</f>
        <v>3.6900000000000002E-2</v>
      </c>
      <c r="E32">
        <f>4.1383</f>
        <v>4.1383000000000001</v>
      </c>
      <c r="F32">
        <f>'Sorting Q'!G36/100</f>
        <v>3.3000000000000002E-2</v>
      </c>
      <c r="G32">
        <f>1793.15</f>
        <v>1793.15</v>
      </c>
      <c r="H32">
        <f>12533.22</f>
        <v>12533.22</v>
      </c>
      <c r="I32">
        <f>'Sorting Q'!J36/100</f>
        <v>5.0000000000000001E-3</v>
      </c>
      <c r="J32">
        <f>'Sorting Q'!K36/100</f>
        <v>2.3E-2</v>
      </c>
      <c r="K32">
        <f>'Sorting Q'!L36/100</f>
        <v>2.7999999999999997E-2</v>
      </c>
      <c r="L32">
        <f>'Sorting Q'!M36/100</f>
        <v>0.114</v>
      </c>
      <c r="M32">
        <f>'Sorting Q'!N36/100</f>
        <v>3.3000000000000002E-2</v>
      </c>
      <c r="N32">
        <f>1190.88</f>
        <v>1190.8800000000001</v>
      </c>
      <c r="O32">
        <f>107.5</f>
        <v>107.5</v>
      </c>
      <c r="P32">
        <f>100</f>
        <v>100</v>
      </c>
      <c r="Q32">
        <v>82.72</v>
      </c>
      <c r="R32">
        <f>'Sorting Q'!S36/100</f>
        <v>8.8951677833078127E-2</v>
      </c>
      <c r="S32">
        <f>'Sorting Q'!T36/100</f>
        <v>5.2487490683703397E-2</v>
      </c>
      <c r="T32">
        <f>'Sorting Q'!U36/100</f>
        <v>2.3597524214046928E-2</v>
      </c>
    </row>
    <row r="33" spans="1:20" x14ac:dyDescent="0.35">
      <c r="A33" s="1">
        <v>43465</v>
      </c>
      <c r="B33">
        <f>'Sorting Q'!C37/100</f>
        <v>4.8000000000000001E-2</v>
      </c>
      <c r="C33">
        <f>'Sorting Q'!D37/100</f>
        <v>2E-3</v>
      </c>
      <c r="D33">
        <f>'Sorting Q'!E37/100</f>
        <v>3.6900000000000002E-2</v>
      </c>
      <c r="E33">
        <f>4.1335</f>
        <v>4.1334999999999997</v>
      </c>
      <c r="F33">
        <f>'Sorting Q'!G37/100</f>
        <v>3.3000000000000002E-2</v>
      </c>
      <c r="G33">
        <f>1690.58</f>
        <v>1690.58</v>
      </c>
      <c r="H33">
        <f>11527.51</f>
        <v>11527.51</v>
      </c>
      <c r="I33">
        <f>'Sorting Q'!J37/100</f>
        <v>2.8999999999999998E-2</v>
      </c>
      <c r="J33">
        <f>'Sorting Q'!K37/100</f>
        <v>0.02</v>
      </c>
      <c r="K33">
        <f>'Sorting Q'!L37/100</f>
        <v>6.0000000000000001E-3</v>
      </c>
      <c r="L33">
        <f>'Sorting Q'!M37/100</f>
        <v>0.10099999999999999</v>
      </c>
      <c r="M33">
        <f>'Sorting Q'!N37/100</f>
        <v>3.3000000000000002E-2</v>
      </c>
      <c r="N33">
        <f>1282.49</f>
        <v>1282.49</v>
      </c>
      <c r="O33">
        <f>96.8</f>
        <v>96.8</v>
      </c>
      <c r="P33">
        <f>99.3</f>
        <v>99.3</v>
      </c>
      <c r="Q33">
        <v>53.8</v>
      </c>
      <c r="R33">
        <f>'Sorting Q'!S37/100</f>
        <v>8.4012231617442978E-2</v>
      </c>
      <c r="S33">
        <f>'Sorting Q'!T37/100</f>
        <v>4.2108925236052697E-2</v>
      </c>
      <c r="T33">
        <f>'Sorting Q'!U37/100</f>
        <v>3.2835563843465421E-2</v>
      </c>
    </row>
    <row r="34" spans="1:20" x14ac:dyDescent="0.35">
      <c r="A34" s="1">
        <v>43555</v>
      </c>
      <c r="B34">
        <f>'Sorting Q'!C38/100</f>
        <v>4.7E-2</v>
      </c>
      <c r="C34">
        <f>'Sorting Q'!D38/100</f>
        <v>2E-3</v>
      </c>
      <c r="D34">
        <f>'Sorting Q'!E38/100</f>
        <v>3.6900000000000002E-2</v>
      </c>
      <c r="E34">
        <f>4.082</f>
        <v>4.0819999999999999</v>
      </c>
      <c r="F34">
        <f>'Sorting Q'!G38/100</f>
        <v>3.4000000000000002E-2</v>
      </c>
      <c r="G34">
        <f>1643.63</f>
        <v>1643.63</v>
      </c>
      <c r="H34">
        <f>11553.84</f>
        <v>11553.84</v>
      </c>
      <c r="I34">
        <f>'Sorting Q'!J38/100</f>
        <v>3.0000000000000001E-3</v>
      </c>
      <c r="J34">
        <f>'Sorting Q'!K38/100</f>
        <v>-1.6E-2</v>
      </c>
      <c r="K34">
        <f>'Sorting Q'!L38/100</f>
        <v>-3.4000000000000002E-2</v>
      </c>
      <c r="L34">
        <f>'Sorting Q'!M38/100</f>
        <v>0.1</v>
      </c>
      <c r="M34">
        <f>'Sorting Q'!N38/100</f>
        <v>3.3000000000000002E-2</v>
      </c>
      <c r="N34">
        <f>1292.38</f>
        <v>1292.3800000000001</v>
      </c>
      <c r="O34">
        <f>85.6</f>
        <v>85.6</v>
      </c>
      <c r="P34">
        <f>100.2</f>
        <v>100.2</v>
      </c>
      <c r="Q34">
        <v>68.39</v>
      </c>
      <c r="R34">
        <f>'Sorting Q'!S38/100</f>
        <v>7.7424749267082094E-2</v>
      </c>
      <c r="S34">
        <f>'Sorting Q'!T38/100</f>
        <v>5.9352509190216507E-2</v>
      </c>
      <c r="T34">
        <f>'Sorting Q'!U38/100</f>
        <v>3.217102468747246E-2</v>
      </c>
    </row>
    <row r="35" spans="1:20" x14ac:dyDescent="0.35">
      <c r="A35" s="1">
        <v>43646</v>
      </c>
      <c r="B35">
        <f>'Sorting Q'!C39/100</f>
        <v>4.9000000000000002E-2</v>
      </c>
      <c r="C35">
        <f>'Sorting Q'!D39/100</f>
        <v>1.4999999999999999E-2</v>
      </c>
      <c r="D35">
        <f>'Sorting Q'!E39/100</f>
        <v>3.4599999999999999E-2</v>
      </c>
      <c r="E35">
        <f>4.132</f>
        <v>4.1319999999999997</v>
      </c>
      <c r="F35">
        <f>'Sorting Q'!G39/100</f>
        <v>3.3000000000000002E-2</v>
      </c>
      <c r="G35">
        <f>1672.13</f>
        <v>1672.13</v>
      </c>
      <c r="H35">
        <f>11781.58</f>
        <v>11781.58</v>
      </c>
      <c r="I35">
        <f>'Sorting Q'!J39/100</f>
        <v>6.0000000000000001E-3</v>
      </c>
      <c r="J35">
        <f>'Sorting Q'!K39/100</f>
        <v>-2.3E-2</v>
      </c>
      <c r="K35">
        <f>'Sorting Q'!L39/100</f>
        <v>-6.0000000000000001E-3</v>
      </c>
      <c r="L35">
        <f>'Sorting Q'!M39/100</f>
        <v>0.10199999999999999</v>
      </c>
      <c r="M35">
        <f>'Sorting Q'!N39/100</f>
        <v>0.03</v>
      </c>
      <c r="N35">
        <f>1409.55</f>
        <v>1409.55</v>
      </c>
      <c r="O35">
        <f>93</f>
        <v>93</v>
      </c>
      <c r="P35">
        <f>100.5</f>
        <v>100.5</v>
      </c>
      <c r="Q35">
        <v>66.55</v>
      </c>
      <c r="R35">
        <f>'Sorting Q'!S39/100</f>
        <v>7.8123235530027424E-2</v>
      </c>
      <c r="S35">
        <f>'Sorting Q'!T39/100</f>
        <v>2.5282299151108134E-4</v>
      </c>
      <c r="T35">
        <f>'Sorting Q'!U39/100</f>
        <v>3.5604111176320119E-2</v>
      </c>
    </row>
    <row r="36" spans="1:20" x14ac:dyDescent="0.35">
      <c r="A36" s="1">
        <v>43738</v>
      </c>
      <c r="B36">
        <f>'Sorting Q'!C40/100</f>
        <v>4.4999999999999998E-2</v>
      </c>
      <c r="C36">
        <f>'Sorting Q'!D40/100</f>
        <v>1.1000000000000001E-2</v>
      </c>
      <c r="D36">
        <f>'Sorting Q'!E40/100</f>
        <v>3.3799999999999997E-2</v>
      </c>
      <c r="E36">
        <f>4.1877</f>
        <v>4.1877000000000004</v>
      </c>
      <c r="F36">
        <f>'Sorting Q'!G40/100</f>
        <v>3.3000000000000002E-2</v>
      </c>
      <c r="G36">
        <f>1583.91</f>
        <v>1583.91</v>
      </c>
      <c r="H36">
        <f>11203.71</f>
        <v>11203.71</v>
      </c>
      <c r="I36">
        <f>'Sorting Q'!J40/100</f>
        <v>-1.6E-2</v>
      </c>
      <c r="J36">
        <f>'Sorting Q'!K40/100</f>
        <v>-3.3000000000000002E-2</v>
      </c>
      <c r="K36">
        <f>'Sorting Q'!L40/100</f>
        <v>-3.7000000000000005E-2</v>
      </c>
      <c r="L36">
        <f>'Sorting Q'!M40/100</f>
        <v>0.151</v>
      </c>
      <c r="M36">
        <f>'Sorting Q'!N40/100</f>
        <v>0.03</v>
      </c>
      <c r="N36">
        <f>1472.49</f>
        <v>1472.49</v>
      </c>
      <c r="O36">
        <f>84</f>
        <v>84</v>
      </c>
      <c r="P36">
        <f>100.2</f>
        <v>100.2</v>
      </c>
      <c r="Q36">
        <v>60.78</v>
      </c>
      <c r="R36">
        <f>'Sorting Q'!S40/100</f>
        <v>7.0750206108906699E-2</v>
      </c>
      <c r="S36">
        <f>'Sorting Q'!T40/100</f>
        <v>3.685418774840965E-3</v>
      </c>
      <c r="T36">
        <f>'Sorting Q'!U40/100</f>
        <v>1.7619411245878736E-2</v>
      </c>
    </row>
    <row r="37" spans="1:20" x14ac:dyDescent="0.35">
      <c r="A37" s="1">
        <v>43830</v>
      </c>
      <c r="B37">
        <f>'Sorting Q'!C41/100</f>
        <v>3.6000000000000004E-2</v>
      </c>
      <c r="C37">
        <f>'Sorting Q'!D41/100</f>
        <v>0.01</v>
      </c>
      <c r="D37">
        <f>'Sorting Q'!E41/100</f>
        <v>3.3500000000000002E-2</v>
      </c>
      <c r="E37">
        <f>4.091</f>
        <v>4.0910000000000002</v>
      </c>
      <c r="F37">
        <f>'Sorting Q'!G41/100</f>
        <v>3.3000000000000002E-2</v>
      </c>
      <c r="G37">
        <f>1588.76</f>
        <v>1588.76</v>
      </c>
      <c r="H37">
        <f>11323.49</f>
        <v>11323.49</v>
      </c>
      <c r="I37">
        <f>'Sorting Q'!J41/100</f>
        <v>-3.3000000000000002E-2</v>
      </c>
      <c r="J37">
        <f>'Sorting Q'!K41/100</f>
        <v>-2.3E-2</v>
      </c>
      <c r="K37">
        <f>'Sorting Q'!L41/100</f>
        <v>-6.9999999999999993E-3</v>
      </c>
      <c r="L37">
        <f>'Sorting Q'!M41/100</f>
        <v>0.14699999999999999</v>
      </c>
      <c r="M37">
        <f>'Sorting Q'!N41/100</f>
        <v>0.03</v>
      </c>
      <c r="N37">
        <f>1517.27</f>
        <v>1517.27</v>
      </c>
      <c r="O37" t="e">
        <f>NA()</f>
        <v>#N/A</v>
      </c>
      <c r="P37">
        <f>101.6</f>
        <v>101.6</v>
      </c>
      <c r="Q37">
        <v>66</v>
      </c>
      <c r="R37">
        <f>'Sorting Q'!S41/100</f>
        <v>8.1470646419487883E-2</v>
      </c>
      <c r="S37">
        <f>'Sorting Q'!T41/100</f>
        <v>5.7641198475015809E-3</v>
      </c>
      <c r="T37">
        <f>'Sorting Q'!U41/100</f>
        <v>1.3072590684449326E-2</v>
      </c>
    </row>
    <row r="38" spans="1:20" x14ac:dyDescent="0.35">
      <c r="A38" s="1">
        <v>43921</v>
      </c>
      <c r="B38">
        <f>'Sorting Q'!C42/100</f>
        <v>6.9999999999999993E-3</v>
      </c>
      <c r="C38">
        <f>'Sorting Q'!D42/100</f>
        <v>-2E-3</v>
      </c>
      <c r="D38">
        <f>'Sorting Q'!E42/100</f>
        <v>2.7999999999999997E-2</v>
      </c>
      <c r="E38">
        <f>4.3212</f>
        <v>4.3212000000000002</v>
      </c>
      <c r="F38">
        <f>'Sorting Q'!G42/100</f>
        <v>3.9E-2</v>
      </c>
      <c r="G38">
        <f>1350.89</f>
        <v>1350.89</v>
      </c>
      <c r="H38">
        <f>9239.81</f>
        <v>9239.81</v>
      </c>
      <c r="I38">
        <f>'Sorting Q'!J42/100</f>
        <v>-7.0000000000000007E-2</v>
      </c>
      <c r="J38">
        <f>'Sorting Q'!K42/100</f>
        <v>-1.9E-2</v>
      </c>
      <c r="K38">
        <f>'Sorting Q'!L42/100</f>
        <v>-4.4000000000000004E-2</v>
      </c>
      <c r="L38">
        <f>'Sorting Q'!M42/100</f>
        <v>0.14099999999999999</v>
      </c>
      <c r="M38">
        <f>'Sorting Q'!N42/100</f>
        <v>2.5000000000000001E-2</v>
      </c>
      <c r="N38">
        <f>1577.18</f>
        <v>1577.18</v>
      </c>
      <c r="O38" t="e">
        <f>NA()</f>
        <v>#N/A</v>
      </c>
      <c r="P38">
        <f>96.5</f>
        <v>96.5</v>
      </c>
      <c r="Q38">
        <v>22.74</v>
      </c>
      <c r="R38">
        <f>'Sorting Q'!S42/100</f>
        <v>6.8482615249425782E-2</v>
      </c>
      <c r="S38">
        <f>'Sorting Q'!T42/100</f>
        <v>5.044571742387749E-2</v>
      </c>
      <c r="T38">
        <f>'Sorting Q'!U42/100</f>
        <v>3.6885592008268908E-3</v>
      </c>
    </row>
    <row r="39" spans="1:20" x14ac:dyDescent="0.35">
      <c r="A39" s="1">
        <v>44012</v>
      </c>
      <c r="B39">
        <f>'Sorting Q'!C43/100</f>
        <v>-0.17100000000000001</v>
      </c>
      <c r="C39">
        <f>'Sorting Q'!D43/100</f>
        <v>-1.9E-2</v>
      </c>
      <c r="D39">
        <f>'Sorting Q'!E43/100</f>
        <v>2.2799999999999997E-2</v>
      </c>
      <c r="E39">
        <f>4.2863</f>
        <v>4.2862999999999998</v>
      </c>
      <c r="F39">
        <f>'Sorting Q'!G43/100</f>
        <v>4.9000000000000002E-2</v>
      </c>
      <c r="G39">
        <f>1500.97</f>
        <v>1500.97</v>
      </c>
      <c r="H39">
        <f>10551.98</f>
        <v>10551.98</v>
      </c>
      <c r="I39">
        <f>'Sorting Q'!J43/100</f>
        <v>-0.215</v>
      </c>
      <c r="J39">
        <f>'Sorting Q'!K43/100</f>
        <v>-0.185</v>
      </c>
      <c r="K39">
        <f>'Sorting Q'!L43/100</f>
        <v>-0.28999999999999998</v>
      </c>
      <c r="L39">
        <f>'Sorting Q'!M43/100</f>
        <v>0.124</v>
      </c>
      <c r="M39">
        <f>'Sorting Q'!N43/100</f>
        <v>0.02</v>
      </c>
      <c r="N39">
        <f>1780.96</f>
        <v>1780.96</v>
      </c>
      <c r="O39" t="e">
        <f>NA()</f>
        <v>#N/A</v>
      </c>
      <c r="P39">
        <f>105.6</f>
        <v>105.6</v>
      </c>
      <c r="Q39">
        <v>41.15</v>
      </c>
      <c r="R39">
        <f>'Sorting Q'!S43/100</f>
        <v>-0.18396078768301716</v>
      </c>
      <c r="S39">
        <f>'Sorting Q'!T43/100</f>
        <v>2.3803296967853882E-2</v>
      </c>
      <c r="T39">
        <f>'Sorting Q'!U43/100</f>
        <v>-0.17565763619921035</v>
      </c>
    </row>
    <row r="40" spans="1:20" x14ac:dyDescent="0.35">
      <c r="A40" s="1">
        <v>44104</v>
      </c>
      <c r="B40">
        <f>'Sorting Q'!C44/100</f>
        <v>-2.5000000000000001E-2</v>
      </c>
      <c r="C40">
        <f>'Sorting Q'!D44/100</f>
        <v>-1.3999999999999999E-2</v>
      </c>
      <c r="D40">
        <f>'Sorting Q'!E44/100</f>
        <v>1.9699999999999999E-2</v>
      </c>
      <c r="E40">
        <f>4.1565</f>
        <v>4.1565000000000003</v>
      </c>
      <c r="F40">
        <f>'Sorting Q'!G44/100</f>
        <v>4.5999999999999999E-2</v>
      </c>
      <c r="G40">
        <f>1504.82</f>
        <v>1504.82</v>
      </c>
      <c r="H40">
        <f>10831.56</f>
        <v>10831.56</v>
      </c>
      <c r="I40">
        <f>'Sorting Q'!J44/100</f>
        <v>-4.2000000000000003E-2</v>
      </c>
      <c r="J40">
        <f>'Sorting Q'!K44/100</f>
        <v>-7.8E-2</v>
      </c>
      <c r="K40">
        <f>'Sorting Q'!L44/100</f>
        <v>-0.114</v>
      </c>
      <c r="L40">
        <f>'Sorting Q'!M44/100</f>
        <v>0.11199999999999999</v>
      </c>
      <c r="M40">
        <f>'Sorting Q'!N44/100</f>
        <v>1.8000000000000002E-2</v>
      </c>
      <c r="N40">
        <f>1885.82</f>
        <v>1885.82</v>
      </c>
      <c r="O40" t="e">
        <f>NA()</f>
        <v>#N/A</v>
      </c>
      <c r="P40">
        <f>109.2</f>
        <v>109.2</v>
      </c>
      <c r="Q40">
        <v>40.950000000000003</v>
      </c>
      <c r="R40">
        <f>'Sorting Q'!S44/100</f>
        <v>-1.9383896548761603E-2</v>
      </c>
      <c r="S40">
        <f>'Sorting Q'!T44/100</f>
        <v>6.7938669083297487E-2</v>
      </c>
      <c r="T40">
        <f>'Sorting Q'!U44/100</f>
        <v>1.0629354807231373E-2</v>
      </c>
    </row>
    <row r="41" spans="1:20" x14ac:dyDescent="0.35">
      <c r="A41" s="1">
        <v>44196</v>
      </c>
      <c r="B41">
        <f>'Sorting Q'!C45/100</f>
        <v>-3.3000000000000002E-2</v>
      </c>
      <c r="C41">
        <f>'Sorting Q'!D45/100</f>
        <v>-1.3999999999999999E-2</v>
      </c>
      <c r="D41">
        <f>'Sorting Q'!E45/100</f>
        <v>1.9400000000000001E-2</v>
      </c>
      <c r="E41">
        <f>4.0203</f>
        <v>4.0202999999999998</v>
      </c>
      <c r="F41">
        <f>'Sorting Q'!G45/100</f>
        <v>4.8000000000000001E-2</v>
      </c>
      <c r="G41">
        <f>1627.21</f>
        <v>1627.21</v>
      </c>
      <c r="H41">
        <f>11761.93</f>
        <v>11761.93</v>
      </c>
      <c r="I41">
        <f>'Sorting Q'!J45/100</f>
        <v>-1.9E-2</v>
      </c>
      <c r="J41">
        <f>'Sorting Q'!K45/100</f>
        <v>-3.4000000000000002E-2</v>
      </c>
      <c r="K41">
        <f>'Sorting Q'!L45/100</f>
        <v>-0.11699999999999999</v>
      </c>
      <c r="L41">
        <f>'Sorting Q'!M45/100</f>
        <v>0.17199999999999999</v>
      </c>
      <c r="M41">
        <f>'Sorting Q'!N45/100</f>
        <v>1.8000000000000002E-2</v>
      </c>
      <c r="N41">
        <f>1898.36</f>
        <v>1898.36</v>
      </c>
      <c r="O41" t="e">
        <f>NA()</f>
        <v>#N/A</v>
      </c>
      <c r="P41">
        <f>109.2</f>
        <v>109.2</v>
      </c>
      <c r="Q41">
        <v>51.8</v>
      </c>
      <c r="R41">
        <f>'Sorting Q'!S45/100</f>
        <v>-3.3299324545936426E-2</v>
      </c>
      <c r="S41">
        <f>'Sorting Q'!T45/100</f>
        <v>5.419226577077918E-2</v>
      </c>
      <c r="T41">
        <f>'Sorting Q'!U45/100</f>
        <v>-2.1996228313194699E-3</v>
      </c>
    </row>
    <row r="42" spans="1:20" x14ac:dyDescent="0.35">
      <c r="A42" s="1">
        <v>44286</v>
      </c>
      <c r="B42">
        <f>'Sorting Q'!C46/100</f>
        <v>-5.0000000000000001E-3</v>
      </c>
      <c r="C42">
        <f>'Sorting Q'!D46/100</f>
        <v>1.7000000000000001E-2</v>
      </c>
      <c r="D42">
        <f>'Sorting Q'!E46/100</f>
        <v>1.9400000000000001E-2</v>
      </c>
      <c r="E42">
        <f>4.145</f>
        <v>4.1449999999999996</v>
      </c>
      <c r="F42">
        <f>'Sorting Q'!G46/100</f>
        <v>4.7E-2</v>
      </c>
      <c r="G42">
        <f>1573.51</f>
        <v>1573.51</v>
      </c>
      <c r="H42">
        <f>11614.56</f>
        <v>11614.56</v>
      </c>
      <c r="I42">
        <f>'Sorting Q'!J46/100</f>
        <v>0.11699999999999999</v>
      </c>
      <c r="J42">
        <f>'Sorting Q'!K46/100</f>
        <v>0.122</v>
      </c>
      <c r="K42">
        <f>'Sorting Q'!L46/100</f>
        <v>-3.3000000000000002E-2</v>
      </c>
      <c r="L42">
        <f>'Sorting Q'!M46/100</f>
        <v>0.10800000000000001</v>
      </c>
      <c r="M42">
        <f>'Sorting Q'!N46/100</f>
        <v>1.8000000000000002E-2</v>
      </c>
      <c r="N42">
        <f>1707.71</f>
        <v>1707.71</v>
      </c>
      <c r="O42" t="e">
        <f>NA()</f>
        <v>#N/A</v>
      </c>
      <c r="P42">
        <f>113</f>
        <v>113</v>
      </c>
      <c r="Q42">
        <v>63.54</v>
      </c>
      <c r="R42">
        <f>'Sorting Q'!S46/100</f>
        <v>-1.4705300552598111E-2</v>
      </c>
      <c r="S42">
        <f>'Sorting Q'!T46/100</f>
        <v>5.6099158205994648E-2</v>
      </c>
      <c r="T42">
        <f>'Sorting Q'!U46/100</f>
        <v>3.9148685378968207E-2</v>
      </c>
    </row>
    <row r="43" spans="1:20" x14ac:dyDescent="0.35">
      <c r="A43" s="1">
        <v>44377</v>
      </c>
      <c r="B43">
        <f>'Sorting Q'!C47/100</f>
        <v>0.159</v>
      </c>
      <c r="C43">
        <f>'Sorting Q'!D47/100</f>
        <v>3.4000000000000002E-2</v>
      </c>
      <c r="D43">
        <f>'Sorting Q'!E47/100</f>
        <v>1.9400000000000001E-2</v>
      </c>
      <c r="E43">
        <f>4.149</f>
        <v>4.149</v>
      </c>
      <c r="F43">
        <f>'Sorting Q'!G47/100</f>
        <v>4.8000000000000001E-2</v>
      </c>
      <c r="G43">
        <f>1532.63</f>
        <v>1532.63</v>
      </c>
      <c r="H43">
        <f>11156.22</f>
        <v>11156.22</v>
      </c>
      <c r="I43">
        <f>'Sorting Q'!J47/100</f>
        <v>0.371</v>
      </c>
      <c r="J43">
        <f>'Sorting Q'!K47/100</f>
        <v>0.35499999999999998</v>
      </c>
      <c r="K43">
        <f>'Sorting Q'!L47/100</f>
        <v>0.16399999999999998</v>
      </c>
      <c r="L43">
        <f>'Sorting Q'!M47/100</f>
        <v>8.4000000000000005E-2</v>
      </c>
      <c r="M43">
        <f>'Sorting Q'!N47/100</f>
        <v>1.8000000000000002E-2</v>
      </c>
      <c r="N43">
        <f>1770.11</f>
        <v>1770.11</v>
      </c>
      <c r="O43" t="e">
        <f>NA()</f>
        <v>#N/A</v>
      </c>
      <c r="P43">
        <f>106.1</f>
        <v>106.1</v>
      </c>
      <c r="Q43">
        <v>75.13</v>
      </c>
      <c r="R43">
        <f>'Sorting Q'!S47/100</f>
        <v>0.11714739630731043</v>
      </c>
      <c r="S43">
        <f>'Sorting Q'!T47/100</f>
        <v>8.2432359178104667E-2</v>
      </c>
      <c r="T43">
        <f>'Sorting Q'!U47/100</f>
        <v>0.22166856025748261</v>
      </c>
    </row>
    <row r="44" spans="1:20" x14ac:dyDescent="0.35">
      <c r="A44" s="1">
        <v>44469</v>
      </c>
      <c r="B44">
        <f>'Sorting Q'!C48/100</f>
        <v>-4.4999999999999998E-2</v>
      </c>
      <c r="C44">
        <f>'Sorting Q'!D48/100</f>
        <v>2.2000000000000002E-2</v>
      </c>
      <c r="D44">
        <f>'Sorting Q'!E48/100</f>
        <v>1.9299999999999998E-2</v>
      </c>
      <c r="E44">
        <f>4.1862</f>
        <v>4.1862000000000004</v>
      </c>
      <c r="F44">
        <f>'Sorting Q'!G48/100</f>
        <v>4.4999999999999998E-2</v>
      </c>
      <c r="G44">
        <f>1537.8</f>
        <v>1537.8</v>
      </c>
      <c r="H44">
        <f>11311.08</f>
        <v>11311.08</v>
      </c>
      <c r="I44">
        <f>'Sorting Q'!J48/100</f>
        <v>4.2000000000000003E-2</v>
      </c>
      <c r="J44">
        <f>'Sorting Q'!K48/100</f>
        <v>0.114</v>
      </c>
      <c r="K44">
        <f>'Sorting Q'!L48/100</f>
        <v>-0.10800000000000001</v>
      </c>
      <c r="L44">
        <f>'Sorting Q'!M48/100</f>
        <v>0.14000000000000001</v>
      </c>
      <c r="M44">
        <f>'Sorting Q'!N48/100</f>
        <v>1.8000000000000002E-2</v>
      </c>
      <c r="N44">
        <f>1756.95</f>
        <v>1756.95</v>
      </c>
      <c r="O44" t="e">
        <f>NA()</f>
        <v>#N/A</v>
      </c>
      <c r="P44">
        <f>109.6</f>
        <v>109.6</v>
      </c>
      <c r="Q44">
        <v>78.52</v>
      </c>
      <c r="R44">
        <f>'Sorting Q'!S48/100</f>
        <v>-4.2412159423375728E-2</v>
      </c>
      <c r="S44">
        <f>'Sorting Q'!T48/100</f>
        <v>7.1253555435930593E-2</v>
      </c>
      <c r="T44">
        <f>'Sorting Q'!U48/100</f>
        <v>-1.255511370928708E-2</v>
      </c>
    </row>
    <row r="45" spans="1:20" x14ac:dyDescent="0.35">
      <c r="A45" s="1">
        <v>44561</v>
      </c>
      <c r="B45">
        <f>'Sorting Q'!C49/100</f>
        <v>3.6000000000000004E-2</v>
      </c>
      <c r="C45">
        <f>'Sorting Q'!D49/100</f>
        <v>3.2000000000000001E-2</v>
      </c>
      <c r="D45">
        <f>'Sorting Q'!E49/100</f>
        <v>2.0499999999999997E-2</v>
      </c>
      <c r="E45">
        <f>4.166</f>
        <v>4.1660000000000004</v>
      </c>
      <c r="F45">
        <f>'Sorting Q'!G49/100</f>
        <v>4.2999999999999997E-2</v>
      </c>
      <c r="G45">
        <f>1567.53</f>
        <v>1567.53</v>
      </c>
      <c r="H45">
        <f>11308.79</f>
        <v>11308.79</v>
      </c>
      <c r="I45">
        <f>'Sorting Q'!J49/100</f>
        <v>0.13</v>
      </c>
      <c r="J45">
        <f>'Sorting Q'!K49/100</f>
        <v>0.14499999999999999</v>
      </c>
      <c r="K45">
        <f>'Sorting Q'!L49/100</f>
        <v>-0.03</v>
      </c>
      <c r="L45">
        <f>'Sorting Q'!M49/100</f>
        <v>0.11</v>
      </c>
      <c r="M45">
        <f>'Sorting Q'!N49/100</f>
        <v>1.8000000000000002E-2</v>
      </c>
      <c r="N45">
        <f>1829.2</f>
        <v>1829.2</v>
      </c>
      <c r="O45" t="e">
        <f>NA()</f>
        <v>#N/A</v>
      </c>
      <c r="P45">
        <f>111.4</f>
        <v>111.4</v>
      </c>
      <c r="Q45">
        <v>77.78</v>
      </c>
      <c r="R45">
        <f>'Sorting Q'!S49/100</f>
        <v>3.6702078823249495E-2</v>
      </c>
      <c r="S45">
        <f>'Sorting Q'!T49/100</f>
        <v>1.5872969223999389E-2</v>
      </c>
      <c r="T45">
        <f>'Sorting Q'!U49/100</f>
        <v>6.8345026604946346E-2</v>
      </c>
    </row>
    <row r="47" spans="1:20" x14ac:dyDescent="0.35">
      <c r="A47" t="s">
        <v>34</v>
      </c>
      <c r="B47" t="s">
        <v>19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27</v>
      </c>
      <c r="K47" t="s">
        <v>28</v>
      </c>
      <c r="L47" t="s">
        <v>29</v>
      </c>
      <c r="M47" t="s">
        <v>30</v>
      </c>
      <c r="N47" t="s">
        <v>31</v>
      </c>
      <c r="O47" t="s">
        <v>32</v>
      </c>
      <c r="P47" t="s">
        <v>33</v>
      </c>
      <c r="Q47" t="s">
        <v>100</v>
      </c>
      <c r="R47" t="s">
        <v>65</v>
      </c>
      <c r="S47" t="s">
        <v>66</v>
      </c>
      <c r="T47" t="s">
        <v>67</v>
      </c>
    </row>
    <row r="48" spans="1:20" x14ac:dyDescent="0.35">
      <c r="A48" s="1">
        <v>40633</v>
      </c>
      <c r="B48">
        <f>SIGN(B2)*LN(ABS(B2)+1)</f>
        <v>4.8790164169432049E-2</v>
      </c>
      <c r="C48">
        <f t="shared" ref="C48:T62" si="0">SIGN(C2)*LN(ABS(C2)+1)</f>
        <v>2.9558802241544429E-2</v>
      </c>
      <c r="D48">
        <f t="shared" si="0"/>
        <v>2.9947076367952099E-2</v>
      </c>
      <c r="E48">
        <f t="shared" si="0"/>
        <v>1.3926491267578984</v>
      </c>
      <c r="F48">
        <f t="shared" si="0"/>
        <v>2.9558802241544429E-2</v>
      </c>
      <c r="G48">
        <f t="shared" si="0"/>
        <v>7.3435103135811248</v>
      </c>
      <c r="H48">
        <f t="shared" si="0"/>
        <v>9.269878285892359</v>
      </c>
      <c r="I48">
        <f t="shared" si="0"/>
        <v>1.4888612493750559E-2</v>
      </c>
      <c r="J48">
        <f t="shared" si="0"/>
        <v>9.5310179804324935E-2</v>
      </c>
      <c r="K48">
        <f t="shared" si="0"/>
        <v>0.10345870836822997</v>
      </c>
      <c r="L48">
        <f t="shared" si="0"/>
        <v>0.11778303565638346</v>
      </c>
      <c r="M48">
        <f t="shared" si="0"/>
        <v>2.7615167032973391E-2</v>
      </c>
      <c r="N48">
        <f t="shared" si="0"/>
        <v>7.2676649854307991</v>
      </c>
      <c r="O48">
        <f t="shared" si="0"/>
        <v>4.6931810633108046</v>
      </c>
      <c r="P48">
        <f t="shared" si="0"/>
        <v>4.5432947822700038</v>
      </c>
      <c r="Q48">
        <f t="shared" si="0"/>
        <v>4.7737308275320087</v>
      </c>
      <c r="R48">
        <f t="shared" si="0"/>
        <v>6.503958260719811E-2</v>
      </c>
      <c r="S48">
        <f t="shared" si="0"/>
        <v>8.5713683197986196E-2</v>
      </c>
      <c r="T48">
        <f t="shared" si="0"/>
        <v>1.942416747631881E-2</v>
      </c>
    </row>
    <row r="49" spans="1:20" x14ac:dyDescent="0.35">
      <c r="A49" s="1">
        <v>40724</v>
      </c>
      <c r="B49">
        <f t="shared" ref="B49:Q91" si="1">SIGN(B3)*LN(ABS(B3)+1)</f>
        <v>4.4973365642731196E-2</v>
      </c>
      <c r="C49">
        <f t="shared" si="1"/>
        <v>3.4401426717332317E-2</v>
      </c>
      <c r="D49">
        <f t="shared" si="1"/>
        <v>3.2370380030450646E-2</v>
      </c>
      <c r="E49">
        <f t="shared" si="1"/>
        <v>1.3911575167858785</v>
      </c>
      <c r="F49">
        <f t="shared" si="1"/>
        <v>3.1498667059371016E-2</v>
      </c>
      <c r="G49">
        <f t="shared" si="1"/>
        <v>7.3652244288370969</v>
      </c>
      <c r="H49">
        <f t="shared" si="1"/>
        <v>9.2912980455561076</v>
      </c>
      <c r="I49">
        <f t="shared" si="1"/>
        <v>5.1643233151838386E-2</v>
      </c>
      <c r="J49">
        <f t="shared" si="1"/>
        <v>4.2101176018635326E-2</v>
      </c>
      <c r="K49">
        <f t="shared" si="1"/>
        <v>2.9558802241544429E-2</v>
      </c>
      <c r="L49">
        <f t="shared" si="1"/>
        <v>0.14583044821153954</v>
      </c>
      <c r="M49">
        <f t="shared" si="1"/>
        <v>2.9558802241544429E-2</v>
      </c>
      <c r="N49">
        <f t="shared" si="1"/>
        <v>7.3140067444969246</v>
      </c>
      <c r="O49">
        <f t="shared" si="1"/>
        <v>4.6904300299389146</v>
      </c>
      <c r="P49">
        <f t="shared" si="1"/>
        <v>4.5464811896394117</v>
      </c>
      <c r="Q49">
        <f t="shared" si="1"/>
        <v>4.7316266099406503</v>
      </c>
      <c r="R49">
        <f t="shared" si="0"/>
        <v>6.0379981747279682E-2</v>
      </c>
      <c r="S49">
        <f t="shared" si="0"/>
        <v>3.9710827175257701E-2</v>
      </c>
      <c r="T49">
        <f t="shared" si="0"/>
        <v>2.129882360886219E-3</v>
      </c>
    </row>
    <row r="50" spans="1:20" x14ac:dyDescent="0.35">
      <c r="A50" s="1">
        <v>40816</v>
      </c>
      <c r="B50">
        <f t="shared" si="1"/>
        <v>5.8268908123975824E-2</v>
      </c>
      <c r="C50">
        <f t="shared" si="0"/>
        <v>3.3434776086237419E-2</v>
      </c>
      <c r="D50">
        <f t="shared" si="0"/>
        <v>3.2079893463411648E-2</v>
      </c>
      <c r="E50">
        <f t="shared" si="0"/>
        <v>1.4324620419648979</v>
      </c>
      <c r="F50">
        <f t="shared" si="0"/>
        <v>3.2467190137501413E-2</v>
      </c>
      <c r="G50">
        <f t="shared" si="0"/>
        <v>7.2357127966232948</v>
      </c>
      <c r="H50">
        <f t="shared" si="0"/>
        <v>9.1483128290259348</v>
      </c>
      <c r="I50">
        <f t="shared" si="0"/>
        <v>4.2101176018635326E-2</v>
      </c>
      <c r="J50">
        <f t="shared" si="0"/>
        <v>3.8258712117090268E-2</v>
      </c>
      <c r="K50">
        <f t="shared" si="0"/>
        <v>5.5434706888100524E-2</v>
      </c>
      <c r="L50">
        <f t="shared" si="0"/>
        <v>0.18481843699254188</v>
      </c>
      <c r="M50">
        <f t="shared" si="0"/>
        <v>2.9558802241544429E-2</v>
      </c>
      <c r="N50">
        <f t="shared" si="0"/>
        <v>7.3931338556435922</v>
      </c>
      <c r="O50">
        <f t="shared" si="0"/>
        <v>4.697749367281185</v>
      </c>
      <c r="P50">
        <f t="shared" si="0"/>
        <v>4.5485998344996972</v>
      </c>
      <c r="Q50">
        <f t="shared" si="0"/>
        <v>4.6420805400081884</v>
      </c>
      <c r="R50">
        <f t="shared" si="0"/>
        <v>7.0383068871987767E-2</v>
      </c>
      <c r="S50">
        <f t="shared" si="0"/>
        <v>0.17532515481535835</v>
      </c>
      <c r="T50">
        <f t="shared" si="0"/>
        <v>3.9331096440825067E-2</v>
      </c>
    </row>
    <row r="51" spans="1:20" x14ac:dyDescent="0.35">
      <c r="A51" s="1">
        <v>40908</v>
      </c>
      <c r="B51">
        <f t="shared" si="1"/>
        <v>5.3540766928029761E-2</v>
      </c>
      <c r="C51">
        <f t="shared" si="0"/>
        <v>2.9558802241544429E-2</v>
      </c>
      <c r="D51">
        <f t="shared" si="0"/>
        <v>3.1692446732489728E-2</v>
      </c>
      <c r="E51">
        <f t="shared" si="0"/>
        <v>1.4274842879447533</v>
      </c>
      <c r="F51">
        <f t="shared" si="0"/>
        <v>3.0529205034822791E-2</v>
      </c>
      <c r="G51">
        <f t="shared" si="0"/>
        <v>7.3341530945595288</v>
      </c>
      <c r="H51">
        <f t="shared" si="0"/>
        <v>9.2581843743900034</v>
      </c>
      <c r="I51">
        <f t="shared" si="0"/>
        <v>5.4488185284069776E-2</v>
      </c>
      <c r="J51">
        <f t="shared" si="0"/>
        <v>7.1389996086672999E-2</v>
      </c>
      <c r="K51">
        <f t="shared" si="0"/>
        <v>6.2035390919452697E-2</v>
      </c>
      <c r="L51">
        <f t="shared" si="0"/>
        <v>0.12221763272424911</v>
      </c>
      <c r="M51">
        <f t="shared" si="0"/>
        <v>2.9558802241544429E-2</v>
      </c>
      <c r="N51">
        <f t="shared" si="0"/>
        <v>7.3562224036348445</v>
      </c>
      <c r="O51">
        <f t="shared" si="0"/>
        <v>4.6756286496366526</v>
      </c>
      <c r="P51">
        <f t="shared" si="0"/>
        <v>4.5538768916005408</v>
      </c>
      <c r="Q51">
        <f t="shared" si="0"/>
        <v>4.6856435701379677</v>
      </c>
      <c r="R51">
        <f t="shared" si="0"/>
        <v>6.9264164296904449E-2</v>
      </c>
      <c r="S51">
        <f t="shared" si="0"/>
        <v>0.19068557547799561</v>
      </c>
      <c r="T51">
        <f t="shared" si="0"/>
        <v>3.3092169636214364E-2</v>
      </c>
    </row>
    <row r="52" spans="1:20" x14ac:dyDescent="0.35">
      <c r="A52" s="1">
        <v>40999</v>
      </c>
      <c r="B52">
        <f t="shared" si="1"/>
        <v>4.974209189481401E-2</v>
      </c>
      <c r="C52">
        <f t="shared" si="0"/>
        <v>2.0782539182528412E-2</v>
      </c>
      <c r="D52">
        <f t="shared" si="0"/>
        <v>3.1401763139531642E-2</v>
      </c>
      <c r="E52">
        <f t="shared" si="0"/>
        <v>1.4020446712111223</v>
      </c>
      <c r="F52">
        <f t="shared" si="0"/>
        <v>2.8587456851912472E-2</v>
      </c>
      <c r="G52">
        <f t="shared" si="0"/>
        <v>7.3760887643136455</v>
      </c>
      <c r="H52">
        <f t="shared" si="0"/>
        <v>9.300238661155209</v>
      </c>
      <c r="I52">
        <f t="shared" si="0"/>
        <v>1.3902905168991434E-2</v>
      </c>
      <c r="J52">
        <f t="shared" si="0"/>
        <v>5.6380333436107689E-2</v>
      </c>
      <c r="K52">
        <f t="shared" si="0"/>
        <v>0.1275133202989597</v>
      </c>
      <c r="L52">
        <f t="shared" si="0"/>
        <v>0.1275133202989597</v>
      </c>
      <c r="M52">
        <f t="shared" si="0"/>
        <v>2.9558802241544429E-2</v>
      </c>
      <c r="N52">
        <f t="shared" si="0"/>
        <v>7.4200697937995468</v>
      </c>
      <c r="O52">
        <f t="shared" si="0"/>
        <v>4.747537427275013</v>
      </c>
      <c r="P52">
        <f t="shared" si="0"/>
        <v>4.5664293576716606</v>
      </c>
      <c r="Q52">
        <f t="shared" si="0"/>
        <v>4.8193133551050016</v>
      </c>
      <c r="R52">
        <f t="shared" si="0"/>
        <v>7.7779853289387788E-2</v>
      </c>
      <c r="S52">
        <f t="shared" si="0"/>
        <v>9.9758450605557603E-2</v>
      </c>
      <c r="T52">
        <f t="shared" si="0"/>
        <v>4.704802744215953E-2</v>
      </c>
    </row>
    <row r="53" spans="1:20" x14ac:dyDescent="0.35">
      <c r="A53" s="1">
        <v>41090</v>
      </c>
      <c r="B53">
        <f t="shared" si="1"/>
        <v>5.0693114315518165E-2</v>
      </c>
      <c r="C53">
        <f t="shared" si="0"/>
        <v>1.5873349156290163E-2</v>
      </c>
      <c r="D53">
        <f t="shared" si="0"/>
        <v>3.1401763139531642E-2</v>
      </c>
      <c r="E53">
        <f t="shared" si="0"/>
        <v>1.4300719834657785</v>
      </c>
      <c r="F53">
        <f t="shared" si="0"/>
        <v>2.9558802241544429E-2</v>
      </c>
      <c r="G53">
        <f t="shared" si="0"/>
        <v>7.3778526538336164</v>
      </c>
      <c r="H53">
        <f t="shared" si="0"/>
        <v>9.2982266994183398</v>
      </c>
      <c r="I53">
        <f t="shared" si="0"/>
        <v>4.9875415110389679E-3</v>
      </c>
      <c r="J53">
        <f t="shared" si="0"/>
        <v>7.6034686275997576E-2</v>
      </c>
      <c r="K53">
        <f t="shared" si="0"/>
        <v>0.22474227267790678</v>
      </c>
      <c r="L53">
        <f t="shared" si="0"/>
        <v>0.19967019512856771</v>
      </c>
      <c r="M53">
        <f t="shared" si="0"/>
        <v>2.9558802241544429E-2</v>
      </c>
      <c r="N53">
        <f t="shared" si="0"/>
        <v>7.3767896886863209</v>
      </c>
      <c r="O53">
        <f t="shared" si="0"/>
        <v>4.7527277503457057</v>
      </c>
      <c r="P53">
        <f t="shared" si="0"/>
        <v>4.5705787412184726</v>
      </c>
      <c r="Q53">
        <f t="shared" si="0"/>
        <v>4.5930976047538223</v>
      </c>
      <c r="R53">
        <f t="shared" si="0"/>
        <v>8.9214861148841404E-2</v>
      </c>
      <c r="S53">
        <f t="shared" si="0"/>
        <v>0.10607584495196415</v>
      </c>
      <c r="T53">
        <f t="shared" si="0"/>
        <v>3.6877643664088307E-2</v>
      </c>
    </row>
    <row r="54" spans="1:20" x14ac:dyDescent="0.35">
      <c r="A54" s="1">
        <v>41182</v>
      </c>
      <c r="B54">
        <f t="shared" si="1"/>
        <v>4.8790164169432049E-2</v>
      </c>
      <c r="C54">
        <f t="shared" si="0"/>
        <v>1.2916225266546229E-2</v>
      </c>
      <c r="D54">
        <f t="shared" si="0"/>
        <v>3.1498667059371016E-2</v>
      </c>
      <c r="E54">
        <f t="shared" si="0"/>
        <v>1.4008134472190934</v>
      </c>
      <c r="F54">
        <f t="shared" si="0"/>
        <v>3.1498667059371016E-2</v>
      </c>
      <c r="G54">
        <f t="shared" si="0"/>
        <v>7.4010236726597673</v>
      </c>
      <c r="H54">
        <f t="shared" si="0"/>
        <v>9.315381236551044</v>
      </c>
      <c r="I54">
        <f t="shared" si="0"/>
        <v>-4.5928931888399735E-2</v>
      </c>
      <c r="J54">
        <f t="shared" si="0"/>
        <v>1.8821754240587667E-2</v>
      </c>
      <c r="K54">
        <f t="shared" si="0"/>
        <v>0.19392069263730649</v>
      </c>
      <c r="L54">
        <f t="shared" si="0"/>
        <v>0.18730909830499368</v>
      </c>
      <c r="M54">
        <f t="shared" si="0"/>
        <v>2.9558802241544429E-2</v>
      </c>
      <c r="N54">
        <f t="shared" si="0"/>
        <v>7.4805693000821964</v>
      </c>
      <c r="O54">
        <f t="shared" si="0"/>
        <v>4.78164132910387</v>
      </c>
      <c r="P54">
        <f t="shared" si="0"/>
        <v>4.5612182984589085</v>
      </c>
      <c r="Q54">
        <f t="shared" si="0"/>
        <v>4.7308332039837486</v>
      </c>
      <c r="R54">
        <f t="shared" si="0"/>
        <v>8.8345728250609851E-2</v>
      </c>
      <c r="S54">
        <f t="shared" si="0"/>
        <v>2.9963468236974215E-2</v>
      </c>
      <c r="T54">
        <f t="shared" si="0"/>
        <v>1.6422032260310832E-2</v>
      </c>
    </row>
    <row r="55" spans="1:20" x14ac:dyDescent="0.35">
      <c r="A55" s="1">
        <v>41274</v>
      </c>
      <c r="B55">
        <f t="shared" si="1"/>
        <v>6.2974799161388387E-2</v>
      </c>
      <c r="C55">
        <f t="shared" si="0"/>
        <v>1.1928570865273812E-2</v>
      </c>
      <c r="D55">
        <f t="shared" si="0"/>
        <v>3.1595561589750583E-2</v>
      </c>
      <c r="E55">
        <f t="shared" si="0"/>
        <v>1.4008134472190934</v>
      </c>
      <c r="F55">
        <f t="shared" si="0"/>
        <v>3.2467190137501413E-2</v>
      </c>
      <c r="G55">
        <f t="shared" si="0"/>
        <v>7.4324542216806346</v>
      </c>
      <c r="H55">
        <f t="shared" si="0"/>
        <v>9.3447960872828446</v>
      </c>
      <c r="I55">
        <f t="shared" si="0"/>
        <v>-3.9220713153281329E-2</v>
      </c>
      <c r="J55">
        <f t="shared" si="0"/>
        <v>-3.2467190137501413E-2</v>
      </c>
      <c r="K55">
        <f t="shared" si="0"/>
        <v>0.14410034397375687</v>
      </c>
      <c r="L55">
        <f t="shared" si="0"/>
        <v>0.13976194237515863</v>
      </c>
      <c r="M55">
        <f t="shared" si="0"/>
        <v>2.9558802241544429E-2</v>
      </c>
      <c r="N55">
        <f t="shared" si="0"/>
        <v>7.4243740897888904</v>
      </c>
      <c r="O55">
        <f t="shared" si="0"/>
        <v>4.7849886125639278</v>
      </c>
      <c r="P55">
        <f t="shared" si="0"/>
        <v>4.5695430083449402</v>
      </c>
      <c r="Q55">
        <f t="shared" si="0"/>
        <v>4.7194805321655018</v>
      </c>
      <c r="R55">
        <f t="shared" si="0"/>
        <v>6.5461754233739317E-2</v>
      </c>
      <c r="S55">
        <f t="shared" si="0"/>
        <v>7.523950796144532E-3</v>
      </c>
      <c r="T55">
        <f t="shared" si="0"/>
        <v>6.345863661489469E-2</v>
      </c>
    </row>
    <row r="56" spans="1:20" x14ac:dyDescent="0.35">
      <c r="A56" s="1">
        <v>41364</v>
      </c>
      <c r="B56">
        <f t="shared" si="1"/>
        <v>4.2101176018635326E-2</v>
      </c>
      <c r="C56">
        <f t="shared" si="0"/>
        <v>1.5873349156290163E-2</v>
      </c>
      <c r="D56">
        <f t="shared" si="0"/>
        <v>3.1595561589750583E-2</v>
      </c>
      <c r="E56">
        <f t="shared" si="0"/>
        <v>1.4094736340672958</v>
      </c>
      <c r="F56">
        <f t="shared" si="0"/>
        <v>3.2467190137501413E-2</v>
      </c>
      <c r="G56">
        <f t="shared" si="0"/>
        <v>7.42215251693389</v>
      </c>
      <c r="H56">
        <f t="shared" si="0"/>
        <v>9.3432519475537994</v>
      </c>
      <c r="I56">
        <f t="shared" si="0"/>
        <v>-3.4401426717332317E-2</v>
      </c>
      <c r="J56">
        <f t="shared" si="0"/>
        <v>-2.3716526617316065E-2</v>
      </c>
      <c r="K56">
        <f t="shared" si="0"/>
        <v>0.11778303565638346</v>
      </c>
      <c r="L56">
        <f t="shared" si="0"/>
        <v>0.18065349969325756</v>
      </c>
      <c r="M56">
        <f t="shared" si="0"/>
        <v>2.9558802241544429E-2</v>
      </c>
      <c r="N56">
        <f t="shared" si="0"/>
        <v>7.3768209684998958</v>
      </c>
      <c r="O56">
        <f t="shared" si="0"/>
        <v>4.8194747886350964</v>
      </c>
      <c r="P56">
        <f t="shared" si="0"/>
        <v>4.5951198501345898</v>
      </c>
      <c r="Q56">
        <f t="shared" si="0"/>
        <v>4.7097103652620156</v>
      </c>
      <c r="R56">
        <f t="shared" si="0"/>
        <v>6.2114478727592418E-2</v>
      </c>
      <c r="S56">
        <f t="shared" si="0"/>
        <v>1.7630605157128393E-3</v>
      </c>
      <c r="T56">
        <f t="shared" si="0"/>
        <v>4.0489578571868435E-4</v>
      </c>
    </row>
    <row r="57" spans="1:20" x14ac:dyDescent="0.35">
      <c r="A57" s="1">
        <v>41455</v>
      </c>
      <c r="B57">
        <f t="shared" si="1"/>
        <v>4.4973365642731196E-2</v>
      </c>
      <c r="C57">
        <f t="shared" si="0"/>
        <v>1.7839918128331016E-2</v>
      </c>
      <c r="D57">
        <f t="shared" si="0"/>
        <v>3.1498667059371016E-2</v>
      </c>
      <c r="E57">
        <f t="shared" si="0"/>
        <v>1.4256352593583475</v>
      </c>
      <c r="F57">
        <f t="shared" si="0"/>
        <v>2.7615167032973391E-2</v>
      </c>
      <c r="G57">
        <f t="shared" si="0"/>
        <v>7.481296513393497</v>
      </c>
      <c r="H57">
        <f t="shared" si="0"/>
        <v>9.4178349137680843</v>
      </c>
      <c r="I57">
        <f t="shared" si="0"/>
        <v>-4.4973365642731196E-2</v>
      </c>
      <c r="J57">
        <f t="shared" si="0"/>
        <v>-1.3902905168991434E-2</v>
      </c>
      <c r="K57">
        <f t="shared" si="0"/>
        <v>5.6380333436107689E-2</v>
      </c>
      <c r="L57">
        <f t="shared" si="0"/>
        <v>0.17142911562753102</v>
      </c>
      <c r="M57">
        <f t="shared" si="0"/>
        <v>2.9558802241544429E-2</v>
      </c>
      <c r="N57">
        <f t="shared" si="0"/>
        <v>7.119255306801211</v>
      </c>
      <c r="O57">
        <f t="shared" si="0"/>
        <v>4.7068238397145912</v>
      </c>
      <c r="P57">
        <f t="shared" si="0"/>
        <v>4.5941092386286666</v>
      </c>
      <c r="Q57">
        <f t="shared" si="0"/>
        <v>4.6362811810131443</v>
      </c>
      <c r="R57">
        <f t="shared" si="0"/>
        <v>6.6564573629424126E-2</v>
      </c>
      <c r="S57">
        <f t="shared" si="0"/>
        <v>0.1028084490475758</v>
      </c>
      <c r="T57">
        <f t="shared" si="0"/>
        <v>5.14918577842143E-2</v>
      </c>
    </row>
    <row r="58" spans="1:20" x14ac:dyDescent="0.35">
      <c r="A58" s="1">
        <v>41547</v>
      </c>
      <c r="B58">
        <f t="shared" si="1"/>
        <v>4.7837329414160058E-2</v>
      </c>
      <c r="C58">
        <f t="shared" si="0"/>
        <v>2.5667746748577813E-2</v>
      </c>
      <c r="D58">
        <f t="shared" si="0"/>
        <v>3.1595561589750583E-2</v>
      </c>
      <c r="E58">
        <f t="shared" si="0"/>
        <v>1.449151782500758</v>
      </c>
      <c r="F58">
        <f t="shared" si="0"/>
        <v>3.0529205034822791E-2</v>
      </c>
      <c r="G58">
        <f t="shared" si="0"/>
        <v>7.4785201132532988</v>
      </c>
      <c r="H58">
        <f t="shared" si="0"/>
        <v>9.4165940896887896</v>
      </c>
      <c r="I58">
        <f t="shared" si="0"/>
        <v>4.1141943331175213E-2</v>
      </c>
      <c r="J58">
        <f t="shared" si="0"/>
        <v>3.7295784743696929E-2</v>
      </c>
      <c r="K58">
        <f t="shared" si="0"/>
        <v>8.4341148433750956E-2</v>
      </c>
      <c r="L58">
        <f t="shared" si="0"/>
        <v>0.16041672140590466</v>
      </c>
      <c r="M58">
        <f t="shared" si="0"/>
        <v>2.9558802241544429E-2</v>
      </c>
      <c r="N58">
        <f t="shared" si="0"/>
        <v>7.1929567773523857</v>
      </c>
      <c r="O58">
        <f t="shared" si="0"/>
        <v>4.6347289882296359</v>
      </c>
      <c r="P58">
        <f t="shared" si="0"/>
        <v>4.6031681833174183</v>
      </c>
      <c r="Q58">
        <f t="shared" si="0"/>
        <v>4.6947366293471342</v>
      </c>
      <c r="R58">
        <f t="shared" si="0"/>
        <v>7.7211840831060599E-2</v>
      </c>
      <c r="S58">
        <f t="shared" si="0"/>
        <v>6.428888067281166E-2</v>
      </c>
      <c r="T58">
        <f t="shared" si="0"/>
        <v>5.336616211722351E-2</v>
      </c>
    </row>
    <row r="59" spans="1:20" x14ac:dyDescent="0.35">
      <c r="A59" s="1">
        <v>41639</v>
      </c>
      <c r="B59">
        <f t="shared" si="1"/>
        <v>4.8790164169432049E-2</v>
      </c>
      <c r="C59">
        <f t="shared" si="0"/>
        <v>3.1498667059371016E-2</v>
      </c>
      <c r="D59">
        <f t="shared" si="0"/>
        <v>3.2660782239548276E-2</v>
      </c>
      <c r="E59">
        <f t="shared" si="0"/>
        <v>1.452901054613873</v>
      </c>
      <c r="F59">
        <f t="shared" si="0"/>
        <v>2.9558802241544429E-2</v>
      </c>
      <c r="G59">
        <f t="shared" si="0"/>
        <v>7.5326022052832888</v>
      </c>
      <c r="H59">
        <f t="shared" si="0"/>
        <v>9.4614593367108899</v>
      </c>
      <c r="I59">
        <f t="shared" si="0"/>
        <v>4.974209189481401E-2</v>
      </c>
      <c r="J59">
        <f t="shared" si="0"/>
        <v>6.6723632042908126E-2</v>
      </c>
      <c r="K59">
        <f t="shared" si="0"/>
        <v>5.9211859631846032E-2</v>
      </c>
      <c r="L59">
        <f t="shared" si="0"/>
        <v>0.1275133202989597</v>
      </c>
      <c r="M59">
        <f t="shared" si="0"/>
        <v>2.9558802241544429E-2</v>
      </c>
      <c r="N59">
        <f t="shared" si="0"/>
        <v>7.0922744193195788</v>
      </c>
      <c r="O59">
        <f t="shared" si="0"/>
        <v>4.423648309364701</v>
      </c>
      <c r="P59">
        <f t="shared" si="0"/>
        <v>4.5930976047538223</v>
      </c>
      <c r="Q59">
        <f t="shared" si="0"/>
        <v>4.7167115607209986</v>
      </c>
      <c r="R59">
        <f t="shared" si="0"/>
        <v>7.3105891957360045E-2</v>
      </c>
      <c r="S59">
        <f t="shared" si="0"/>
        <v>5.29695015597378E-2</v>
      </c>
      <c r="T59">
        <f t="shared" si="0"/>
        <v>2.9068414736411023E-2</v>
      </c>
    </row>
    <row r="60" spans="1:20" x14ac:dyDescent="0.35">
      <c r="A60" s="1">
        <v>41729</v>
      </c>
      <c r="B60">
        <f t="shared" si="1"/>
        <v>6.1095099359810827E-2</v>
      </c>
      <c r="C60">
        <f t="shared" si="0"/>
        <v>3.4401426717332317E-2</v>
      </c>
      <c r="D60">
        <f t="shared" si="0"/>
        <v>3.275756423817229E-2</v>
      </c>
      <c r="E60">
        <f t="shared" si="0"/>
        <v>1.4505594073666122</v>
      </c>
      <c r="F60">
        <f t="shared" si="0"/>
        <v>2.9558802241544429E-2</v>
      </c>
      <c r="G60">
        <f t="shared" si="0"/>
        <v>7.5230544251437124</v>
      </c>
      <c r="H60">
        <f t="shared" si="0"/>
        <v>9.457094194262778</v>
      </c>
      <c r="I60">
        <f t="shared" si="0"/>
        <v>7.5107472486805479E-2</v>
      </c>
      <c r="J60">
        <f t="shared" si="0"/>
        <v>7.2320661579626078E-2</v>
      </c>
      <c r="K60">
        <f t="shared" si="0"/>
        <v>6.4850972319616271E-2</v>
      </c>
      <c r="L60">
        <f t="shared" si="0"/>
        <v>0.1380212978973748</v>
      </c>
      <c r="M60">
        <f t="shared" si="0"/>
        <v>2.9558802241544429E-2</v>
      </c>
      <c r="N60">
        <f t="shared" si="0"/>
        <v>7.158521779400207</v>
      </c>
      <c r="O60">
        <f t="shared" si="0"/>
        <v>4.5829245770407718</v>
      </c>
      <c r="P60">
        <f t="shared" si="0"/>
        <v>4.5971380142908274</v>
      </c>
      <c r="Q60">
        <f t="shared" si="0"/>
        <v>4.6891436197642697</v>
      </c>
      <c r="R60">
        <f t="shared" si="0"/>
        <v>6.7167100426306733E-2</v>
      </c>
      <c r="S60">
        <f t="shared" si="0"/>
        <v>0.11289505264178708</v>
      </c>
      <c r="T60">
        <f t="shared" si="0"/>
        <v>4.6096997979495687E-2</v>
      </c>
    </row>
    <row r="61" spans="1:20" x14ac:dyDescent="0.35">
      <c r="A61" s="1">
        <v>41820</v>
      </c>
      <c r="B61">
        <f t="shared" si="1"/>
        <v>6.2974799161388387E-2</v>
      </c>
      <c r="C61">
        <f t="shared" si="0"/>
        <v>3.2467190137501413E-2</v>
      </c>
      <c r="D61">
        <f t="shared" si="0"/>
        <v>3.4884401853501883E-2</v>
      </c>
      <c r="E61">
        <f t="shared" si="0"/>
        <v>1.4377001491797907</v>
      </c>
      <c r="F61">
        <f t="shared" si="0"/>
        <v>2.7615167032973391E-2</v>
      </c>
      <c r="G61">
        <f t="shared" si="0"/>
        <v>7.5409985154750432</v>
      </c>
      <c r="H61">
        <f t="shared" si="0"/>
        <v>9.476603947317054</v>
      </c>
      <c r="I61">
        <f t="shared" si="0"/>
        <v>8.2501221511743772E-2</v>
      </c>
      <c r="J61">
        <f t="shared" si="0"/>
        <v>4.3059489460447013E-2</v>
      </c>
      <c r="K61">
        <f t="shared" si="0"/>
        <v>6.6723632042908126E-2</v>
      </c>
      <c r="L61">
        <f t="shared" si="0"/>
        <v>0.16211884947643512</v>
      </c>
      <c r="M61">
        <f t="shared" si="0"/>
        <v>2.9558802241544429E-2</v>
      </c>
      <c r="N61">
        <f t="shared" si="0"/>
        <v>7.1916777931427687</v>
      </c>
      <c r="O61">
        <f t="shared" si="0"/>
        <v>4.6161101260264257</v>
      </c>
      <c r="P61">
        <f t="shared" si="0"/>
        <v>4.604169685654508</v>
      </c>
      <c r="Q61">
        <f t="shared" si="0"/>
        <v>4.730568595382425</v>
      </c>
      <c r="R61">
        <f t="shared" si="0"/>
        <v>6.3134350299600864E-2</v>
      </c>
      <c r="S61">
        <f t="shared" si="0"/>
        <v>-1.4097207481747062E-3</v>
      </c>
      <c r="T61">
        <f t="shared" si="0"/>
        <v>5.7320750624542942E-2</v>
      </c>
    </row>
    <row r="62" spans="1:20" x14ac:dyDescent="0.35">
      <c r="A62" s="1">
        <v>41912</v>
      </c>
      <c r="B62">
        <f t="shared" si="1"/>
        <v>5.4488185284069776E-2</v>
      </c>
      <c r="C62">
        <f t="shared" si="0"/>
        <v>2.5667746748577813E-2</v>
      </c>
      <c r="D62">
        <f t="shared" si="0"/>
        <v>3.6717582935162862E-2</v>
      </c>
      <c r="E62">
        <f t="shared" si="0"/>
        <v>1.4540698252004034</v>
      </c>
      <c r="F62">
        <f t="shared" si="0"/>
        <v>2.6641930946421092E-2</v>
      </c>
      <c r="G62">
        <f t="shared" si="0"/>
        <v>7.5214858058558454</v>
      </c>
      <c r="H62">
        <f t="shared" si="0"/>
        <v>9.4669705355572891</v>
      </c>
      <c r="I62">
        <f t="shared" si="0"/>
        <v>2.5667746748577813E-2</v>
      </c>
      <c r="J62">
        <f t="shared" si="0"/>
        <v>2.0782539182528412E-2</v>
      </c>
      <c r="K62">
        <f t="shared" si="0"/>
        <v>1.2916225266546229E-2</v>
      </c>
      <c r="L62">
        <f t="shared" si="0"/>
        <v>0.22554067591393134</v>
      </c>
      <c r="M62">
        <f t="shared" si="0"/>
        <v>3.2467190137501413E-2</v>
      </c>
      <c r="N62">
        <f t="shared" si="0"/>
        <v>7.0976729123977194</v>
      </c>
      <c r="O62">
        <f t="shared" si="0"/>
        <v>4.5951198501345898</v>
      </c>
      <c r="P62">
        <f t="shared" si="0"/>
        <v>4.619073091157083</v>
      </c>
      <c r="Q62">
        <f t="shared" si="0"/>
        <v>4.560904769690076</v>
      </c>
      <c r="R62">
        <f t="shared" si="0"/>
        <v>6.5793596141390812E-2</v>
      </c>
      <c r="S62">
        <f t="shared" si="0"/>
        <v>4.9740325714116074E-2</v>
      </c>
      <c r="T62">
        <f t="shared" si="0"/>
        <v>4.1268439882636579E-2</v>
      </c>
    </row>
    <row r="63" spans="1:20" x14ac:dyDescent="0.35">
      <c r="A63" s="1">
        <v>42004</v>
      </c>
      <c r="B63">
        <f t="shared" si="1"/>
        <v>5.5434706888100524E-2</v>
      </c>
      <c r="C63">
        <f t="shared" ref="C63:T77" si="2">SIGN(C17)*LN(ABS(C17)+1)</f>
        <v>2.6641930946421092E-2</v>
      </c>
      <c r="D63">
        <f t="shared" si="2"/>
        <v>3.7873652428081488E-2</v>
      </c>
      <c r="E63">
        <f t="shared" si="2"/>
        <v>1.5032993163724331</v>
      </c>
      <c r="F63">
        <f t="shared" si="2"/>
        <v>2.9558802241544429E-2</v>
      </c>
      <c r="G63">
        <f t="shared" si="2"/>
        <v>7.4743466806539853</v>
      </c>
      <c r="H63">
        <f t="shared" si="2"/>
        <v>9.3982529365832992</v>
      </c>
      <c r="I63">
        <f t="shared" si="2"/>
        <v>1.5873349156290163E-2</v>
      </c>
      <c r="J63">
        <f t="shared" si="2"/>
        <v>2.2739486969489339E-2</v>
      </c>
      <c r="K63">
        <f t="shared" si="2"/>
        <v>4.2101176018635326E-2</v>
      </c>
      <c r="L63">
        <f t="shared" si="2"/>
        <v>0.13714983814723367</v>
      </c>
      <c r="M63">
        <f t="shared" si="2"/>
        <v>3.2467190137501413E-2</v>
      </c>
      <c r="N63">
        <f t="shared" si="2"/>
        <v>7.0778102411205461</v>
      </c>
      <c r="O63">
        <f t="shared" si="2"/>
        <v>4.4308167988433134</v>
      </c>
      <c r="P63">
        <f t="shared" si="2"/>
        <v>4.6249728132842707</v>
      </c>
      <c r="Q63">
        <f t="shared" si="2"/>
        <v>4.0661165407655462</v>
      </c>
      <c r="R63">
        <f t="shared" si="2"/>
        <v>7.3445375913564703E-2</v>
      </c>
      <c r="S63">
        <f t="shared" si="2"/>
        <v>2.4433869694035389E-2</v>
      </c>
      <c r="T63">
        <f t="shared" si="2"/>
        <v>5.7097266375885809E-2</v>
      </c>
    </row>
    <row r="64" spans="1:20" x14ac:dyDescent="0.35">
      <c r="A64" s="1">
        <v>42094</v>
      </c>
      <c r="B64">
        <f t="shared" si="1"/>
        <v>5.7325066619269352E-2</v>
      </c>
      <c r="C64">
        <f t="shared" si="2"/>
        <v>8.9597413714718015E-3</v>
      </c>
      <c r="D64">
        <f t="shared" si="2"/>
        <v>3.6621183455645412E-2</v>
      </c>
      <c r="E64">
        <f t="shared" si="2"/>
        <v>1.5483069124298692</v>
      </c>
      <c r="F64">
        <f t="shared" si="2"/>
        <v>2.9558802241544429E-2</v>
      </c>
      <c r="G64">
        <f t="shared" si="2"/>
        <v>7.5130434506867694</v>
      </c>
      <c r="H64">
        <f t="shared" si="2"/>
        <v>9.4386211053460194</v>
      </c>
      <c r="I64">
        <f t="shared" si="2"/>
        <v>-1.6857117066422806E-2</v>
      </c>
      <c r="J64">
        <f t="shared" si="2"/>
        <v>-1.9980026626730579E-3</v>
      </c>
      <c r="K64">
        <f t="shared" si="2"/>
        <v>7.5107472486805479E-2</v>
      </c>
      <c r="L64">
        <f t="shared" si="2"/>
        <v>0.20294084399669038</v>
      </c>
      <c r="M64">
        <f t="shared" si="2"/>
        <v>3.2467190137501413E-2</v>
      </c>
      <c r="N64">
        <f t="shared" si="2"/>
        <v>7.077135118517961</v>
      </c>
      <c r="O64">
        <f t="shared" si="2"/>
        <v>4.2986450257348308</v>
      </c>
      <c r="P64">
        <f t="shared" si="2"/>
        <v>4.6259527251706194</v>
      </c>
      <c r="Q64">
        <f t="shared" si="2"/>
        <v>4.0273140497628805</v>
      </c>
      <c r="R64">
        <f t="shared" si="2"/>
        <v>8.5121391770172916E-2</v>
      </c>
      <c r="S64">
        <f t="shared" si="2"/>
        <v>4.2753427230429339E-2</v>
      </c>
      <c r="T64">
        <f t="shared" si="2"/>
        <v>6.6532589243277582E-2</v>
      </c>
    </row>
    <row r="65" spans="1:20" x14ac:dyDescent="0.35">
      <c r="A65" s="1">
        <v>42185</v>
      </c>
      <c r="B65">
        <f t="shared" si="1"/>
        <v>4.8790164169432049E-2</v>
      </c>
      <c r="C65">
        <f t="shared" si="2"/>
        <v>2.4692612590371414E-2</v>
      </c>
      <c r="D65">
        <f t="shared" si="2"/>
        <v>3.6235492582095359E-2</v>
      </c>
      <c r="E65">
        <f t="shared" si="2"/>
        <v>1.5629750380237595</v>
      </c>
      <c r="F65">
        <f t="shared" si="2"/>
        <v>3.0529205034822791E-2</v>
      </c>
      <c r="G65">
        <f t="shared" si="2"/>
        <v>7.4428675792990759</v>
      </c>
      <c r="H65">
        <f t="shared" si="2"/>
        <v>9.3735589566581776</v>
      </c>
      <c r="I65">
        <f t="shared" si="2"/>
        <v>-4.2101176018635326E-2</v>
      </c>
      <c r="J65">
        <f t="shared" si="2"/>
        <v>-3.2467190137501413E-2</v>
      </c>
      <c r="K65">
        <f t="shared" si="2"/>
        <v>2.9955089797983709E-3</v>
      </c>
      <c r="L65">
        <f t="shared" si="2"/>
        <v>0.19144646457095527</v>
      </c>
      <c r="M65">
        <f t="shared" si="2"/>
        <v>3.2467190137501413E-2</v>
      </c>
      <c r="N65">
        <f t="shared" si="2"/>
        <v>7.0676181843686043</v>
      </c>
      <c r="O65">
        <f t="shared" si="2"/>
        <v>4.2863413845394733</v>
      </c>
      <c r="P65">
        <f t="shared" si="2"/>
        <v>4.6131383556372683</v>
      </c>
      <c r="Q65">
        <f t="shared" si="2"/>
        <v>4.1680596000443817</v>
      </c>
      <c r="R65">
        <f t="shared" si="2"/>
        <v>6.2484049820841284E-2</v>
      </c>
      <c r="S65">
        <f t="shared" si="2"/>
        <v>6.8497753645365325E-2</v>
      </c>
      <c r="T65">
        <f t="shared" si="2"/>
        <v>4.2658381189479642E-2</v>
      </c>
    </row>
    <row r="66" spans="1:20" x14ac:dyDescent="0.35">
      <c r="A66" s="1">
        <v>42277</v>
      </c>
      <c r="B66">
        <f t="shared" si="1"/>
        <v>4.6883585898850458E-2</v>
      </c>
      <c r="C66">
        <f t="shared" si="2"/>
        <v>2.5667746748577813E-2</v>
      </c>
      <c r="D66">
        <f t="shared" si="2"/>
        <v>3.6717582935162862E-2</v>
      </c>
      <c r="E66">
        <f t="shared" si="2"/>
        <v>1.6855652728216513</v>
      </c>
      <c r="F66">
        <f t="shared" si="2"/>
        <v>3.1498667059371016E-2</v>
      </c>
      <c r="G66">
        <f t="shared" si="2"/>
        <v>7.391439895283737</v>
      </c>
      <c r="H66">
        <f t="shared" si="2"/>
        <v>9.3239038511455217</v>
      </c>
      <c r="I66">
        <f t="shared" si="2"/>
        <v>3.1498667059371016E-2</v>
      </c>
      <c r="J66">
        <f t="shared" si="2"/>
        <v>2.8587456851912472E-2</v>
      </c>
      <c r="K66">
        <f t="shared" si="2"/>
        <v>4.0181789632831762E-2</v>
      </c>
      <c r="L66">
        <f t="shared" si="2"/>
        <v>0.23507212217948364</v>
      </c>
      <c r="M66">
        <f t="shared" si="2"/>
        <v>3.2467190137501413E-2</v>
      </c>
      <c r="N66">
        <f t="shared" si="2"/>
        <v>7.0175867848509004</v>
      </c>
      <c r="O66">
        <f t="shared" si="2"/>
        <v>4.2654928184179299</v>
      </c>
      <c r="P66">
        <f t="shared" si="2"/>
        <v>4.6151205168412597</v>
      </c>
      <c r="Q66">
        <f t="shared" si="2"/>
        <v>3.8993429522707714</v>
      </c>
      <c r="R66">
        <f t="shared" si="2"/>
        <v>4.0635348319701572E-2</v>
      </c>
      <c r="S66">
        <f t="shared" si="2"/>
        <v>3.6567924231672592E-2</v>
      </c>
      <c r="T66">
        <f t="shared" si="2"/>
        <v>4.502682230858418E-2</v>
      </c>
    </row>
    <row r="67" spans="1:20" x14ac:dyDescent="0.35">
      <c r="A67" s="1">
        <v>42369</v>
      </c>
      <c r="B67">
        <f t="shared" si="1"/>
        <v>4.5928931888399735E-2</v>
      </c>
      <c r="C67">
        <f t="shared" si="2"/>
        <v>2.6641930946421092E-2</v>
      </c>
      <c r="D67">
        <f t="shared" si="2"/>
        <v>3.7681066967688484E-2</v>
      </c>
      <c r="E67">
        <f t="shared" si="2"/>
        <v>1.6662907240268832</v>
      </c>
      <c r="F67">
        <f t="shared" si="2"/>
        <v>3.3434776086237419E-2</v>
      </c>
      <c r="G67">
        <f t="shared" si="2"/>
        <v>7.4345585771710097</v>
      </c>
      <c r="H67">
        <f t="shared" si="2"/>
        <v>9.3754013178110007</v>
      </c>
      <c r="I67">
        <f t="shared" si="2"/>
        <v>3.7295784743696929E-2</v>
      </c>
      <c r="J67">
        <f t="shared" si="2"/>
        <v>3.6331929247390204E-2</v>
      </c>
      <c r="K67">
        <f t="shared" si="2"/>
        <v>2.5667746748577813E-2</v>
      </c>
      <c r="L67">
        <f t="shared" si="2"/>
        <v>0.18564934688662926</v>
      </c>
      <c r="M67">
        <f t="shared" si="2"/>
        <v>3.2467190137501413E-2</v>
      </c>
      <c r="N67">
        <f t="shared" si="2"/>
        <v>6.9680033593274935</v>
      </c>
      <c r="O67">
        <f t="shared" si="2"/>
        <v>4.1713056033582285</v>
      </c>
      <c r="P67">
        <f t="shared" si="2"/>
        <v>4.6131383556372683</v>
      </c>
      <c r="Q67">
        <f t="shared" si="2"/>
        <v>3.6449275665847534</v>
      </c>
      <c r="R67">
        <f t="shared" si="2"/>
        <v>4.7771614343841771E-2</v>
      </c>
      <c r="S67">
        <f t="shared" si="2"/>
        <v>3.4375679080979965E-2</v>
      </c>
      <c r="T67">
        <f t="shared" si="2"/>
        <v>3.0944414427305621E-2</v>
      </c>
    </row>
    <row r="68" spans="1:20" x14ac:dyDescent="0.35">
      <c r="A68" s="1">
        <v>42460</v>
      </c>
      <c r="B68">
        <f t="shared" si="1"/>
        <v>4.2101176018635326E-2</v>
      </c>
      <c r="C68">
        <f t="shared" si="2"/>
        <v>2.5667746748577813E-2</v>
      </c>
      <c r="D68">
        <f t="shared" si="2"/>
        <v>3.6428356613551406E-2</v>
      </c>
      <c r="E68">
        <f t="shared" si="2"/>
        <v>1.5891331590937361</v>
      </c>
      <c r="F68">
        <f t="shared" si="2"/>
        <v>3.4401426717332317E-2</v>
      </c>
      <c r="G68">
        <f t="shared" si="2"/>
        <v>7.4492536474321458</v>
      </c>
      <c r="H68">
        <f t="shared" si="2"/>
        <v>9.3861222583299568</v>
      </c>
      <c r="I68">
        <f t="shared" si="2"/>
        <v>9.950330853168092E-3</v>
      </c>
      <c r="J68">
        <f t="shared" si="2"/>
        <v>2.3716526617316065E-2</v>
      </c>
      <c r="K68">
        <f t="shared" si="2"/>
        <v>9.9950033308342321E-4</v>
      </c>
      <c r="L68">
        <f t="shared" si="2"/>
        <v>0.20212418409013433</v>
      </c>
      <c r="M68">
        <f t="shared" si="2"/>
        <v>3.2467190137501413E-2</v>
      </c>
      <c r="N68">
        <f t="shared" si="2"/>
        <v>7.1178135907476916</v>
      </c>
      <c r="O68">
        <f t="shared" si="2"/>
        <v>4.3027128279541564</v>
      </c>
      <c r="P68">
        <f t="shared" si="2"/>
        <v>4.6051701859880918</v>
      </c>
      <c r="Q68">
        <f t="shared" si="2"/>
        <v>3.7037680666076871</v>
      </c>
      <c r="R68">
        <f t="shared" si="2"/>
        <v>4.942420020869602E-2</v>
      </c>
      <c r="S68">
        <f t="shared" si="2"/>
        <v>2.7335952529660305E-2</v>
      </c>
      <c r="T68">
        <f t="shared" si="2"/>
        <v>3.2584403545202513E-2</v>
      </c>
    </row>
    <row r="69" spans="1:20" x14ac:dyDescent="0.35">
      <c r="A69" s="1">
        <v>42551</v>
      </c>
      <c r="B69">
        <f t="shared" si="1"/>
        <v>4.1141943331175213E-2</v>
      </c>
      <c r="C69">
        <f t="shared" si="2"/>
        <v>1.5873349156290163E-2</v>
      </c>
      <c r="D69">
        <f t="shared" si="2"/>
        <v>3.5849652893697202E-2</v>
      </c>
      <c r="E69">
        <f t="shared" si="2"/>
        <v>1.615718150391251</v>
      </c>
      <c r="F69">
        <f t="shared" si="2"/>
        <v>3.3434776086237419E-2</v>
      </c>
      <c r="G69">
        <f t="shared" si="2"/>
        <v>7.4116046250114822</v>
      </c>
      <c r="H69">
        <f t="shared" si="2"/>
        <v>9.3528125513822324</v>
      </c>
      <c r="I69">
        <f t="shared" si="2"/>
        <v>2.0782539182528412E-2</v>
      </c>
      <c r="J69">
        <f t="shared" si="2"/>
        <v>2.7615167032973391E-2</v>
      </c>
      <c r="K69">
        <f t="shared" si="2"/>
        <v>5.9211859631846032E-2</v>
      </c>
      <c r="L69">
        <f t="shared" si="2"/>
        <v>0.16041672140590466</v>
      </c>
      <c r="M69">
        <f t="shared" si="2"/>
        <v>3.2467190137501413E-2</v>
      </c>
      <c r="N69">
        <f t="shared" si="2"/>
        <v>7.1875815754683341</v>
      </c>
      <c r="O69">
        <f t="shared" si="2"/>
        <v>4.3757570216602861</v>
      </c>
      <c r="P69">
        <f t="shared" si="2"/>
        <v>4.6101577274991303</v>
      </c>
      <c r="Q69">
        <f t="shared" si="2"/>
        <v>3.9255313554529381</v>
      </c>
      <c r="R69">
        <f t="shared" si="2"/>
        <v>5.9573322014261777E-2</v>
      </c>
      <c r="S69">
        <f t="shared" si="2"/>
        <v>5.4243376323720484E-2</v>
      </c>
      <c r="T69">
        <f t="shared" si="2"/>
        <v>3.6310234440483764E-2</v>
      </c>
    </row>
    <row r="70" spans="1:20" x14ac:dyDescent="0.35">
      <c r="A70" s="1">
        <v>42643</v>
      </c>
      <c r="B70">
        <f t="shared" si="1"/>
        <v>4.401688541677426E-2</v>
      </c>
      <c r="C70">
        <f t="shared" si="2"/>
        <v>1.4888612493750559E-2</v>
      </c>
      <c r="D70">
        <f t="shared" si="2"/>
        <v>3.3434776086237419E-2</v>
      </c>
      <c r="E70">
        <f t="shared" si="2"/>
        <v>1.6362161534667052</v>
      </c>
      <c r="F70">
        <f t="shared" si="2"/>
        <v>3.4401426717332317E-2</v>
      </c>
      <c r="G70">
        <f t="shared" si="2"/>
        <v>7.4106797708518704</v>
      </c>
      <c r="H70">
        <f t="shared" si="2"/>
        <v>9.3663675757448441</v>
      </c>
      <c r="I70">
        <f t="shared" si="2"/>
        <v>-1.9980026626730579E-3</v>
      </c>
      <c r="J70">
        <f t="shared" si="2"/>
        <v>-1.3902905168991434E-2</v>
      </c>
      <c r="K70">
        <f t="shared" si="2"/>
        <v>1.8821754240587667E-2</v>
      </c>
      <c r="L70">
        <f t="shared" si="2"/>
        <v>0.26849925303500699</v>
      </c>
      <c r="M70">
        <f t="shared" si="2"/>
        <v>2.9558802241544429E-2</v>
      </c>
      <c r="N70">
        <f t="shared" si="2"/>
        <v>7.1830129876836608</v>
      </c>
      <c r="O70">
        <f t="shared" si="2"/>
        <v>4.3121405072097154</v>
      </c>
      <c r="P70">
        <f t="shared" si="2"/>
        <v>4.60816569496789</v>
      </c>
      <c r="Q70">
        <f t="shared" si="2"/>
        <v>3.9132222860036281</v>
      </c>
      <c r="R70">
        <f t="shared" si="2"/>
        <v>5.9765191764622479E-2</v>
      </c>
      <c r="S70">
        <f t="shared" si="2"/>
        <v>2.2252418061686222E-2</v>
      </c>
      <c r="T70">
        <f t="shared" si="2"/>
        <v>3.8640454132811239E-2</v>
      </c>
    </row>
    <row r="71" spans="1:20" x14ac:dyDescent="0.35">
      <c r="A71" s="1">
        <v>42735</v>
      </c>
      <c r="B71">
        <f t="shared" si="1"/>
        <v>4.6883585898850458E-2</v>
      </c>
      <c r="C71">
        <f t="shared" si="2"/>
        <v>1.6857117066422806E-2</v>
      </c>
      <c r="D71">
        <f t="shared" si="2"/>
        <v>3.3531483208792345E-2</v>
      </c>
      <c r="E71">
        <f t="shared" si="2"/>
        <v>1.7022358482854525</v>
      </c>
      <c r="F71">
        <f t="shared" si="2"/>
        <v>3.4401426717332317E-2</v>
      </c>
      <c r="G71">
        <f t="shared" si="2"/>
        <v>7.4041147709968191</v>
      </c>
      <c r="H71">
        <f t="shared" si="2"/>
        <v>9.347275714583839</v>
      </c>
      <c r="I71">
        <f t="shared" si="2"/>
        <v>2.3716526617316065E-2</v>
      </c>
      <c r="J71">
        <f t="shared" si="2"/>
        <v>2.0782539182528412E-2</v>
      </c>
      <c r="K71">
        <f t="shared" si="2"/>
        <v>2.0782539182528412E-2</v>
      </c>
      <c r="L71">
        <f t="shared" si="2"/>
        <v>0.17814618538347404</v>
      </c>
      <c r="M71">
        <f t="shared" si="2"/>
        <v>2.9558802241544429E-2</v>
      </c>
      <c r="N71">
        <f t="shared" si="2"/>
        <v>7.0462120221291533</v>
      </c>
      <c r="O71">
        <f t="shared" si="2"/>
        <v>4.2598590006996737</v>
      </c>
      <c r="P71">
        <f t="shared" si="2"/>
        <v>4.6101577274991303</v>
      </c>
      <c r="Q71">
        <f t="shared" si="2"/>
        <v>4.0573347365882002</v>
      </c>
      <c r="R71">
        <f t="shared" si="2"/>
        <v>5.841532852401151E-2</v>
      </c>
      <c r="S71">
        <f t="shared" si="2"/>
        <v>-3.9778092849648977E-2</v>
      </c>
      <c r="T71">
        <f t="shared" si="2"/>
        <v>5.3168657363312694E-2</v>
      </c>
    </row>
    <row r="72" spans="1:20" x14ac:dyDescent="0.35">
      <c r="A72" s="1">
        <v>42825</v>
      </c>
      <c r="B72">
        <f t="shared" si="1"/>
        <v>5.4488185284069776E-2</v>
      </c>
      <c r="C72">
        <f t="shared" si="2"/>
        <v>4.7837329414160058E-2</v>
      </c>
      <c r="D72">
        <f t="shared" si="2"/>
        <v>3.3724869401620894E-2</v>
      </c>
      <c r="E72">
        <f t="shared" si="2"/>
        <v>1.6911100610781253</v>
      </c>
      <c r="F72">
        <f t="shared" si="2"/>
        <v>3.3434776086237419E-2</v>
      </c>
      <c r="G72">
        <f t="shared" si="2"/>
        <v>7.4622666328605671</v>
      </c>
      <c r="H72">
        <f t="shared" si="2"/>
        <v>9.4224383448725213</v>
      </c>
      <c r="I72">
        <f t="shared" si="2"/>
        <v>9.4400675421484295E-2</v>
      </c>
      <c r="J72">
        <f t="shared" si="2"/>
        <v>0.12221763272424911</v>
      </c>
      <c r="K72">
        <f t="shared" si="2"/>
        <v>9.0754363268464117E-2</v>
      </c>
      <c r="L72">
        <f t="shared" si="2"/>
        <v>0.1292723357041391</v>
      </c>
      <c r="M72">
        <f t="shared" si="2"/>
        <v>2.9558802241544429E-2</v>
      </c>
      <c r="N72">
        <f t="shared" si="2"/>
        <v>7.1310588174977116</v>
      </c>
      <c r="O72">
        <f t="shared" si="2"/>
        <v>4.3515674271891731</v>
      </c>
      <c r="P72">
        <f t="shared" si="2"/>
        <v>4.6239919402286791</v>
      </c>
      <c r="Q72">
        <f t="shared" si="2"/>
        <v>3.985830932572866</v>
      </c>
      <c r="R72">
        <f t="shared" si="2"/>
        <v>6.3837021418943651E-2</v>
      </c>
      <c r="S72">
        <f t="shared" si="2"/>
        <v>7.4642795377746415E-2</v>
      </c>
      <c r="T72">
        <f t="shared" si="2"/>
        <v>4.3877098499366822E-2</v>
      </c>
    </row>
    <row r="73" spans="1:20" x14ac:dyDescent="0.35">
      <c r="A73" s="1">
        <v>42916</v>
      </c>
      <c r="B73">
        <f t="shared" si="1"/>
        <v>5.5434706888100524E-2</v>
      </c>
      <c r="C73">
        <f t="shared" si="2"/>
        <v>3.3434776086237419E-2</v>
      </c>
      <c r="D73">
        <f t="shared" si="2"/>
        <v>3.3724869401620894E-2</v>
      </c>
      <c r="E73">
        <f t="shared" si="2"/>
        <v>1.6664418699018333</v>
      </c>
      <c r="F73">
        <f t="shared" si="2"/>
        <v>3.3434776086237419E-2</v>
      </c>
      <c r="G73">
        <f t="shared" si="2"/>
        <v>7.4757189830480177</v>
      </c>
      <c r="H73">
        <f t="shared" si="2"/>
        <v>9.4414473310234701</v>
      </c>
      <c r="I73">
        <f t="shared" si="2"/>
        <v>8.8926209194401487E-2</v>
      </c>
      <c r="J73">
        <f t="shared" si="2"/>
        <v>9.1667188525823867E-2</v>
      </c>
      <c r="K73">
        <f t="shared" si="2"/>
        <v>3.8258712117090268E-2</v>
      </c>
      <c r="L73">
        <f t="shared" si="2"/>
        <v>9.1667188525823867E-2</v>
      </c>
      <c r="M73">
        <f t="shared" si="2"/>
        <v>2.9558802241544429E-2</v>
      </c>
      <c r="N73">
        <f t="shared" si="2"/>
        <v>7.1249692852392519</v>
      </c>
      <c r="O73">
        <f t="shared" si="2"/>
        <v>4.4030540018659572</v>
      </c>
      <c r="P73">
        <f t="shared" si="2"/>
        <v>4.6170987568533652</v>
      </c>
      <c r="Q73">
        <f t="shared" si="2"/>
        <v>3.8901863108189718</v>
      </c>
      <c r="R73">
        <f t="shared" si="2"/>
        <v>6.7471038473154166E-2</v>
      </c>
      <c r="S73">
        <f t="shared" si="2"/>
        <v>3.4477420499681562E-2</v>
      </c>
      <c r="T73">
        <f t="shared" si="2"/>
        <v>3.6791872956357198E-2</v>
      </c>
    </row>
    <row r="74" spans="1:20" x14ac:dyDescent="0.35">
      <c r="A74" s="1">
        <v>43008</v>
      </c>
      <c r="B74">
        <f t="shared" si="1"/>
        <v>5.9211859631846032E-2</v>
      </c>
      <c r="C74">
        <f t="shared" si="2"/>
        <v>4.1141943331175213E-2</v>
      </c>
      <c r="D74">
        <f t="shared" si="2"/>
        <v>3.3724869401620894E-2</v>
      </c>
      <c r="E74">
        <f t="shared" si="2"/>
        <v>1.652593182748028</v>
      </c>
      <c r="F74">
        <f t="shared" si="2"/>
        <v>3.3434776086237419E-2</v>
      </c>
      <c r="G74">
        <f t="shared" si="2"/>
        <v>7.4711240157868666</v>
      </c>
      <c r="H74">
        <f t="shared" si="2"/>
        <v>9.4360637925639939</v>
      </c>
      <c r="I74">
        <f t="shared" si="2"/>
        <v>0.10074990310014315</v>
      </c>
      <c r="J74">
        <f t="shared" si="2"/>
        <v>0.11511280710050448</v>
      </c>
      <c r="K74">
        <f t="shared" si="2"/>
        <v>6.3913325743652855E-2</v>
      </c>
      <c r="L74">
        <f t="shared" si="2"/>
        <v>0.14410034397375687</v>
      </c>
      <c r="M74">
        <f t="shared" si="2"/>
        <v>2.9558802241544429E-2</v>
      </c>
      <c r="N74">
        <f t="shared" si="2"/>
        <v>7.155201122819312</v>
      </c>
      <c r="O74">
        <f t="shared" si="2"/>
        <v>4.3579900568456402</v>
      </c>
      <c r="P74">
        <f t="shared" si="2"/>
        <v>4.6356993910229143</v>
      </c>
      <c r="Q74">
        <f t="shared" si="2"/>
        <v>4.06971028126374</v>
      </c>
      <c r="R74">
        <f t="shared" si="2"/>
        <v>6.885497450465479E-2</v>
      </c>
      <c r="S74">
        <f t="shared" si="2"/>
        <v>4.1055899153650287E-2</v>
      </c>
      <c r="T74">
        <f t="shared" si="2"/>
        <v>5.6396493432407963E-2</v>
      </c>
    </row>
    <row r="75" spans="1:20" x14ac:dyDescent="0.35">
      <c r="A75" s="1">
        <v>43100</v>
      </c>
      <c r="B75">
        <f t="shared" si="1"/>
        <v>5.6380333436107689E-2</v>
      </c>
      <c r="C75">
        <f t="shared" si="2"/>
        <v>3.4401426717332317E-2</v>
      </c>
      <c r="D75">
        <f t="shared" si="2"/>
        <v>3.3821548475510659E-2</v>
      </c>
      <c r="E75">
        <f t="shared" si="2"/>
        <v>1.6186949336967771</v>
      </c>
      <c r="F75">
        <f t="shared" si="2"/>
        <v>3.2467190137501413E-2</v>
      </c>
      <c r="G75">
        <f t="shared" si="2"/>
        <v>7.4943245364778175</v>
      </c>
      <c r="H75">
        <f t="shared" si="2"/>
        <v>9.4683544187217539</v>
      </c>
      <c r="I75">
        <f t="shared" si="2"/>
        <v>4.974209189481401E-2</v>
      </c>
      <c r="J75">
        <f t="shared" si="2"/>
        <v>6.0153922819747144E-2</v>
      </c>
      <c r="K75">
        <f t="shared" si="2"/>
        <v>4.3059489460447013E-2</v>
      </c>
      <c r="L75">
        <f t="shared" si="2"/>
        <v>0.11422114409002286</v>
      </c>
      <c r="M75">
        <f t="shared" si="2"/>
        <v>2.9558802241544429E-2</v>
      </c>
      <c r="N75">
        <f t="shared" si="2"/>
        <v>7.173038356490439</v>
      </c>
      <c r="O75">
        <f t="shared" si="2"/>
        <v>4.4260435200906558</v>
      </c>
      <c r="P75">
        <f t="shared" si="2"/>
        <v>4.6288867126054072</v>
      </c>
      <c r="Q75">
        <f t="shared" si="2"/>
        <v>4.2175941107156669</v>
      </c>
      <c r="R75">
        <f t="shared" si="2"/>
        <v>6.6872855317199692E-2</v>
      </c>
      <c r="S75">
        <f t="shared" si="2"/>
        <v>6.7340061022296199E-2</v>
      </c>
      <c r="T75">
        <f t="shared" si="2"/>
        <v>3.7087046223587217E-2</v>
      </c>
    </row>
    <row r="76" spans="1:20" x14ac:dyDescent="0.35">
      <c r="A76" s="1">
        <v>43190</v>
      </c>
      <c r="B76">
        <f t="shared" si="1"/>
        <v>5.1643233151838386E-2</v>
      </c>
      <c r="C76">
        <f t="shared" si="2"/>
        <v>1.2916225266546229E-2</v>
      </c>
      <c r="D76">
        <f t="shared" si="2"/>
        <v>3.6235492582095359E-2</v>
      </c>
      <c r="E76">
        <f t="shared" si="2"/>
        <v>1.5817583433273581</v>
      </c>
      <c r="F76">
        <f t="shared" si="2"/>
        <v>3.2467190137501413E-2</v>
      </c>
      <c r="G76">
        <f t="shared" si="2"/>
        <v>7.5307267459159659</v>
      </c>
      <c r="H76">
        <f t="shared" si="2"/>
        <v>9.4762820759233524</v>
      </c>
      <c r="I76">
        <f t="shared" si="2"/>
        <v>2.2739486969489339E-2</v>
      </c>
      <c r="J76">
        <f t="shared" si="2"/>
        <v>-1.980262729617973E-2</v>
      </c>
      <c r="K76">
        <f t="shared" si="2"/>
        <v>1.9980026626730579E-3</v>
      </c>
      <c r="L76">
        <f t="shared" si="2"/>
        <v>0.12044615307586726</v>
      </c>
      <c r="M76">
        <f t="shared" si="2"/>
        <v>3.2467190137501413E-2</v>
      </c>
      <c r="N76">
        <f t="shared" si="2"/>
        <v>7.1902840961931176</v>
      </c>
      <c r="O76">
        <f t="shared" si="2"/>
        <v>4.5217885770490405</v>
      </c>
      <c r="P76">
        <f t="shared" si="2"/>
        <v>4.6366688530474622</v>
      </c>
      <c r="Q76">
        <f t="shared" si="2"/>
        <v>4.2664754815137789</v>
      </c>
      <c r="R76">
        <f t="shared" si="2"/>
        <v>6.364261254480412E-2</v>
      </c>
      <c r="S76">
        <f t="shared" si="2"/>
        <v>4.2380360787286856E-3</v>
      </c>
      <c r="T76">
        <f t="shared" si="2"/>
        <v>3.2289516625779585E-2</v>
      </c>
    </row>
    <row r="77" spans="1:20" x14ac:dyDescent="0.35">
      <c r="A77" s="1">
        <v>43281</v>
      </c>
      <c r="B77">
        <f t="shared" si="1"/>
        <v>4.6883585898850458E-2</v>
      </c>
      <c r="C77">
        <f t="shared" si="2"/>
        <v>7.9681696491768813E-3</v>
      </c>
      <c r="D77">
        <f t="shared" si="2"/>
        <v>3.6235492582095359E-2</v>
      </c>
      <c r="E77">
        <f t="shared" si="2"/>
        <v>1.61710841873832</v>
      </c>
      <c r="F77">
        <f t="shared" ref="C77:T91" si="3">SIGN(F31)*LN(ABS(F31)+1)</f>
        <v>3.3434776086237419E-2</v>
      </c>
      <c r="G77">
        <f t="shared" si="3"/>
        <v>7.4339620047864301</v>
      </c>
      <c r="H77">
        <f t="shared" si="3"/>
        <v>9.3894843857231436</v>
      </c>
      <c r="I77">
        <f t="shared" si="3"/>
        <v>1.980262729617973E-2</v>
      </c>
      <c r="J77">
        <f t="shared" si="3"/>
        <v>3.6331929247390204E-2</v>
      </c>
      <c r="K77">
        <f t="shared" si="3"/>
        <v>1.6857117066422806E-2</v>
      </c>
      <c r="L77">
        <f t="shared" si="3"/>
        <v>0.11689375147149943</v>
      </c>
      <c r="M77">
        <f t="shared" si="3"/>
        <v>3.2467190137501413E-2</v>
      </c>
      <c r="N77">
        <f t="shared" si="3"/>
        <v>7.1337746910418112</v>
      </c>
      <c r="O77">
        <f t="shared" si="3"/>
        <v>4.8970932526971271</v>
      </c>
      <c r="P77">
        <f t="shared" si="3"/>
        <v>4.623010104116422</v>
      </c>
      <c r="Q77">
        <f t="shared" si="3"/>
        <v>4.3875115649044512</v>
      </c>
      <c r="R77">
        <f t="shared" si="3"/>
        <v>7.654349357299782E-2</v>
      </c>
      <c r="S77">
        <f t="shared" si="3"/>
        <v>3.1921566750255287E-2</v>
      </c>
      <c r="T77">
        <f t="shared" si="3"/>
        <v>3.3678966432786304E-2</v>
      </c>
    </row>
    <row r="78" spans="1:20" x14ac:dyDescent="0.35">
      <c r="A78" s="1">
        <v>43373</v>
      </c>
      <c r="B78">
        <f t="shared" si="1"/>
        <v>4.401688541677426E-2</v>
      </c>
      <c r="C78">
        <f t="shared" si="3"/>
        <v>2.9955089797983709E-3</v>
      </c>
      <c r="D78">
        <f t="shared" si="3"/>
        <v>3.6235492582095359E-2</v>
      </c>
      <c r="E78">
        <f t="shared" si="3"/>
        <v>1.6367222854611581</v>
      </c>
      <c r="F78">
        <f t="shared" si="3"/>
        <v>3.2467190137501413E-2</v>
      </c>
      <c r="G78">
        <f t="shared" si="3"/>
        <v>7.4922866511635835</v>
      </c>
      <c r="H78">
        <f t="shared" si="3"/>
        <v>9.4362177828884395</v>
      </c>
      <c r="I78">
        <f t="shared" si="3"/>
        <v>4.9875415110389679E-3</v>
      </c>
      <c r="J78">
        <f t="shared" si="3"/>
        <v>2.2739486969489339E-2</v>
      </c>
      <c r="K78">
        <f t="shared" si="3"/>
        <v>2.7615167032973391E-2</v>
      </c>
      <c r="L78">
        <f t="shared" si="3"/>
        <v>0.10795714150509236</v>
      </c>
      <c r="M78">
        <f t="shared" si="3"/>
        <v>3.2467190137501413E-2</v>
      </c>
      <c r="N78">
        <f t="shared" si="3"/>
        <v>7.0832871714166759</v>
      </c>
      <c r="O78">
        <f t="shared" si="3"/>
        <v>4.6867501729805143</v>
      </c>
      <c r="P78">
        <f t="shared" si="3"/>
        <v>4.6151205168412597</v>
      </c>
      <c r="Q78">
        <f t="shared" si="3"/>
        <v>4.4274778975777993</v>
      </c>
      <c r="R78">
        <f t="shared" si="3"/>
        <v>8.5215469993933896E-2</v>
      </c>
      <c r="S78">
        <f t="shared" si="3"/>
        <v>5.1156401167619471E-2</v>
      </c>
      <c r="T78">
        <f t="shared" si="3"/>
        <v>2.3323406596045367E-2</v>
      </c>
    </row>
    <row r="79" spans="1:20" x14ac:dyDescent="0.35">
      <c r="A79" s="1">
        <v>43465</v>
      </c>
      <c r="B79">
        <f t="shared" si="1"/>
        <v>4.6883585898850458E-2</v>
      </c>
      <c r="C79">
        <f t="shared" si="3"/>
        <v>1.9980026626730579E-3</v>
      </c>
      <c r="D79">
        <f t="shared" si="3"/>
        <v>3.6235492582095359E-2</v>
      </c>
      <c r="E79">
        <f t="shared" si="3"/>
        <v>1.6357876877568824</v>
      </c>
      <c r="F79">
        <f t="shared" si="3"/>
        <v>3.2467190137501413E-2</v>
      </c>
      <c r="G79">
        <f t="shared" si="3"/>
        <v>7.4334182824024051</v>
      </c>
      <c r="H79">
        <f t="shared" si="3"/>
        <v>9.3525783768118274</v>
      </c>
      <c r="I79">
        <f t="shared" si="3"/>
        <v>2.8587456851912472E-2</v>
      </c>
      <c r="J79">
        <f t="shared" si="3"/>
        <v>1.980262729617973E-2</v>
      </c>
      <c r="K79">
        <f t="shared" si="3"/>
        <v>5.9820716775474689E-3</v>
      </c>
      <c r="L79">
        <f t="shared" si="3"/>
        <v>9.6218857740542896E-2</v>
      </c>
      <c r="M79">
        <f t="shared" si="3"/>
        <v>3.2467190137501413E-2</v>
      </c>
      <c r="N79">
        <f t="shared" si="3"/>
        <v>7.1573382090848954</v>
      </c>
      <c r="O79">
        <f t="shared" si="3"/>
        <v>4.5829245770407718</v>
      </c>
      <c r="P79">
        <f t="shared" si="3"/>
        <v>4.60816569496789</v>
      </c>
      <c r="Q79">
        <f t="shared" si="3"/>
        <v>4.00369019395397</v>
      </c>
      <c r="R79">
        <f t="shared" si="3"/>
        <v>8.0669186733722045E-2</v>
      </c>
      <c r="S79">
        <f t="shared" si="3"/>
        <v>4.1246472643278707E-2</v>
      </c>
      <c r="T79">
        <f t="shared" si="3"/>
        <v>3.2307994352745104E-2</v>
      </c>
    </row>
    <row r="80" spans="1:20" x14ac:dyDescent="0.35">
      <c r="A80" s="1">
        <v>43555</v>
      </c>
      <c r="B80">
        <f t="shared" si="1"/>
        <v>4.5928931888399735E-2</v>
      </c>
      <c r="C80">
        <f t="shared" si="3"/>
        <v>1.9980026626730579E-3</v>
      </c>
      <c r="D80">
        <f t="shared" si="3"/>
        <v>3.6235492582095359E-2</v>
      </c>
      <c r="E80">
        <f t="shared" si="3"/>
        <v>1.6257048848979723</v>
      </c>
      <c r="F80">
        <f t="shared" si="3"/>
        <v>3.3434776086237419E-2</v>
      </c>
      <c r="G80">
        <f t="shared" si="3"/>
        <v>7.4052707138881146</v>
      </c>
      <c r="H80">
        <f t="shared" si="3"/>
        <v>9.3548596757930547</v>
      </c>
      <c r="I80">
        <f t="shared" si="3"/>
        <v>2.9955089797983709E-3</v>
      </c>
      <c r="J80">
        <f t="shared" si="3"/>
        <v>-1.5873349156290163E-2</v>
      </c>
      <c r="K80">
        <f t="shared" si="3"/>
        <v>-3.3434776086237419E-2</v>
      </c>
      <c r="L80">
        <f t="shared" si="3"/>
        <v>9.5310179804324935E-2</v>
      </c>
      <c r="M80">
        <f t="shared" si="3"/>
        <v>3.2467190137501413E-2</v>
      </c>
      <c r="N80">
        <f t="shared" si="3"/>
        <v>7.1650142257724792</v>
      </c>
      <c r="O80">
        <f t="shared" si="3"/>
        <v>4.4612998155683892</v>
      </c>
      <c r="P80">
        <f t="shared" si="3"/>
        <v>4.6170987568533652</v>
      </c>
      <c r="Q80">
        <f t="shared" si="3"/>
        <v>4.2397427649114574</v>
      </c>
      <c r="R80">
        <f t="shared" si="3"/>
        <v>7.457370228975127E-2</v>
      </c>
      <c r="S80">
        <f t="shared" si="3"/>
        <v>5.7657881098390339E-2</v>
      </c>
      <c r="T80">
        <f t="shared" si="3"/>
        <v>3.1664374925452196E-2</v>
      </c>
    </row>
    <row r="81" spans="1:20" x14ac:dyDescent="0.35">
      <c r="A81" s="1">
        <v>43646</v>
      </c>
      <c r="B81">
        <f t="shared" si="1"/>
        <v>4.7837329414160058E-2</v>
      </c>
      <c r="C81">
        <f t="shared" si="3"/>
        <v>1.4888612493750559E-2</v>
      </c>
      <c r="D81">
        <f t="shared" si="3"/>
        <v>3.4014878587277621E-2</v>
      </c>
      <c r="E81">
        <f t="shared" si="3"/>
        <v>1.63549544675339</v>
      </c>
      <c r="F81">
        <f t="shared" si="3"/>
        <v>3.2467190137501413E-2</v>
      </c>
      <c r="G81">
        <f t="shared" si="3"/>
        <v>7.422451402690025</v>
      </c>
      <c r="H81">
        <f t="shared" si="3"/>
        <v>9.3743774485053688</v>
      </c>
      <c r="I81">
        <f t="shared" si="3"/>
        <v>5.9820716775474689E-3</v>
      </c>
      <c r="J81">
        <f t="shared" si="3"/>
        <v>-2.2739486969489339E-2</v>
      </c>
      <c r="K81">
        <f t="shared" si="3"/>
        <v>-5.9820716775474689E-3</v>
      </c>
      <c r="L81">
        <f t="shared" si="3"/>
        <v>9.7126710730722821E-2</v>
      </c>
      <c r="M81">
        <f t="shared" si="3"/>
        <v>2.9558802241544429E-2</v>
      </c>
      <c r="N81">
        <f t="shared" si="3"/>
        <v>7.2517349782363159</v>
      </c>
      <c r="O81">
        <f t="shared" si="3"/>
        <v>4.5432947822700038</v>
      </c>
      <c r="P81">
        <f t="shared" si="3"/>
        <v>4.6200587984818418</v>
      </c>
      <c r="Q81">
        <f t="shared" si="3"/>
        <v>4.2128680644062078</v>
      </c>
      <c r="R81">
        <f t="shared" si="3"/>
        <v>7.5221784626418639E-2</v>
      </c>
      <c r="S81">
        <f t="shared" si="3"/>
        <v>2.5279103716431192E-4</v>
      </c>
      <c r="T81">
        <f t="shared" si="3"/>
        <v>3.4984938737037487E-2</v>
      </c>
    </row>
    <row r="82" spans="1:20" x14ac:dyDescent="0.35">
      <c r="A82" s="1">
        <v>43738</v>
      </c>
      <c r="B82">
        <f t="shared" si="1"/>
        <v>4.401688541677426E-2</v>
      </c>
      <c r="C82">
        <f t="shared" si="3"/>
        <v>1.0939940038334263E-2</v>
      </c>
      <c r="D82">
        <f t="shared" si="3"/>
        <v>3.3241333779801936E-2</v>
      </c>
      <c r="E82">
        <f t="shared" si="3"/>
        <v>1.6462904390304895</v>
      </c>
      <c r="F82">
        <f t="shared" si="3"/>
        <v>3.2467190137501413E-2</v>
      </c>
      <c r="G82">
        <f t="shared" si="3"/>
        <v>7.3682829023648182</v>
      </c>
      <c r="H82">
        <f t="shared" si="3"/>
        <v>9.3240895045971115</v>
      </c>
      <c r="I82">
        <f t="shared" si="3"/>
        <v>-1.5873349156290163E-2</v>
      </c>
      <c r="J82">
        <f t="shared" si="3"/>
        <v>-3.2467190137501413E-2</v>
      </c>
      <c r="K82">
        <f t="shared" si="3"/>
        <v>-3.6331929247390204E-2</v>
      </c>
      <c r="L82">
        <f t="shared" si="3"/>
        <v>0.14063112973974562</v>
      </c>
      <c r="M82">
        <f t="shared" si="3"/>
        <v>2.9558802241544429E-2</v>
      </c>
      <c r="N82">
        <f t="shared" si="3"/>
        <v>7.2953890155921144</v>
      </c>
      <c r="O82">
        <f t="shared" si="3"/>
        <v>4.4426512564903167</v>
      </c>
      <c r="P82">
        <f t="shared" si="3"/>
        <v>4.6170987568533652</v>
      </c>
      <c r="Q82">
        <f t="shared" si="3"/>
        <v>4.1235796874904356</v>
      </c>
      <c r="R82">
        <f t="shared" si="3"/>
        <v>6.8359530003548177E-2</v>
      </c>
      <c r="S82">
        <f t="shared" si="3"/>
        <v>3.6786442585857457E-3</v>
      </c>
      <c r="T82">
        <f t="shared" si="3"/>
        <v>1.7465988938568638E-2</v>
      </c>
    </row>
    <row r="83" spans="1:20" x14ac:dyDescent="0.35">
      <c r="A83" s="1">
        <v>43830</v>
      </c>
      <c r="B83">
        <f t="shared" si="1"/>
        <v>3.5367143837291344E-2</v>
      </c>
      <c r="C83">
        <f t="shared" si="3"/>
        <v>9.950330853168092E-3</v>
      </c>
      <c r="D83">
        <f t="shared" si="3"/>
        <v>3.2951100139685982E-2</v>
      </c>
      <c r="E83">
        <f t="shared" si="3"/>
        <v>1.6274742749201989</v>
      </c>
      <c r="F83">
        <f t="shared" si="3"/>
        <v>3.2467190137501413E-2</v>
      </c>
      <c r="G83">
        <f t="shared" si="3"/>
        <v>7.3713383404249502</v>
      </c>
      <c r="H83">
        <f t="shared" si="3"/>
        <v>9.3347229162246315</v>
      </c>
      <c r="I83">
        <f t="shared" si="3"/>
        <v>-3.2467190137501413E-2</v>
      </c>
      <c r="J83">
        <f t="shared" si="3"/>
        <v>-2.2739486969489339E-2</v>
      </c>
      <c r="K83">
        <f t="shared" si="3"/>
        <v>-6.9756137364251382E-3</v>
      </c>
      <c r="L83">
        <f t="shared" si="3"/>
        <v>0.13714983814723367</v>
      </c>
      <c r="M83">
        <f t="shared" si="3"/>
        <v>2.9558802241544429E-2</v>
      </c>
      <c r="N83">
        <f t="shared" si="3"/>
        <v>7.3253268077520106</v>
      </c>
      <c r="O83" t="e">
        <f t="shared" si="3"/>
        <v>#N/A</v>
      </c>
      <c r="P83">
        <f t="shared" si="3"/>
        <v>4.6308379327366689</v>
      </c>
      <c r="Q83">
        <f t="shared" si="3"/>
        <v>4.2046926193909657</v>
      </c>
      <c r="R83">
        <f t="shared" si="3"/>
        <v>7.8321824498012838E-2</v>
      </c>
      <c r="S83">
        <f t="shared" si="3"/>
        <v>5.7475708717599217E-3</v>
      </c>
      <c r="T83">
        <f t="shared" si="3"/>
        <v>1.2987881815096608E-2</v>
      </c>
    </row>
    <row r="84" spans="1:20" x14ac:dyDescent="0.35">
      <c r="A84" s="1">
        <v>43921</v>
      </c>
      <c r="B84">
        <f t="shared" si="1"/>
        <v>6.9756137364251382E-3</v>
      </c>
      <c r="C84">
        <f t="shared" si="3"/>
        <v>-1.9980026626730579E-3</v>
      </c>
      <c r="D84">
        <f t="shared" si="3"/>
        <v>2.7615167032973391E-2</v>
      </c>
      <c r="E84">
        <f t="shared" si="3"/>
        <v>1.6716988418276135</v>
      </c>
      <c r="F84">
        <f t="shared" si="3"/>
        <v>3.8258712117090268E-2</v>
      </c>
      <c r="G84">
        <f t="shared" si="3"/>
        <v>7.2092588923461829</v>
      </c>
      <c r="H84">
        <f t="shared" si="3"/>
        <v>9.131384823131274</v>
      </c>
      <c r="I84">
        <f t="shared" si="3"/>
        <v>-6.7658648473814864E-2</v>
      </c>
      <c r="J84">
        <f t="shared" si="3"/>
        <v>-1.8821754240587667E-2</v>
      </c>
      <c r="K84">
        <f t="shared" si="3"/>
        <v>-4.3059489460447013E-2</v>
      </c>
      <c r="L84">
        <f t="shared" si="3"/>
        <v>0.13190507087993861</v>
      </c>
      <c r="M84">
        <f t="shared" si="3"/>
        <v>2.4692612590371414E-2</v>
      </c>
      <c r="N84">
        <f t="shared" si="3"/>
        <v>7.3640275633415744</v>
      </c>
      <c r="O84" t="e">
        <f t="shared" si="3"/>
        <v>#N/A</v>
      </c>
      <c r="P84">
        <f t="shared" si="3"/>
        <v>4.5798523780038014</v>
      </c>
      <c r="Q84">
        <f t="shared" si="3"/>
        <v>3.1671613891815218</v>
      </c>
      <c r="R84">
        <f t="shared" si="3"/>
        <v>6.6239525405513755E-2</v>
      </c>
      <c r="S84">
        <f t="shared" si="3"/>
        <v>4.9214566882504043E-2</v>
      </c>
      <c r="T84">
        <f t="shared" si="3"/>
        <v>3.6817731483894237E-3</v>
      </c>
    </row>
    <row r="85" spans="1:20" x14ac:dyDescent="0.35">
      <c r="A85" s="1">
        <v>44012</v>
      </c>
      <c r="B85">
        <f t="shared" si="1"/>
        <v>-0.15785808461558032</v>
      </c>
      <c r="C85">
        <f t="shared" si="3"/>
        <v>-1.8821754240587667E-2</v>
      </c>
      <c r="D85">
        <f t="shared" si="3"/>
        <v>2.2543964434894436E-2</v>
      </c>
      <c r="E85">
        <f t="shared" si="3"/>
        <v>1.6651185682606575</v>
      </c>
      <c r="F85">
        <f t="shared" si="3"/>
        <v>4.7837329414160058E-2</v>
      </c>
      <c r="G85">
        <f t="shared" si="3"/>
        <v>7.3145328587557685</v>
      </c>
      <c r="H85">
        <f t="shared" si="3"/>
        <v>9.2641635634736161</v>
      </c>
      <c r="I85">
        <f t="shared" si="3"/>
        <v>-0.19474407679251185</v>
      </c>
      <c r="J85">
        <f t="shared" si="3"/>
        <v>-0.16974277458709455</v>
      </c>
      <c r="K85">
        <f t="shared" si="3"/>
        <v>-0.25464221837358075</v>
      </c>
      <c r="L85">
        <f t="shared" si="3"/>
        <v>0.11689375147149943</v>
      </c>
      <c r="M85">
        <f t="shared" si="3"/>
        <v>1.980262729617973E-2</v>
      </c>
      <c r="N85">
        <f t="shared" si="3"/>
        <v>7.4854691610897106</v>
      </c>
      <c r="O85" t="e">
        <f t="shared" si="3"/>
        <v>#N/A</v>
      </c>
      <c r="P85">
        <f t="shared" si="3"/>
        <v>4.6690835117317437</v>
      </c>
      <c r="Q85">
        <f t="shared" si="3"/>
        <v>3.7412346844478646</v>
      </c>
      <c r="R85">
        <f t="shared" si="3"/>
        <v>-0.1688654174024187</v>
      </c>
      <c r="S85">
        <f t="shared" si="3"/>
        <v>2.3524415360299956E-2</v>
      </c>
      <c r="T85">
        <f t="shared" si="3"/>
        <v>-0.16182768141018405</v>
      </c>
    </row>
    <row r="86" spans="1:20" x14ac:dyDescent="0.35">
      <c r="A86" s="1">
        <v>44104</v>
      </c>
      <c r="B86">
        <f t="shared" si="1"/>
        <v>-2.4692612590371414E-2</v>
      </c>
      <c r="C86">
        <f t="shared" si="3"/>
        <v>-1.3902905168991434E-2</v>
      </c>
      <c r="D86">
        <f t="shared" si="3"/>
        <v>1.9508466388043013E-2</v>
      </c>
      <c r="E86">
        <f t="shared" si="3"/>
        <v>1.6402580547739867</v>
      </c>
      <c r="F86">
        <f t="shared" si="3"/>
        <v>4.4973365642731196E-2</v>
      </c>
      <c r="G86">
        <f t="shared" si="3"/>
        <v>7.317092879304175</v>
      </c>
      <c r="H86">
        <f t="shared" si="3"/>
        <v>9.2903116924863323</v>
      </c>
      <c r="I86">
        <f t="shared" si="3"/>
        <v>-4.1141943331175213E-2</v>
      </c>
      <c r="J86">
        <f t="shared" si="3"/>
        <v>-7.5107472486805479E-2</v>
      </c>
      <c r="K86">
        <f t="shared" si="3"/>
        <v>-0.10795714150509236</v>
      </c>
      <c r="L86">
        <f t="shared" si="3"/>
        <v>0.10616019582839072</v>
      </c>
      <c r="M86">
        <f t="shared" si="3"/>
        <v>1.7839918128331016E-2</v>
      </c>
      <c r="N86">
        <f t="shared" si="3"/>
        <v>7.5426481513115275</v>
      </c>
      <c r="O86" t="e">
        <f t="shared" si="3"/>
        <v>#N/A</v>
      </c>
      <c r="P86">
        <f t="shared" si="3"/>
        <v>4.7022968967188143</v>
      </c>
      <c r="Q86">
        <f t="shared" si="3"/>
        <v>3.7364784329132155</v>
      </c>
      <c r="R86">
        <f t="shared" si="3"/>
        <v>-1.9198421809391141E-2</v>
      </c>
      <c r="S86">
        <f t="shared" si="3"/>
        <v>6.573031293710134E-2</v>
      </c>
      <c r="T86">
        <f t="shared" si="3"/>
        <v>1.0573260363803358E-2</v>
      </c>
    </row>
    <row r="87" spans="1:20" x14ac:dyDescent="0.35">
      <c r="A87" s="1">
        <v>44196</v>
      </c>
      <c r="B87">
        <f t="shared" si="1"/>
        <v>-3.2467190137501413E-2</v>
      </c>
      <c r="C87">
        <f t="shared" si="3"/>
        <v>-1.3902905168991434E-2</v>
      </c>
      <c r="D87">
        <f t="shared" si="3"/>
        <v>1.9214218923804371E-2</v>
      </c>
      <c r="E87">
        <f t="shared" si="3"/>
        <v>1.6134896928741982</v>
      </c>
      <c r="F87">
        <f t="shared" si="3"/>
        <v>4.6883585898850458E-2</v>
      </c>
      <c r="G87">
        <f t="shared" si="3"/>
        <v>7.3952365308726442</v>
      </c>
      <c r="H87">
        <f t="shared" si="3"/>
        <v>9.3727083400798605</v>
      </c>
      <c r="I87">
        <f t="shared" si="3"/>
        <v>-1.8821754240587667E-2</v>
      </c>
      <c r="J87">
        <f t="shared" si="3"/>
        <v>-3.3434776086237419E-2</v>
      </c>
      <c r="K87">
        <f t="shared" si="3"/>
        <v>-0.11064652008706365</v>
      </c>
      <c r="L87">
        <f t="shared" si="3"/>
        <v>0.15871169115482081</v>
      </c>
      <c r="M87">
        <f t="shared" si="3"/>
        <v>1.7839918128331016E-2</v>
      </c>
      <c r="N87">
        <f t="shared" si="3"/>
        <v>7.5492722663052234</v>
      </c>
      <c r="O87" t="e">
        <f t="shared" si="3"/>
        <v>#N/A</v>
      </c>
      <c r="P87">
        <f t="shared" si="3"/>
        <v>4.7022968967188143</v>
      </c>
      <c r="Q87">
        <f t="shared" si="3"/>
        <v>3.9665111907122159</v>
      </c>
      <c r="R87">
        <f t="shared" si="3"/>
        <v>-3.2756910551648963E-2</v>
      </c>
      <c r="S87">
        <f t="shared" si="3"/>
        <v>5.2774848825810301E-2</v>
      </c>
      <c r="T87">
        <f t="shared" si="3"/>
        <v>-2.1972072026854835E-3</v>
      </c>
    </row>
    <row r="88" spans="1:20" x14ac:dyDescent="0.35">
      <c r="A88" s="1">
        <v>44286</v>
      </c>
      <c r="B88">
        <f t="shared" si="1"/>
        <v>-4.9875415110389679E-3</v>
      </c>
      <c r="C88">
        <f t="shared" si="3"/>
        <v>1.6857117066422806E-2</v>
      </c>
      <c r="D88">
        <f t="shared" si="3"/>
        <v>1.9214218923804371E-2</v>
      </c>
      <c r="E88">
        <f t="shared" si="3"/>
        <v>1.6380253692860129</v>
      </c>
      <c r="F88">
        <f t="shared" si="3"/>
        <v>4.5928931888399735E-2</v>
      </c>
      <c r="G88">
        <f t="shared" si="3"/>
        <v>7.3616993917435209</v>
      </c>
      <c r="H88">
        <f t="shared" si="3"/>
        <v>9.3601008575592797</v>
      </c>
      <c r="I88">
        <f t="shared" si="3"/>
        <v>0.11064652008706365</v>
      </c>
      <c r="J88">
        <f t="shared" si="3"/>
        <v>0.11511280710050448</v>
      </c>
      <c r="K88">
        <f t="shared" si="3"/>
        <v>-3.2467190137501413E-2</v>
      </c>
      <c r="L88">
        <f t="shared" si="3"/>
        <v>0.10255658832509215</v>
      </c>
      <c r="M88">
        <f t="shared" si="3"/>
        <v>1.7839918128331016E-2</v>
      </c>
      <c r="N88">
        <f t="shared" si="3"/>
        <v>7.4434939788395136</v>
      </c>
      <c r="O88" t="e">
        <f t="shared" si="3"/>
        <v>#N/A</v>
      </c>
      <c r="P88">
        <f t="shared" si="3"/>
        <v>4.7361984483944957</v>
      </c>
      <c r="Q88">
        <f t="shared" si="3"/>
        <v>4.1672851866238156</v>
      </c>
      <c r="R88">
        <f t="shared" si="3"/>
        <v>-1.4598226052534271E-2</v>
      </c>
      <c r="S88">
        <f t="shared" si="3"/>
        <v>5.4582080692040749E-2</v>
      </c>
      <c r="T88">
        <f t="shared" si="3"/>
        <v>3.8401806189490455E-2</v>
      </c>
    </row>
    <row r="89" spans="1:20" x14ac:dyDescent="0.35">
      <c r="A89" s="1">
        <v>44377</v>
      </c>
      <c r="B89">
        <f t="shared" si="1"/>
        <v>0.14755756435761469</v>
      </c>
      <c r="C89">
        <f t="shared" si="3"/>
        <v>3.3434776086237419E-2</v>
      </c>
      <c r="D89">
        <f t="shared" si="3"/>
        <v>1.9214218923804371E-2</v>
      </c>
      <c r="E89">
        <f t="shared" si="3"/>
        <v>1.6388025210640043</v>
      </c>
      <c r="F89">
        <f t="shared" si="3"/>
        <v>4.6883585898850458E-2</v>
      </c>
      <c r="G89">
        <f t="shared" si="3"/>
        <v>7.3353927533554417</v>
      </c>
      <c r="H89">
        <f t="shared" si="3"/>
        <v>9.3198421009611092</v>
      </c>
      <c r="I89">
        <f t="shared" si="3"/>
        <v>0.31554040058017735</v>
      </c>
      <c r="J89">
        <f t="shared" si="3"/>
        <v>0.30380145433166422</v>
      </c>
      <c r="K89">
        <f t="shared" si="3"/>
        <v>0.15186234930924603</v>
      </c>
      <c r="L89">
        <f t="shared" si="3"/>
        <v>8.0657903017454541E-2</v>
      </c>
      <c r="M89">
        <f t="shared" si="3"/>
        <v>1.7839918128331016E-2</v>
      </c>
      <c r="N89">
        <f t="shared" si="3"/>
        <v>7.4793617476552177</v>
      </c>
      <c r="O89" t="e">
        <f t="shared" si="3"/>
        <v>#N/A</v>
      </c>
      <c r="P89">
        <f t="shared" si="3"/>
        <v>4.6737629774537028</v>
      </c>
      <c r="Q89">
        <f t="shared" si="3"/>
        <v>4.3324424053181207</v>
      </c>
      <c r="R89">
        <f t="shared" si="3"/>
        <v>0.11077846868433874</v>
      </c>
      <c r="S89">
        <f t="shared" si="3"/>
        <v>7.9210693194482873E-2</v>
      </c>
      <c r="T89">
        <f t="shared" si="3"/>
        <v>0.20021759667542879</v>
      </c>
    </row>
    <row r="90" spans="1:20" x14ac:dyDescent="0.35">
      <c r="A90" s="1">
        <v>44469</v>
      </c>
      <c r="B90">
        <f t="shared" si="1"/>
        <v>-4.401688541677426E-2</v>
      </c>
      <c r="C90">
        <f t="shared" si="3"/>
        <v>2.176149178151271E-2</v>
      </c>
      <c r="D90">
        <f t="shared" si="3"/>
        <v>1.9116117192230143E-2</v>
      </c>
      <c r="E90">
        <f t="shared" si="3"/>
        <v>1.6460012517411473</v>
      </c>
      <c r="F90">
        <f t="shared" si="3"/>
        <v>4.401688541677426E-2</v>
      </c>
      <c r="G90">
        <f t="shared" si="3"/>
        <v>7.3387581708781404</v>
      </c>
      <c r="H90">
        <f t="shared" si="3"/>
        <v>9.3336264602471317</v>
      </c>
      <c r="I90">
        <f t="shared" si="3"/>
        <v>4.1141943331175213E-2</v>
      </c>
      <c r="J90">
        <f t="shared" si="3"/>
        <v>0.10795714150509236</v>
      </c>
      <c r="K90">
        <f t="shared" si="3"/>
        <v>-0.10255658832509215</v>
      </c>
      <c r="L90">
        <f t="shared" si="3"/>
        <v>0.13102826240640419</v>
      </c>
      <c r="M90">
        <f t="shared" si="3"/>
        <v>1.7839918128331016E-2</v>
      </c>
      <c r="N90">
        <f t="shared" si="3"/>
        <v>7.471903636429964</v>
      </c>
      <c r="O90" t="e">
        <f t="shared" si="3"/>
        <v>#N/A</v>
      </c>
      <c r="P90">
        <f t="shared" si="3"/>
        <v>4.7059200890882344</v>
      </c>
      <c r="Q90">
        <f t="shared" si="3"/>
        <v>4.3760085623483187</v>
      </c>
      <c r="R90">
        <f t="shared" si="3"/>
        <v>-4.1537411594861941E-2</v>
      </c>
      <c r="S90">
        <f t="shared" si="3"/>
        <v>6.8829509884373322E-2</v>
      </c>
      <c r="T90">
        <f t="shared" si="3"/>
        <v>-1.2476951810242365E-2</v>
      </c>
    </row>
    <row r="91" spans="1:20" x14ac:dyDescent="0.35">
      <c r="A91" s="1">
        <v>44561</v>
      </c>
      <c r="B91">
        <f t="shared" si="1"/>
        <v>3.5367143837291344E-2</v>
      </c>
      <c r="C91">
        <f t="shared" si="3"/>
        <v>3.1498667059371016E-2</v>
      </c>
      <c r="D91">
        <f t="shared" si="3"/>
        <v>2.0292703267762394E-2</v>
      </c>
      <c r="E91">
        <f t="shared" si="3"/>
        <v>1.6420986946736489</v>
      </c>
      <c r="F91">
        <f t="shared" si="3"/>
        <v>4.2101176018635326E-2</v>
      </c>
      <c r="G91">
        <f t="shared" si="3"/>
        <v>7.3578941540018548</v>
      </c>
      <c r="H91">
        <f t="shared" si="3"/>
        <v>9.3334240012985283</v>
      </c>
      <c r="I91">
        <f t="shared" ref="I91:T91" si="4">SIGN(I45)*LN(ABS(I45)+1)</f>
        <v>0.12221763272424911</v>
      </c>
      <c r="J91">
        <f t="shared" si="4"/>
        <v>0.13540463700620298</v>
      </c>
      <c r="K91">
        <f t="shared" si="4"/>
        <v>-2.9558802241544429E-2</v>
      </c>
      <c r="L91">
        <f t="shared" si="4"/>
        <v>0.10436001532424286</v>
      </c>
      <c r="M91">
        <f t="shared" si="4"/>
        <v>1.7839918128331016E-2</v>
      </c>
      <c r="N91">
        <f t="shared" si="4"/>
        <v>7.5121805294812782</v>
      </c>
      <c r="O91" t="e">
        <f t="shared" si="4"/>
        <v>#N/A</v>
      </c>
      <c r="P91">
        <f t="shared" si="4"/>
        <v>4.7220639374595912</v>
      </c>
      <c r="Q91">
        <f t="shared" si="4"/>
        <v>4.3666591575427596</v>
      </c>
      <c r="R91">
        <f t="shared" si="4"/>
        <v>3.6044596576181052E-2</v>
      </c>
      <c r="S91">
        <f t="shared" si="4"/>
        <v>1.5748311048012512E-2</v>
      </c>
      <c r="T91">
        <f t="shared" si="4"/>
        <v>6.6110746984667262E-2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C4D45-C2F1-4442-81B7-4E4A2ECC18C6}">
  <dimension ref="A1:DU49"/>
  <sheetViews>
    <sheetView topLeftCell="CW1" workbookViewId="0">
      <selection activeCell="EA17" sqref="EA17"/>
    </sheetView>
  </sheetViews>
  <sheetFormatPr defaultRowHeight="14.5" x14ac:dyDescent="0.35"/>
  <cols>
    <col min="1" max="1" width="14.453125" bestFit="1" customWidth="1"/>
    <col min="22" max="22" width="14.453125" bestFit="1" customWidth="1"/>
    <col min="43" max="43" width="14.453125" bestFit="1" customWidth="1"/>
    <col min="64" max="64" width="14.453125" bestFit="1" customWidth="1"/>
    <col min="85" max="85" width="14.453125" bestFit="1" customWidth="1"/>
    <col min="106" max="106" width="14.453125" bestFit="1" customWidth="1"/>
  </cols>
  <sheetData>
    <row r="1" spans="1:125" ht="145" x14ac:dyDescent="0.35">
      <c r="A1" t="s">
        <v>34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100</v>
      </c>
      <c r="R1" s="4" t="s">
        <v>65</v>
      </c>
      <c r="S1" s="4" t="s">
        <v>66</v>
      </c>
      <c r="T1" s="4" t="s">
        <v>67</v>
      </c>
      <c r="V1" s="4" t="s">
        <v>126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100</v>
      </c>
      <c r="AM1" s="4" t="s">
        <v>65</v>
      </c>
      <c r="AN1" s="4" t="s">
        <v>66</v>
      </c>
      <c r="AO1" s="4" t="s">
        <v>67</v>
      </c>
      <c r="AQ1" s="4" t="s">
        <v>127</v>
      </c>
      <c r="AR1" s="4" t="s">
        <v>19</v>
      </c>
      <c r="AS1" s="4" t="s">
        <v>20</v>
      </c>
      <c r="AT1" s="4" t="s">
        <v>21</v>
      </c>
      <c r="AU1" s="4" t="s">
        <v>22</v>
      </c>
      <c r="AV1" s="4" t="s">
        <v>23</v>
      </c>
      <c r="AW1" s="4" t="s">
        <v>24</v>
      </c>
      <c r="AX1" s="4" t="s">
        <v>25</v>
      </c>
      <c r="AY1" s="4" t="s">
        <v>26</v>
      </c>
      <c r="AZ1" s="4" t="s">
        <v>27</v>
      </c>
      <c r="BA1" s="4" t="s">
        <v>28</v>
      </c>
      <c r="BB1" s="4" t="s">
        <v>29</v>
      </c>
      <c r="BC1" s="4" t="s">
        <v>30</v>
      </c>
      <c r="BD1" s="4" t="s">
        <v>31</v>
      </c>
      <c r="BE1" s="4" t="s">
        <v>32</v>
      </c>
      <c r="BF1" s="4" t="s">
        <v>33</v>
      </c>
      <c r="BG1" s="4" t="s">
        <v>100</v>
      </c>
      <c r="BH1" s="4" t="s">
        <v>65</v>
      </c>
      <c r="BI1" s="4" t="s">
        <v>66</v>
      </c>
      <c r="BJ1" s="4" t="s">
        <v>67</v>
      </c>
      <c r="BL1" s="4" t="s">
        <v>128</v>
      </c>
      <c r="BM1" s="4" t="s">
        <v>19</v>
      </c>
      <c r="BN1" s="4" t="s">
        <v>20</v>
      </c>
      <c r="BO1" s="4" t="s">
        <v>21</v>
      </c>
      <c r="BP1" s="4" t="s">
        <v>22</v>
      </c>
      <c r="BQ1" s="4" t="s">
        <v>23</v>
      </c>
      <c r="BR1" s="4" t="s">
        <v>24</v>
      </c>
      <c r="BS1" s="4" t="s">
        <v>25</v>
      </c>
      <c r="BT1" s="4" t="s">
        <v>26</v>
      </c>
      <c r="BU1" s="4" t="s">
        <v>27</v>
      </c>
      <c r="BV1" s="4" t="s">
        <v>28</v>
      </c>
      <c r="BW1" s="4" t="s">
        <v>29</v>
      </c>
      <c r="BX1" s="4" t="s">
        <v>30</v>
      </c>
      <c r="BY1" s="4" t="s">
        <v>31</v>
      </c>
      <c r="BZ1" s="4" t="s">
        <v>32</v>
      </c>
      <c r="CA1" s="4" t="s">
        <v>33</v>
      </c>
      <c r="CB1" s="4" t="s">
        <v>100</v>
      </c>
      <c r="CC1" s="4" t="s">
        <v>65</v>
      </c>
      <c r="CD1" s="4" t="s">
        <v>66</v>
      </c>
      <c r="CE1" s="4" t="s">
        <v>67</v>
      </c>
      <c r="CG1" s="4" t="s">
        <v>129</v>
      </c>
      <c r="CH1" s="4" t="s">
        <v>19</v>
      </c>
      <c r="CI1" s="4" t="s">
        <v>20</v>
      </c>
      <c r="CJ1" s="4" t="s">
        <v>21</v>
      </c>
      <c r="CK1" s="4" t="s">
        <v>22</v>
      </c>
      <c r="CL1" s="4" t="s">
        <v>23</v>
      </c>
      <c r="CM1" s="4" t="s">
        <v>24</v>
      </c>
      <c r="CN1" s="4" t="s">
        <v>25</v>
      </c>
      <c r="CO1" s="4" t="s">
        <v>26</v>
      </c>
      <c r="CP1" s="4" t="s">
        <v>27</v>
      </c>
      <c r="CQ1" s="4" t="s">
        <v>28</v>
      </c>
      <c r="CR1" s="4" t="s">
        <v>29</v>
      </c>
      <c r="CS1" s="4" t="s">
        <v>30</v>
      </c>
      <c r="CT1" s="4" t="s">
        <v>31</v>
      </c>
      <c r="CU1" s="4" t="s">
        <v>32</v>
      </c>
      <c r="CV1" s="4" t="s">
        <v>33</v>
      </c>
      <c r="CW1" s="4" t="s">
        <v>100</v>
      </c>
      <c r="CX1" s="4" t="s">
        <v>65</v>
      </c>
      <c r="CY1" s="4" t="s">
        <v>66</v>
      </c>
      <c r="CZ1" s="4" t="s">
        <v>67</v>
      </c>
      <c r="DB1" s="4" t="s">
        <v>130</v>
      </c>
      <c r="DC1" s="4" t="s">
        <v>19</v>
      </c>
      <c r="DD1" s="4" t="s">
        <v>20</v>
      </c>
      <c r="DE1" s="4" t="s">
        <v>21</v>
      </c>
      <c r="DF1" s="4" t="s">
        <v>22</v>
      </c>
      <c r="DG1" s="4" t="s">
        <v>23</v>
      </c>
      <c r="DH1" s="4" t="s">
        <v>24</v>
      </c>
      <c r="DI1" s="4" t="s">
        <v>25</v>
      </c>
      <c r="DJ1" s="4" t="s">
        <v>26</v>
      </c>
      <c r="DK1" s="4" t="s">
        <v>27</v>
      </c>
      <c r="DL1" s="4" t="s">
        <v>28</v>
      </c>
      <c r="DM1" s="4" t="s">
        <v>29</v>
      </c>
      <c r="DN1" s="4" t="s">
        <v>30</v>
      </c>
      <c r="DO1" s="4" t="s">
        <v>31</v>
      </c>
      <c r="DP1" s="4" t="s">
        <v>32</v>
      </c>
      <c r="DQ1" s="4" t="s">
        <v>33</v>
      </c>
      <c r="DR1" s="4" t="s">
        <v>100</v>
      </c>
      <c r="DS1" s="4" t="s">
        <v>65</v>
      </c>
      <c r="DT1" s="4" t="s">
        <v>66</v>
      </c>
      <c r="DU1" s="4" t="s">
        <v>67</v>
      </c>
    </row>
    <row r="2" spans="1:125" x14ac:dyDescent="0.35">
      <c r="A2" s="1">
        <v>40268</v>
      </c>
      <c r="B2">
        <f>'Sorting Q'!C2/100</f>
        <v>0.10300000000000001</v>
      </c>
      <c r="C2">
        <f>'Sorting Q'!D2/100</f>
        <v>1.3000000000000001E-2</v>
      </c>
      <c r="D2">
        <f>'Sorting Q'!E2/100</f>
        <v>2.52E-2</v>
      </c>
      <c r="E2">
        <f>'Sorting Q'!F2</f>
        <v>3.2637999999999998</v>
      </c>
      <c r="F2">
        <f>'Sorting Q'!G2/100</f>
        <v>3.5000000000000003E-2</v>
      </c>
      <c r="G2">
        <f>'Sorting Q'!H2</f>
        <v>1320.57</v>
      </c>
      <c r="H2">
        <f>'Sorting Q'!I2</f>
        <v>8957.24</v>
      </c>
      <c r="I2">
        <f>'Sorting Q'!J2/100</f>
        <v>0.21</v>
      </c>
      <c r="J2">
        <f>'Sorting Q'!K2/100</f>
        <v>0.28199999999999997</v>
      </c>
      <c r="K2">
        <f>'Sorting Q'!L2/100</f>
        <v>7.400000000000001E-2</v>
      </c>
      <c r="L2">
        <f>'Sorting Q'!M2/100</f>
        <v>9.6999999999999989E-2</v>
      </c>
      <c r="M2">
        <f>'Sorting Q'!N2/100</f>
        <v>2.3E-2</v>
      </c>
      <c r="N2">
        <f>'Sorting Q'!O2</f>
        <v>1113.25</v>
      </c>
      <c r="O2">
        <f>'Sorting Q'!P2</f>
        <v>114.2</v>
      </c>
      <c r="P2">
        <f>'Sorting Q'!Q2</f>
        <v>92.5</v>
      </c>
      <c r="Q2">
        <f>'Sorting Q'!R2</f>
        <v>82.7</v>
      </c>
      <c r="R2">
        <f>'Sorting Q'!S2/100</f>
        <v>5.5250977096589216E-2</v>
      </c>
      <c r="S2">
        <f>'Sorting Q'!T2/100</f>
        <v>9.9214846538187018E-2</v>
      </c>
      <c r="T2">
        <f>'Sorting Q'!U2/100</f>
        <v>0.10741031684006996</v>
      </c>
      <c r="V2" s="1">
        <v>40268</v>
      </c>
      <c r="W2">
        <f>SIGN(B2)*LN(ABS(B2)+1)</f>
        <v>9.8033740271365397E-2</v>
      </c>
      <c r="X2">
        <f t="shared" ref="X2:AO14" si="0">SIGN(C2)*LN(ABS(C2)+1)</f>
        <v>1.2916225266546229E-2</v>
      </c>
      <c r="Y2">
        <f t="shared" si="0"/>
        <v>2.4887715507778883E-2</v>
      </c>
      <c r="Z2">
        <f t="shared" si="0"/>
        <v>1.4501607814483046</v>
      </c>
      <c r="AA2">
        <f t="shared" si="0"/>
        <v>3.4401426717332317E-2</v>
      </c>
      <c r="AB2">
        <f t="shared" si="0"/>
        <v>7.1865757027512007</v>
      </c>
      <c r="AC2">
        <f t="shared" si="0"/>
        <v>9.100329058102929</v>
      </c>
      <c r="AD2">
        <f t="shared" si="0"/>
        <v>0.1906203596086497</v>
      </c>
      <c r="AE2">
        <f t="shared" si="0"/>
        <v>0.24842135849847832</v>
      </c>
      <c r="AF2">
        <f t="shared" si="0"/>
        <v>7.1389996086672999E-2</v>
      </c>
      <c r="AG2">
        <f t="shared" si="0"/>
        <v>9.2579181293093171E-2</v>
      </c>
      <c r="AH2">
        <f t="shared" si="0"/>
        <v>2.2739486969489339E-2</v>
      </c>
      <c r="AI2">
        <f t="shared" si="0"/>
        <v>7.0159368118266654</v>
      </c>
      <c r="AJ2">
        <f t="shared" si="0"/>
        <v>4.746669748261791</v>
      </c>
      <c r="AK2">
        <f t="shared" si="0"/>
        <v>4.5379614362946414</v>
      </c>
      <c r="AL2">
        <f t="shared" si="0"/>
        <v>4.4272389774954295</v>
      </c>
      <c r="AM2">
        <f t="shared" si="0"/>
        <v>5.3778631618530165E-2</v>
      </c>
      <c r="AN2">
        <f t="shared" si="0"/>
        <v>9.4596149070667851E-2</v>
      </c>
      <c r="AO2">
        <f t="shared" si="0"/>
        <v>0.10202424163574639</v>
      </c>
      <c r="AQ2" s="1">
        <v>40633</v>
      </c>
      <c r="AR2">
        <f>W5</f>
        <v>4.8790164169432049E-2</v>
      </c>
      <c r="AS2">
        <f t="shared" ref="AS2:BJ16" si="1">X5</f>
        <v>2.176149178151271E-2</v>
      </c>
      <c r="AT2">
        <f t="shared" si="1"/>
        <v>2.936460862990398E-2</v>
      </c>
      <c r="AU2">
        <f t="shared" si="1"/>
        <v>1.4069544638161933</v>
      </c>
      <c r="AV2">
        <f t="shared" si="1"/>
        <v>3.0529205034822791E-2</v>
      </c>
      <c r="AW2">
        <f t="shared" si="1"/>
        <v>7.3264064015609938</v>
      </c>
      <c r="AX2">
        <f t="shared" si="1"/>
        <v>9.2472487984693643</v>
      </c>
      <c r="AY2">
        <f t="shared" si="1"/>
        <v>2.3716526617316065E-2</v>
      </c>
      <c r="AZ2">
        <f t="shared" si="1"/>
        <v>4.2101176018635326E-2</v>
      </c>
      <c r="BA2">
        <f t="shared" si="1"/>
        <v>0.12221763272424911</v>
      </c>
      <c r="BB2">
        <f t="shared" si="1"/>
        <v>8.6177696241052412E-2</v>
      </c>
      <c r="BC2">
        <f t="shared" si="1"/>
        <v>2.7615167032973391E-2</v>
      </c>
      <c r="BD2">
        <f t="shared" si="1"/>
        <v>7.2601008647596403</v>
      </c>
      <c r="BE2">
        <f t="shared" si="1"/>
        <v>4.772378104971998</v>
      </c>
      <c r="BF2">
        <f t="shared" si="1"/>
        <v>4.5549289695513444</v>
      </c>
      <c r="BG2">
        <f t="shared" si="1"/>
        <v>4.5617406280607558</v>
      </c>
      <c r="BH2">
        <f t="shared" si="1"/>
        <v>6.4694544416560862E-2</v>
      </c>
      <c r="BI2">
        <f t="shared" si="1"/>
        <v>3.0519063247491544E-2</v>
      </c>
      <c r="BJ2">
        <f t="shared" si="1"/>
        <v>3.6645455302069634E-2</v>
      </c>
      <c r="BL2" s="1">
        <v>40633</v>
      </c>
      <c r="BM2">
        <f>W4</f>
        <v>5.3540766928029761E-2</v>
      </c>
      <c r="BN2">
        <f t="shared" ref="BN2:CE16" si="2">X4</f>
        <v>1.7839918128331016E-2</v>
      </c>
      <c r="BO2">
        <f t="shared" si="2"/>
        <v>2.8878959550376771E-2</v>
      </c>
      <c r="BP2">
        <f t="shared" si="2"/>
        <v>1.4078846053626681</v>
      </c>
      <c r="BQ2">
        <f t="shared" si="2"/>
        <v>2.9558802241544429E-2</v>
      </c>
      <c r="BR2">
        <f t="shared" si="2"/>
        <v>7.289269166267788</v>
      </c>
      <c r="BS2">
        <f t="shared" si="2"/>
        <v>9.1914266295048073</v>
      </c>
      <c r="BT2">
        <f t="shared" si="2"/>
        <v>7.6034686275997576E-2</v>
      </c>
      <c r="BU2">
        <f t="shared" si="2"/>
        <v>0.11064652008706365</v>
      </c>
      <c r="BV2">
        <f t="shared" si="2"/>
        <v>0.1239859797809913</v>
      </c>
      <c r="BW2">
        <f t="shared" si="2"/>
        <v>0.11422114409002286</v>
      </c>
      <c r="BX2">
        <f t="shared" si="2"/>
        <v>2.7615167032973391E-2</v>
      </c>
      <c r="BY2">
        <f t="shared" si="2"/>
        <v>7.1774312094911741</v>
      </c>
      <c r="BZ2">
        <f t="shared" si="2"/>
        <v>4.7604630703941266</v>
      </c>
      <c r="CA2">
        <f t="shared" si="2"/>
        <v>4.5379614362946414</v>
      </c>
      <c r="CB2">
        <f t="shared" si="2"/>
        <v>4.4225685899868177</v>
      </c>
      <c r="CC2">
        <f t="shared" si="2"/>
        <v>6.7859039651601435E-2</v>
      </c>
      <c r="CD2">
        <f t="shared" si="2"/>
        <v>-6.9036524725776705E-2</v>
      </c>
      <c r="CE2">
        <f t="shared" si="2"/>
        <v>4.1337144183108222E-2</v>
      </c>
      <c r="CG2" s="1">
        <v>40633</v>
      </c>
      <c r="CH2">
        <f>W3</f>
        <v>8.9840703999789537E-2</v>
      </c>
      <c r="CI2">
        <f t="shared" ref="CI2:CZ16" si="3">X3</f>
        <v>1.6857117066422806E-2</v>
      </c>
      <c r="CJ2">
        <f t="shared" si="3"/>
        <v>2.6836653953559785E-2</v>
      </c>
      <c r="CK2">
        <f t="shared" si="3"/>
        <v>1.4437374566563816</v>
      </c>
      <c r="CL2">
        <f t="shared" si="3"/>
        <v>3.5367143837291344E-2</v>
      </c>
      <c r="CM2">
        <f t="shared" si="3"/>
        <v>7.181607153621683</v>
      </c>
      <c r="CN2">
        <f t="shared" si="3"/>
        <v>9.0897974062141191</v>
      </c>
      <c r="CO2">
        <f t="shared" si="3"/>
        <v>0.14410034397375687</v>
      </c>
      <c r="CP2">
        <f t="shared" si="3"/>
        <v>0.20782684720231653</v>
      </c>
      <c r="CQ2">
        <f t="shared" si="3"/>
        <v>0.12663265093336601</v>
      </c>
      <c r="CR2">
        <f t="shared" si="3"/>
        <v>0.11243542932978817</v>
      </c>
      <c r="CS2">
        <f t="shared" si="3"/>
        <v>2.4692612590371414E-2</v>
      </c>
      <c r="CT2">
        <f t="shared" si="3"/>
        <v>7.125588756777451</v>
      </c>
      <c r="CU2">
        <f t="shared" si="3"/>
        <v>4.7131273274931837</v>
      </c>
      <c r="CV2">
        <f t="shared" si="3"/>
        <v>4.5282891416521336</v>
      </c>
      <c r="CW2">
        <f t="shared" si="3"/>
        <v>4.3308649105779491</v>
      </c>
      <c r="CX2">
        <f t="shared" si="3"/>
        <v>7.9148627051080667E-2</v>
      </c>
      <c r="CY2">
        <f t="shared" si="3"/>
        <v>9.9495569063272338E-2</v>
      </c>
      <c r="CZ2">
        <f t="shared" si="3"/>
        <v>0.10065037958940259</v>
      </c>
      <c r="DB2" s="1">
        <v>40633</v>
      </c>
      <c r="DC2">
        <f>W2</f>
        <v>9.8033740271365397E-2</v>
      </c>
      <c r="DD2">
        <f t="shared" ref="DD2:DU10" si="4">X2</f>
        <v>1.2916225266546229E-2</v>
      </c>
      <c r="DE2">
        <f t="shared" si="4"/>
        <v>2.4887715507778883E-2</v>
      </c>
      <c r="DF2">
        <f t="shared" si="4"/>
        <v>1.4501607814483046</v>
      </c>
      <c r="DG2">
        <f t="shared" si="4"/>
        <v>3.4401426717332317E-2</v>
      </c>
      <c r="DH2">
        <f t="shared" si="4"/>
        <v>7.1865757027512007</v>
      </c>
      <c r="DI2">
        <f t="shared" si="4"/>
        <v>9.100329058102929</v>
      </c>
      <c r="DJ2">
        <f t="shared" si="4"/>
        <v>0.1906203596086497</v>
      </c>
      <c r="DK2">
        <f t="shared" si="4"/>
        <v>0.24842135849847832</v>
      </c>
      <c r="DL2">
        <f t="shared" si="4"/>
        <v>7.1389996086672999E-2</v>
      </c>
      <c r="DM2">
        <f t="shared" si="4"/>
        <v>9.2579181293093171E-2</v>
      </c>
      <c r="DN2">
        <f t="shared" si="4"/>
        <v>2.2739486969489339E-2</v>
      </c>
      <c r="DO2">
        <f t="shared" si="4"/>
        <v>7.0159368118266654</v>
      </c>
      <c r="DP2">
        <f t="shared" si="4"/>
        <v>4.746669748261791</v>
      </c>
      <c r="DQ2">
        <f t="shared" si="4"/>
        <v>4.5379614362946414</v>
      </c>
      <c r="DR2">
        <f t="shared" si="4"/>
        <v>4.4272389774954295</v>
      </c>
      <c r="DS2">
        <f t="shared" si="4"/>
        <v>5.3778631618530165E-2</v>
      </c>
      <c r="DT2">
        <f t="shared" si="4"/>
        <v>9.4596149070667851E-2</v>
      </c>
      <c r="DU2">
        <f t="shared" si="4"/>
        <v>0.10202424163574639</v>
      </c>
    </row>
    <row r="3" spans="1:125" x14ac:dyDescent="0.35">
      <c r="A3" s="1">
        <v>40359</v>
      </c>
      <c r="B3">
        <f>'Sorting Q'!C3/100</f>
        <v>9.4E-2</v>
      </c>
      <c r="C3">
        <f>'Sorting Q'!D3/100</f>
        <v>1.7000000000000001E-2</v>
      </c>
      <c r="D3">
        <f>'Sorting Q'!E3/100</f>
        <v>2.7200000000000002E-2</v>
      </c>
      <c r="E3">
        <f>'Sorting Q'!F3</f>
        <v>3.2364999999999999</v>
      </c>
      <c r="F3">
        <f>'Sorting Q'!G3/100</f>
        <v>3.6000000000000004E-2</v>
      </c>
      <c r="G3">
        <f>'Sorting Q'!H3</f>
        <v>1314.02</v>
      </c>
      <c r="H3">
        <f>'Sorting Q'!I3</f>
        <v>8863.39</v>
      </c>
      <c r="I3">
        <f>'Sorting Q'!J3/100</f>
        <v>0.155</v>
      </c>
      <c r="J3">
        <f>'Sorting Q'!K3/100</f>
        <v>0.23100000000000001</v>
      </c>
      <c r="K3">
        <f>'Sorting Q'!L3/100</f>
        <v>0.13500000000000001</v>
      </c>
      <c r="L3">
        <f>'Sorting Q'!M3/100</f>
        <v>0.11900000000000001</v>
      </c>
      <c r="M3">
        <f>'Sorting Q'!N3/100</f>
        <v>2.5000000000000001E-2</v>
      </c>
      <c r="N3">
        <f>'Sorting Q'!O3</f>
        <v>1242.3800000000001</v>
      </c>
      <c r="O3">
        <f>'Sorting Q'!P3</f>
        <v>110.4</v>
      </c>
      <c r="P3">
        <f>'Sorting Q'!Q3</f>
        <v>91.6</v>
      </c>
      <c r="Q3">
        <f>'Sorting Q'!R3</f>
        <v>75.010000000000005</v>
      </c>
      <c r="R3">
        <f>'Sorting Q'!S3/100</f>
        <v>8.2365178860909882E-2</v>
      </c>
      <c r="S3">
        <f>'Sorting Q'!T3/100</f>
        <v>0.10461357625624457</v>
      </c>
      <c r="T3">
        <f>'Sorting Q'!U3/100</f>
        <v>0.10588993247436518</v>
      </c>
      <c r="V3" s="1">
        <v>40359</v>
      </c>
      <c r="W3">
        <f t="shared" ref="W3:W49" si="5">SIGN(B3)*LN(ABS(B3)+1)</f>
        <v>8.9840703999789537E-2</v>
      </c>
      <c r="X3">
        <f t="shared" si="0"/>
        <v>1.6857117066422806E-2</v>
      </c>
      <c r="Y3">
        <f t="shared" si="0"/>
        <v>2.6836653953559785E-2</v>
      </c>
      <c r="Z3">
        <f t="shared" si="0"/>
        <v>1.4437374566563816</v>
      </c>
      <c r="AA3">
        <f t="shared" si="0"/>
        <v>3.5367143837291344E-2</v>
      </c>
      <c r="AB3">
        <f t="shared" si="0"/>
        <v>7.181607153621683</v>
      </c>
      <c r="AC3">
        <f t="shared" si="0"/>
        <v>9.0897974062141191</v>
      </c>
      <c r="AD3">
        <f t="shared" si="0"/>
        <v>0.14410034397375687</v>
      </c>
      <c r="AE3">
        <f t="shared" si="0"/>
        <v>0.20782684720231653</v>
      </c>
      <c r="AF3">
        <f t="shared" si="0"/>
        <v>0.12663265093336601</v>
      </c>
      <c r="AG3">
        <f t="shared" si="0"/>
        <v>0.11243542932978817</v>
      </c>
      <c r="AH3">
        <f t="shared" si="0"/>
        <v>2.4692612590371414E-2</v>
      </c>
      <c r="AI3">
        <f t="shared" si="0"/>
        <v>7.125588756777451</v>
      </c>
      <c r="AJ3">
        <f t="shared" si="0"/>
        <v>4.7131273274931837</v>
      </c>
      <c r="AK3">
        <f t="shared" si="0"/>
        <v>4.5282891416521336</v>
      </c>
      <c r="AL3">
        <f t="shared" si="0"/>
        <v>4.3308649105779491</v>
      </c>
      <c r="AM3">
        <f t="shared" si="0"/>
        <v>7.9148627051080667E-2</v>
      </c>
      <c r="AN3">
        <f t="shared" si="0"/>
        <v>9.9495569063272338E-2</v>
      </c>
      <c r="AO3">
        <f t="shared" si="0"/>
        <v>0.10065037958940259</v>
      </c>
      <c r="AQ3" s="1">
        <v>40724</v>
      </c>
      <c r="AR3">
        <f t="shared" ref="AR3:AR45" si="6">W6</f>
        <v>4.8790164169432049E-2</v>
      </c>
      <c r="AS3">
        <f t="shared" si="1"/>
        <v>2.9558802241544429E-2</v>
      </c>
      <c r="AT3">
        <f t="shared" si="1"/>
        <v>2.9947076367952099E-2</v>
      </c>
      <c r="AU3">
        <f t="shared" si="1"/>
        <v>1.3926491267578984</v>
      </c>
      <c r="AV3">
        <f t="shared" si="1"/>
        <v>2.9558802241544429E-2</v>
      </c>
      <c r="AW3">
        <f t="shared" si="1"/>
        <v>7.3435103135811248</v>
      </c>
      <c r="AX3">
        <f t="shared" si="1"/>
        <v>9.269878285892359</v>
      </c>
      <c r="AY3">
        <f t="shared" si="1"/>
        <v>1.4888612493750559E-2</v>
      </c>
      <c r="AZ3">
        <f t="shared" si="1"/>
        <v>9.5310179804324935E-2</v>
      </c>
      <c r="BA3">
        <f t="shared" si="1"/>
        <v>0.10345870836822997</v>
      </c>
      <c r="BB3">
        <f t="shared" si="1"/>
        <v>0.11778303565638346</v>
      </c>
      <c r="BC3">
        <f t="shared" si="1"/>
        <v>2.7615167032973391E-2</v>
      </c>
      <c r="BD3">
        <f t="shared" si="1"/>
        <v>7.2676649854307991</v>
      </c>
      <c r="BE3">
        <f t="shared" si="1"/>
        <v>4.6931810633108046</v>
      </c>
      <c r="BF3">
        <f t="shared" si="1"/>
        <v>4.5432947822700038</v>
      </c>
      <c r="BG3">
        <f t="shared" si="1"/>
        <v>4.7737308275320087</v>
      </c>
      <c r="BH3">
        <f t="shared" si="1"/>
        <v>6.503958260719811E-2</v>
      </c>
      <c r="BI3">
        <f t="shared" si="1"/>
        <v>8.5713683197986196E-2</v>
      </c>
      <c r="BJ3">
        <f t="shared" si="1"/>
        <v>1.942416747631881E-2</v>
      </c>
      <c r="BL3" s="1">
        <v>40724</v>
      </c>
      <c r="BM3">
        <f t="shared" ref="BM3:BM45" si="7">W5</f>
        <v>4.8790164169432049E-2</v>
      </c>
      <c r="BN3">
        <f t="shared" si="2"/>
        <v>2.176149178151271E-2</v>
      </c>
      <c r="BO3">
        <f t="shared" si="2"/>
        <v>2.936460862990398E-2</v>
      </c>
      <c r="BP3">
        <f t="shared" si="2"/>
        <v>1.4069544638161933</v>
      </c>
      <c r="BQ3">
        <f t="shared" si="2"/>
        <v>3.0529205034822791E-2</v>
      </c>
      <c r="BR3">
        <f t="shared" si="2"/>
        <v>7.3264064015609938</v>
      </c>
      <c r="BS3">
        <f t="shared" si="2"/>
        <v>9.2472487984693643</v>
      </c>
      <c r="BT3">
        <f t="shared" si="2"/>
        <v>2.3716526617316065E-2</v>
      </c>
      <c r="BU3">
        <f t="shared" si="2"/>
        <v>4.2101176018635326E-2</v>
      </c>
      <c r="BV3">
        <f t="shared" si="2"/>
        <v>0.12221763272424911</v>
      </c>
      <c r="BW3">
        <f t="shared" si="2"/>
        <v>8.6177696241052412E-2</v>
      </c>
      <c r="BX3">
        <f t="shared" si="2"/>
        <v>2.7615167032973391E-2</v>
      </c>
      <c r="BY3">
        <f t="shared" si="2"/>
        <v>7.2601008647596403</v>
      </c>
      <c r="BZ3">
        <f t="shared" si="2"/>
        <v>4.772378104971998</v>
      </c>
      <c r="CA3">
        <f t="shared" si="2"/>
        <v>4.5549289695513444</v>
      </c>
      <c r="CB3">
        <f t="shared" si="2"/>
        <v>4.5617406280607558</v>
      </c>
      <c r="CC3">
        <f t="shared" si="2"/>
        <v>6.4694544416560862E-2</v>
      </c>
      <c r="CD3">
        <f t="shared" si="2"/>
        <v>3.0519063247491544E-2</v>
      </c>
      <c r="CE3">
        <f t="shared" si="2"/>
        <v>3.6645455302069634E-2</v>
      </c>
      <c r="CG3" s="1">
        <v>40724</v>
      </c>
      <c r="CH3">
        <f t="shared" ref="CH3:CH45" si="8">W4</f>
        <v>5.3540766928029761E-2</v>
      </c>
      <c r="CI3">
        <f t="shared" si="3"/>
        <v>1.7839918128331016E-2</v>
      </c>
      <c r="CJ3">
        <f t="shared" si="3"/>
        <v>2.8878959550376771E-2</v>
      </c>
      <c r="CK3">
        <f t="shared" si="3"/>
        <v>1.4078846053626681</v>
      </c>
      <c r="CL3">
        <f t="shared" si="3"/>
        <v>2.9558802241544429E-2</v>
      </c>
      <c r="CM3">
        <f t="shared" si="3"/>
        <v>7.289269166267788</v>
      </c>
      <c r="CN3">
        <f t="shared" si="3"/>
        <v>9.1914266295048073</v>
      </c>
      <c r="CO3">
        <f t="shared" si="3"/>
        <v>7.6034686275997576E-2</v>
      </c>
      <c r="CP3">
        <f t="shared" si="3"/>
        <v>0.11064652008706365</v>
      </c>
      <c r="CQ3">
        <f t="shared" si="3"/>
        <v>0.1239859797809913</v>
      </c>
      <c r="CR3">
        <f t="shared" si="3"/>
        <v>0.11422114409002286</v>
      </c>
      <c r="CS3">
        <f t="shared" si="3"/>
        <v>2.7615167032973391E-2</v>
      </c>
      <c r="CT3">
        <f t="shared" si="3"/>
        <v>7.1774312094911741</v>
      </c>
      <c r="CU3">
        <f t="shared" si="3"/>
        <v>4.7604630703941266</v>
      </c>
      <c r="CV3">
        <f t="shared" si="3"/>
        <v>4.5379614362946414</v>
      </c>
      <c r="CW3">
        <f t="shared" si="3"/>
        <v>4.4225685899868177</v>
      </c>
      <c r="CX3">
        <f t="shared" si="3"/>
        <v>6.7859039651601435E-2</v>
      </c>
      <c r="CY3">
        <f t="shared" si="3"/>
        <v>-6.9036524725776705E-2</v>
      </c>
      <c r="CZ3">
        <f t="shared" si="3"/>
        <v>4.1337144183108222E-2</v>
      </c>
      <c r="DB3" s="1">
        <v>40724</v>
      </c>
      <c r="DC3">
        <f t="shared" ref="DC3:DC45" si="9">W3</f>
        <v>8.9840703999789537E-2</v>
      </c>
      <c r="DD3">
        <f t="shared" si="4"/>
        <v>1.6857117066422806E-2</v>
      </c>
      <c r="DE3">
        <f t="shared" si="4"/>
        <v>2.6836653953559785E-2</v>
      </c>
      <c r="DF3">
        <f t="shared" si="4"/>
        <v>1.4437374566563816</v>
      </c>
      <c r="DG3">
        <f t="shared" si="4"/>
        <v>3.5367143837291344E-2</v>
      </c>
      <c r="DH3">
        <f t="shared" si="4"/>
        <v>7.181607153621683</v>
      </c>
      <c r="DI3">
        <f t="shared" si="4"/>
        <v>9.0897974062141191</v>
      </c>
      <c r="DJ3">
        <f t="shared" si="4"/>
        <v>0.14410034397375687</v>
      </c>
      <c r="DK3">
        <f t="shared" si="4"/>
        <v>0.20782684720231653</v>
      </c>
      <c r="DL3">
        <f t="shared" si="4"/>
        <v>0.12663265093336601</v>
      </c>
      <c r="DM3">
        <f t="shared" si="4"/>
        <v>0.11243542932978817</v>
      </c>
      <c r="DN3">
        <f t="shared" si="4"/>
        <v>2.4692612590371414E-2</v>
      </c>
      <c r="DO3">
        <f t="shared" si="4"/>
        <v>7.125588756777451</v>
      </c>
      <c r="DP3">
        <f t="shared" si="4"/>
        <v>4.7131273274931837</v>
      </c>
      <c r="DQ3">
        <f t="shared" si="4"/>
        <v>4.5282891416521336</v>
      </c>
      <c r="DR3">
        <f t="shared" si="4"/>
        <v>4.3308649105779491</v>
      </c>
      <c r="DS3">
        <f t="shared" si="4"/>
        <v>7.9148627051080667E-2</v>
      </c>
      <c r="DT3">
        <f t="shared" si="4"/>
        <v>9.9495569063272338E-2</v>
      </c>
      <c r="DU3">
        <f t="shared" si="4"/>
        <v>0.10065037958940259</v>
      </c>
    </row>
    <row r="4" spans="1:125" x14ac:dyDescent="0.35">
      <c r="A4" s="1">
        <v>40451</v>
      </c>
      <c r="B4">
        <f>'Sorting Q'!C4/100</f>
        <v>5.5E-2</v>
      </c>
      <c r="C4">
        <f>'Sorting Q'!D4/100</f>
        <v>1.8000000000000002E-2</v>
      </c>
      <c r="D4">
        <f>'Sorting Q'!E4/100</f>
        <v>2.9300000000000003E-2</v>
      </c>
      <c r="E4">
        <f>'Sorting Q'!F4</f>
        <v>3.0872999999999999</v>
      </c>
      <c r="F4">
        <f>'Sorting Q'!G4/100</f>
        <v>0.03</v>
      </c>
      <c r="G4">
        <f>'Sorting Q'!H4</f>
        <v>1463.5</v>
      </c>
      <c r="H4">
        <f>'Sorting Q'!I4</f>
        <v>9811.64</v>
      </c>
      <c r="I4">
        <f>'Sorting Q'!J4/100</f>
        <v>7.9000000000000001E-2</v>
      </c>
      <c r="J4">
        <f>'Sorting Q'!K4/100</f>
        <v>0.11699999999999999</v>
      </c>
      <c r="K4">
        <f>'Sorting Q'!L4/100</f>
        <v>0.13200000000000001</v>
      </c>
      <c r="L4">
        <f>'Sorting Q'!M4/100</f>
        <v>0.121</v>
      </c>
      <c r="M4">
        <f>'Sorting Q'!N4/100</f>
        <v>2.7999999999999997E-2</v>
      </c>
      <c r="N4">
        <f>'Sorting Q'!O4</f>
        <v>1308.54</v>
      </c>
      <c r="O4">
        <f>'Sorting Q'!P4</f>
        <v>115.8</v>
      </c>
      <c r="P4">
        <f>'Sorting Q'!Q4</f>
        <v>92.5</v>
      </c>
      <c r="Q4">
        <f>'Sorting Q'!R4</f>
        <v>82.31</v>
      </c>
      <c r="R4">
        <f>'Sorting Q'!S4/100</f>
        <v>7.0214440045460735E-2</v>
      </c>
      <c r="S4">
        <f>'Sorting Q'!T4/100</f>
        <v>-7.1475343776759126E-2</v>
      </c>
      <c r="T4">
        <f>'Sorting Q'!U4/100</f>
        <v>4.2203419140863119E-2</v>
      </c>
      <c r="V4" s="1">
        <v>40451</v>
      </c>
      <c r="W4">
        <f t="shared" si="5"/>
        <v>5.3540766928029761E-2</v>
      </c>
      <c r="X4">
        <f t="shared" si="0"/>
        <v>1.7839918128331016E-2</v>
      </c>
      <c r="Y4">
        <f t="shared" si="0"/>
        <v>2.8878959550376771E-2</v>
      </c>
      <c r="Z4">
        <f t="shared" si="0"/>
        <v>1.4078846053626681</v>
      </c>
      <c r="AA4">
        <f t="shared" si="0"/>
        <v>2.9558802241544429E-2</v>
      </c>
      <c r="AB4">
        <f t="shared" si="0"/>
        <v>7.289269166267788</v>
      </c>
      <c r="AC4">
        <f t="shared" si="0"/>
        <v>9.1914266295048073</v>
      </c>
      <c r="AD4">
        <f t="shared" si="0"/>
        <v>7.6034686275997576E-2</v>
      </c>
      <c r="AE4">
        <f t="shared" si="0"/>
        <v>0.11064652008706365</v>
      </c>
      <c r="AF4">
        <f t="shared" si="0"/>
        <v>0.1239859797809913</v>
      </c>
      <c r="AG4">
        <f t="shared" si="0"/>
        <v>0.11422114409002286</v>
      </c>
      <c r="AH4">
        <f t="shared" si="0"/>
        <v>2.7615167032973391E-2</v>
      </c>
      <c r="AI4">
        <f t="shared" si="0"/>
        <v>7.1774312094911741</v>
      </c>
      <c r="AJ4">
        <f t="shared" si="0"/>
        <v>4.7604630703941266</v>
      </c>
      <c r="AK4">
        <f t="shared" si="0"/>
        <v>4.5379614362946414</v>
      </c>
      <c r="AL4">
        <f t="shared" si="0"/>
        <v>4.4225685899868177</v>
      </c>
      <c r="AM4">
        <f t="shared" si="0"/>
        <v>6.7859039651601435E-2</v>
      </c>
      <c r="AN4">
        <f t="shared" si="0"/>
        <v>-6.9036524725776705E-2</v>
      </c>
      <c r="AO4">
        <f t="shared" si="0"/>
        <v>4.1337144183108222E-2</v>
      </c>
      <c r="AQ4" s="1">
        <v>40816</v>
      </c>
      <c r="AR4">
        <f t="shared" si="6"/>
        <v>4.4973365642731196E-2</v>
      </c>
      <c r="AS4">
        <f t="shared" si="1"/>
        <v>3.4401426717332317E-2</v>
      </c>
      <c r="AT4">
        <f t="shared" si="1"/>
        <v>3.2370380030450646E-2</v>
      </c>
      <c r="AU4">
        <f t="shared" si="1"/>
        <v>1.3911575167858785</v>
      </c>
      <c r="AV4">
        <f t="shared" si="1"/>
        <v>3.1498667059371016E-2</v>
      </c>
      <c r="AW4">
        <f t="shared" si="1"/>
        <v>7.3652244288370969</v>
      </c>
      <c r="AX4">
        <f t="shared" si="1"/>
        <v>9.2912980455561076</v>
      </c>
      <c r="AY4">
        <f t="shared" si="1"/>
        <v>5.1643233151838386E-2</v>
      </c>
      <c r="AZ4">
        <f t="shared" si="1"/>
        <v>4.2101176018635326E-2</v>
      </c>
      <c r="BA4">
        <f t="shared" si="1"/>
        <v>2.9558802241544429E-2</v>
      </c>
      <c r="BB4">
        <f t="shared" si="1"/>
        <v>0.14583044821153954</v>
      </c>
      <c r="BC4">
        <f t="shared" si="1"/>
        <v>2.9558802241544429E-2</v>
      </c>
      <c r="BD4">
        <f t="shared" si="1"/>
        <v>7.3140067444969246</v>
      </c>
      <c r="BE4">
        <f t="shared" si="1"/>
        <v>4.6904300299389146</v>
      </c>
      <c r="BF4">
        <f t="shared" si="1"/>
        <v>4.5464811896394117</v>
      </c>
      <c r="BG4">
        <f t="shared" si="1"/>
        <v>4.7316266099406503</v>
      </c>
      <c r="BH4">
        <f t="shared" si="1"/>
        <v>6.0379981747279682E-2</v>
      </c>
      <c r="BI4">
        <f t="shared" si="1"/>
        <v>3.9710827175257701E-2</v>
      </c>
      <c r="BJ4">
        <f t="shared" si="1"/>
        <v>2.129882360886219E-3</v>
      </c>
      <c r="BL4" s="1">
        <v>40816</v>
      </c>
      <c r="BM4">
        <f t="shared" si="7"/>
        <v>4.8790164169432049E-2</v>
      </c>
      <c r="BN4">
        <f t="shared" si="2"/>
        <v>2.9558802241544429E-2</v>
      </c>
      <c r="BO4">
        <f t="shared" si="2"/>
        <v>2.9947076367952099E-2</v>
      </c>
      <c r="BP4">
        <f t="shared" si="2"/>
        <v>1.3926491267578984</v>
      </c>
      <c r="BQ4">
        <f t="shared" si="2"/>
        <v>2.9558802241544429E-2</v>
      </c>
      <c r="BR4">
        <f t="shared" si="2"/>
        <v>7.3435103135811248</v>
      </c>
      <c r="BS4">
        <f t="shared" si="2"/>
        <v>9.269878285892359</v>
      </c>
      <c r="BT4">
        <f t="shared" si="2"/>
        <v>1.4888612493750559E-2</v>
      </c>
      <c r="BU4">
        <f t="shared" si="2"/>
        <v>9.5310179804324935E-2</v>
      </c>
      <c r="BV4">
        <f t="shared" si="2"/>
        <v>0.10345870836822997</v>
      </c>
      <c r="BW4">
        <f t="shared" si="2"/>
        <v>0.11778303565638346</v>
      </c>
      <c r="BX4">
        <f t="shared" si="2"/>
        <v>2.7615167032973391E-2</v>
      </c>
      <c r="BY4">
        <f t="shared" si="2"/>
        <v>7.2676649854307991</v>
      </c>
      <c r="BZ4">
        <f t="shared" si="2"/>
        <v>4.6931810633108046</v>
      </c>
      <c r="CA4">
        <f t="shared" si="2"/>
        <v>4.5432947822700038</v>
      </c>
      <c r="CB4">
        <f t="shared" si="2"/>
        <v>4.7737308275320087</v>
      </c>
      <c r="CC4">
        <f t="shared" si="2"/>
        <v>6.503958260719811E-2</v>
      </c>
      <c r="CD4">
        <f t="shared" si="2"/>
        <v>8.5713683197986196E-2</v>
      </c>
      <c r="CE4">
        <f t="shared" si="2"/>
        <v>1.942416747631881E-2</v>
      </c>
      <c r="CG4" s="1">
        <v>40816</v>
      </c>
      <c r="CH4">
        <f t="shared" si="8"/>
        <v>4.8790164169432049E-2</v>
      </c>
      <c r="CI4">
        <f t="shared" si="3"/>
        <v>2.176149178151271E-2</v>
      </c>
      <c r="CJ4">
        <f t="shared" si="3"/>
        <v>2.936460862990398E-2</v>
      </c>
      <c r="CK4">
        <f t="shared" si="3"/>
        <v>1.4069544638161933</v>
      </c>
      <c r="CL4">
        <f t="shared" si="3"/>
        <v>3.0529205034822791E-2</v>
      </c>
      <c r="CM4">
        <f t="shared" si="3"/>
        <v>7.3264064015609938</v>
      </c>
      <c r="CN4">
        <f t="shared" si="3"/>
        <v>9.2472487984693643</v>
      </c>
      <c r="CO4">
        <f t="shared" si="3"/>
        <v>2.3716526617316065E-2</v>
      </c>
      <c r="CP4">
        <f t="shared" si="3"/>
        <v>4.2101176018635326E-2</v>
      </c>
      <c r="CQ4">
        <f t="shared" si="3"/>
        <v>0.12221763272424911</v>
      </c>
      <c r="CR4">
        <f t="shared" si="3"/>
        <v>8.6177696241052412E-2</v>
      </c>
      <c r="CS4">
        <f t="shared" si="3"/>
        <v>2.7615167032973391E-2</v>
      </c>
      <c r="CT4">
        <f t="shared" si="3"/>
        <v>7.2601008647596403</v>
      </c>
      <c r="CU4">
        <f t="shared" si="3"/>
        <v>4.772378104971998</v>
      </c>
      <c r="CV4">
        <f t="shared" si="3"/>
        <v>4.5549289695513444</v>
      </c>
      <c r="CW4">
        <f t="shared" si="3"/>
        <v>4.5617406280607558</v>
      </c>
      <c r="CX4">
        <f t="shared" si="3"/>
        <v>6.4694544416560862E-2</v>
      </c>
      <c r="CY4">
        <f t="shared" si="3"/>
        <v>3.0519063247491544E-2</v>
      </c>
      <c r="CZ4">
        <f t="shared" si="3"/>
        <v>3.6645455302069634E-2</v>
      </c>
      <c r="DB4" s="1">
        <v>40816</v>
      </c>
      <c r="DC4">
        <f t="shared" si="9"/>
        <v>5.3540766928029761E-2</v>
      </c>
      <c r="DD4">
        <f t="shared" si="4"/>
        <v>1.7839918128331016E-2</v>
      </c>
      <c r="DE4">
        <f t="shared" si="4"/>
        <v>2.8878959550376771E-2</v>
      </c>
      <c r="DF4">
        <f t="shared" si="4"/>
        <v>1.4078846053626681</v>
      </c>
      <c r="DG4">
        <f t="shared" si="4"/>
        <v>2.9558802241544429E-2</v>
      </c>
      <c r="DH4">
        <f t="shared" si="4"/>
        <v>7.289269166267788</v>
      </c>
      <c r="DI4">
        <f t="shared" si="4"/>
        <v>9.1914266295048073</v>
      </c>
      <c r="DJ4">
        <f t="shared" si="4"/>
        <v>7.6034686275997576E-2</v>
      </c>
      <c r="DK4">
        <f t="shared" si="4"/>
        <v>0.11064652008706365</v>
      </c>
      <c r="DL4">
        <f t="shared" si="4"/>
        <v>0.1239859797809913</v>
      </c>
      <c r="DM4">
        <f t="shared" si="4"/>
        <v>0.11422114409002286</v>
      </c>
      <c r="DN4">
        <f t="shared" si="4"/>
        <v>2.7615167032973391E-2</v>
      </c>
      <c r="DO4">
        <f t="shared" si="4"/>
        <v>7.1774312094911741</v>
      </c>
      <c r="DP4">
        <f t="shared" si="4"/>
        <v>4.7604630703941266</v>
      </c>
      <c r="DQ4">
        <f t="shared" si="4"/>
        <v>4.5379614362946414</v>
      </c>
      <c r="DR4">
        <f t="shared" si="4"/>
        <v>4.4225685899868177</v>
      </c>
      <c r="DS4">
        <f t="shared" si="4"/>
        <v>6.7859039651601435E-2</v>
      </c>
      <c r="DT4">
        <f t="shared" si="4"/>
        <v>-6.9036524725776705E-2</v>
      </c>
      <c r="DU4">
        <f t="shared" si="4"/>
        <v>4.1337144183108222E-2</v>
      </c>
    </row>
    <row r="5" spans="1:125" x14ac:dyDescent="0.35">
      <c r="A5" s="1">
        <v>40543</v>
      </c>
      <c r="B5">
        <f>'Sorting Q'!C5/100</f>
        <v>0.05</v>
      </c>
      <c r="C5">
        <f>'Sorting Q'!D5/100</f>
        <v>2.2000000000000002E-2</v>
      </c>
      <c r="D5">
        <f>'Sorting Q'!E5/100</f>
        <v>2.98E-2</v>
      </c>
      <c r="E5">
        <f>'Sorting Q'!F5</f>
        <v>3.0834999999999999</v>
      </c>
      <c r="F5">
        <f>'Sorting Q'!G5/100</f>
        <v>3.1E-2</v>
      </c>
      <c r="G5">
        <f>'Sorting Q'!H5</f>
        <v>1518.91</v>
      </c>
      <c r="H5">
        <f>'Sorting Q'!I5</f>
        <v>10374.98</v>
      </c>
      <c r="I5">
        <f>'Sorting Q'!J5/100</f>
        <v>2.4E-2</v>
      </c>
      <c r="J5">
        <f>'Sorting Q'!K5/100</f>
        <v>4.2999999999999997E-2</v>
      </c>
      <c r="K5">
        <f>'Sorting Q'!L5/100</f>
        <v>0.13</v>
      </c>
      <c r="L5">
        <f>'Sorting Q'!M5/100</f>
        <v>0.09</v>
      </c>
      <c r="M5">
        <f>'Sorting Q'!N5/100</f>
        <v>2.7999999999999997E-2</v>
      </c>
      <c r="N5">
        <f>'Sorting Q'!O5</f>
        <v>1421.4</v>
      </c>
      <c r="O5">
        <f>'Sorting Q'!P5</f>
        <v>117.2</v>
      </c>
      <c r="P5">
        <f>'Sorting Q'!Q5</f>
        <v>94.1</v>
      </c>
      <c r="Q5">
        <f>'Sorting Q'!R5</f>
        <v>94.75</v>
      </c>
      <c r="R5">
        <f>'Sorting Q'!S5/100</f>
        <v>6.6833104481338168E-2</v>
      </c>
      <c r="S5">
        <f>'Sorting Q'!T5/100</f>
        <v>3.0989543870283409E-2</v>
      </c>
      <c r="T5">
        <f>'Sorting Q'!U5/100</f>
        <v>3.7325177491846828E-2</v>
      </c>
      <c r="V5" s="1">
        <v>40543</v>
      </c>
      <c r="W5">
        <f t="shared" si="5"/>
        <v>4.8790164169432049E-2</v>
      </c>
      <c r="X5">
        <f t="shared" si="0"/>
        <v>2.176149178151271E-2</v>
      </c>
      <c r="Y5">
        <f t="shared" si="0"/>
        <v>2.936460862990398E-2</v>
      </c>
      <c r="Z5">
        <f t="shared" si="0"/>
        <v>1.4069544638161933</v>
      </c>
      <c r="AA5">
        <f t="shared" si="0"/>
        <v>3.0529205034822791E-2</v>
      </c>
      <c r="AB5">
        <f t="shared" si="0"/>
        <v>7.3264064015609938</v>
      </c>
      <c r="AC5">
        <f t="shared" si="0"/>
        <v>9.2472487984693643</v>
      </c>
      <c r="AD5">
        <f t="shared" si="0"/>
        <v>2.3716526617316065E-2</v>
      </c>
      <c r="AE5">
        <f t="shared" si="0"/>
        <v>4.2101176018635326E-2</v>
      </c>
      <c r="AF5">
        <f t="shared" si="0"/>
        <v>0.12221763272424911</v>
      </c>
      <c r="AG5">
        <f t="shared" si="0"/>
        <v>8.6177696241052412E-2</v>
      </c>
      <c r="AH5">
        <f t="shared" si="0"/>
        <v>2.7615167032973391E-2</v>
      </c>
      <c r="AI5">
        <f t="shared" si="0"/>
        <v>7.2601008647596403</v>
      </c>
      <c r="AJ5">
        <f t="shared" si="0"/>
        <v>4.772378104971998</v>
      </c>
      <c r="AK5">
        <f t="shared" si="0"/>
        <v>4.5549289695513444</v>
      </c>
      <c r="AL5">
        <f t="shared" si="0"/>
        <v>4.5617406280607558</v>
      </c>
      <c r="AM5">
        <f t="shared" si="0"/>
        <v>6.4694544416560862E-2</v>
      </c>
      <c r="AN5">
        <f t="shared" si="0"/>
        <v>3.0519063247491544E-2</v>
      </c>
      <c r="AO5">
        <f t="shared" si="0"/>
        <v>3.6645455302069634E-2</v>
      </c>
      <c r="AQ5" s="1">
        <v>40908</v>
      </c>
      <c r="AR5">
        <f t="shared" si="6"/>
        <v>5.8268908123975824E-2</v>
      </c>
      <c r="AS5">
        <f t="shared" si="1"/>
        <v>3.3434776086237419E-2</v>
      </c>
      <c r="AT5">
        <f t="shared" si="1"/>
        <v>3.2079893463411648E-2</v>
      </c>
      <c r="AU5">
        <f t="shared" si="1"/>
        <v>1.4324620419648979</v>
      </c>
      <c r="AV5">
        <f t="shared" si="1"/>
        <v>3.2467190137501413E-2</v>
      </c>
      <c r="AW5">
        <f t="shared" si="1"/>
        <v>7.2357127966232948</v>
      </c>
      <c r="AX5">
        <f t="shared" si="1"/>
        <v>9.1483128290259348</v>
      </c>
      <c r="AY5">
        <f t="shared" si="1"/>
        <v>4.2101176018635326E-2</v>
      </c>
      <c r="AZ5">
        <f t="shared" si="1"/>
        <v>3.8258712117090268E-2</v>
      </c>
      <c r="BA5">
        <f t="shared" si="1"/>
        <v>5.5434706888100524E-2</v>
      </c>
      <c r="BB5">
        <f t="shared" si="1"/>
        <v>0.18481843699254188</v>
      </c>
      <c r="BC5">
        <f t="shared" si="1"/>
        <v>2.9558802241544429E-2</v>
      </c>
      <c r="BD5">
        <f t="shared" si="1"/>
        <v>7.3931338556435922</v>
      </c>
      <c r="BE5">
        <f t="shared" si="1"/>
        <v>4.697749367281185</v>
      </c>
      <c r="BF5">
        <f t="shared" si="1"/>
        <v>4.5485998344996972</v>
      </c>
      <c r="BG5">
        <f t="shared" si="1"/>
        <v>4.6420805400081884</v>
      </c>
      <c r="BH5">
        <f t="shared" si="1"/>
        <v>7.0383068871987767E-2</v>
      </c>
      <c r="BI5">
        <f t="shared" si="1"/>
        <v>0.17532515481535835</v>
      </c>
      <c r="BJ5">
        <f t="shared" si="1"/>
        <v>3.9331096440825067E-2</v>
      </c>
      <c r="BL5" s="1">
        <v>40908</v>
      </c>
      <c r="BM5">
        <f t="shared" si="7"/>
        <v>4.4973365642731196E-2</v>
      </c>
      <c r="BN5">
        <f t="shared" si="2"/>
        <v>3.4401426717332317E-2</v>
      </c>
      <c r="BO5">
        <f t="shared" si="2"/>
        <v>3.2370380030450646E-2</v>
      </c>
      <c r="BP5">
        <f t="shared" si="2"/>
        <v>1.3911575167858785</v>
      </c>
      <c r="BQ5">
        <f t="shared" si="2"/>
        <v>3.1498667059371016E-2</v>
      </c>
      <c r="BR5">
        <f t="shared" si="2"/>
        <v>7.3652244288370969</v>
      </c>
      <c r="BS5">
        <f t="shared" si="2"/>
        <v>9.2912980455561076</v>
      </c>
      <c r="BT5">
        <f t="shared" si="2"/>
        <v>5.1643233151838386E-2</v>
      </c>
      <c r="BU5">
        <f t="shared" si="2"/>
        <v>4.2101176018635326E-2</v>
      </c>
      <c r="BV5">
        <f t="shared" si="2"/>
        <v>2.9558802241544429E-2</v>
      </c>
      <c r="BW5">
        <f t="shared" si="2"/>
        <v>0.14583044821153954</v>
      </c>
      <c r="BX5">
        <f t="shared" si="2"/>
        <v>2.9558802241544429E-2</v>
      </c>
      <c r="BY5">
        <f t="shared" si="2"/>
        <v>7.3140067444969246</v>
      </c>
      <c r="BZ5">
        <f t="shared" si="2"/>
        <v>4.6904300299389146</v>
      </c>
      <c r="CA5">
        <f t="shared" si="2"/>
        <v>4.5464811896394117</v>
      </c>
      <c r="CB5">
        <f t="shared" si="2"/>
        <v>4.7316266099406503</v>
      </c>
      <c r="CC5">
        <f t="shared" si="2"/>
        <v>6.0379981747279682E-2</v>
      </c>
      <c r="CD5">
        <f t="shared" si="2"/>
        <v>3.9710827175257701E-2</v>
      </c>
      <c r="CE5">
        <f t="shared" si="2"/>
        <v>2.129882360886219E-3</v>
      </c>
      <c r="CG5" s="1">
        <v>40908</v>
      </c>
      <c r="CH5">
        <f t="shared" si="8"/>
        <v>4.8790164169432049E-2</v>
      </c>
      <c r="CI5">
        <f t="shared" si="3"/>
        <v>2.9558802241544429E-2</v>
      </c>
      <c r="CJ5">
        <f t="shared" si="3"/>
        <v>2.9947076367952099E-2</v>
      </c>
      <c r="CK5">
        <f t="shared" si="3"/>
        <v>1.3926491267578984</v>
      </c>
      <c r="CL5">
        <f t="shared" si="3"/>
        <v>2.9558802241544429E-2</v>
      </c>
      <c r="CM5">
        <f t="shared" si="3"/>
        <v>7.3435103135811248</v>
      </c>
      <c r="CN5">
        <f t="shared" si="3"/>
        <v>9.269878285892359</v>
      </c>
      <c r="CO5">
        <f t="shared" si="3"/>
        <v>1.4888612493750559E-2</v>
      </c>
      <c r="CP5">
        <f t="shared" si="3"/>
        <v>9.5310179804324935E-2</v>
      </c>
      <c r="CQ5">
        <f t="shared" si="3"/>
        <v>0.10345870836822997</v>
      </c>
      <c r="CR5">
        <f t="shared" si="3"/>
        <v>0.11778303565638346</v>
      </c>
      <c r="CS5">
        <f t="shared" si="3"/>
        <v>2.7615167032973391E-2</v>
      </c>
      <c r="CT5">
        <f t="shared" si="3"/>
        <v>7.2676649854307991</v>
      </c>
      <c r="CU5">
        <f t="shared" si="3"/>
        <v>4.6931810633108046</v>
      </c>
      <c r="CV5">
        <f t="shared" si="3"/>
        <v>4.5432947822700038</v>
      </c>
      <c r="CW5">
        <f t="shared" si="3"/>
        <v>4.7737308275320087</v>
      </c>
      <c r="CX5">
        <f t="shared" si="3"/>
        <v>6.503958260719811E-2</v>
      </c>
      <c r="CY5">
        <f t="shared" si="3"/>
        <v>8.5713683197986196E-2</v>
      </c>
      <c r="CZ5">
        <f t="shared" si="3"/>
        <v>1.942416747631881E-2</v>
      </c>
      <c r="DB5" s="1">
        <v>40908</v>
      </c>
      <c r="DC5">
        <f t="shared" si="9"/>
        <v>4.8790164169432049E-2</v>
      </c>
      <c r="DD5">
        <f t="shared" si="4"/>
        <v>2.176149178151271E-2</v>
      </c>
      <c r="DE5">
        <f t="shared" si="4"/>
        <v>2.936460862990398E-2</v>
      </c>
      <c r="DF5">
        <f t="shared" si="4"/>
        <v>1.4069544638161933</v>
      </c>
      <c r="DG5">
        <f t="shared" si="4"/>
        <v>3.0529205034822791E-2</v>
      </c>
      <c r="DH5">
        <f t="shared" si="4"/>
        <v>7.3264064015609938</v>
      </c>
      <c r="DI5">
        <f t="shared" si="4"/>
        <v>9.2472487984693643</v>
      </c>
      <c r="DJ5">
        <f t="shared" si="4"/>
        <v>2.3716526617316065E-2</v>
      </c>
      <c r="DK5">
        <f t="shared" si="4"/>
        <v>4.2101176018635326E-2</v>
      </c>
      <c r="DL5">
        <f t="shared" si="4"/>
        <v>0.12221763272424911</v>
      </c>
      <c r="DM5">
        <f t="shared" si="4"/>
        <v>8.6177696241052412E-2</v>
      </c>
      <c r="DN5">
        <f t="shared" si="4"/>
        <v>2.7615167032973391E-2</v>
      </c>
      <c r="DO5">
        <f t="shared" si="4"/>
        <v>7.2601008647596403</v>
      </c>
      <c r="DP5">
        <f t="shared" si="4"/>
        <v>4.772378104971998</v>
      </c>
      <c r="DQ5">
        <f t="shared" si="4"/>
        <v>4.5549289695513444</v>
      </c>
      <c r="DR5">
        <f t="shared" si="4"/>
        <v>4.5617406280607558</v>
      </c>
      <c r="DS5">
        <f t="shared" si="4"/>
        <v>6.4694544416560862E-2</v>
      </c>
      <c r="DT5">
        <f t="shared" si="4"/>
        <v>3.0519063247491544E-2</v>
      </c>
      <c r="DU5">
        <f t="shared" si="4"/>
        <v>3.6645455302069634E-2</v>
      </c>
    </row>
    <row r="6" spans="1:125" x14ac:dyDescent="0.35">
      <c r="A6" s="1">
        <v>40633</v>
      </c>
      <c r="B6">
        <f>'Sorting Q'!C6/100</f>
        <v>0.05</v>
      </c>
      <c r="C6">
        <f>'Sorting Q'!D6/100</f>
        <v>0.03</v>
      </c>
      <c r="D6">
        <f>'Sorting Q'!E6/100</f>
        <v>3.04E-2</v>
      </c>
      <c r="E6">
        <f>'Sorting Q'!F6</f>
        <v>3.0255000000000001</v>
      </c>
      <c r="F6">
        <f>'Sorting Q'!G6/100</f>
        <v>0.03</v>
      </c>
      <c r="G6">
        <f>'Sorting Q'!H6</f>
        <v>1545.13</v>
      </c>
      <c r="H6">
        <f>'Sorting Q'!I6</f>
        <v>10612.46</v>
      </c>
      <c r="I6">
        <f>'Sorting Q'!J6/100</f>
        <v>1.4999999999999999E-2</v>
      </c>
      <c r="J6">
        <f>'Sorting Q'!K6/100</f>
        <v>0.1</v>
      </c>
      <c r="K6">
        <f>'Sorting Q'!L6/100</f>
        <v>0.109</v>
      </c>
      <c r="L6">
        <f>'Sorting Q'!M6/100</f>
        <v>0.125</v>
      </c>
      <c r="M6">
        <f>'Sorting Q'!N6/100</f>
        <v>2.7999999999999997E-2</v>
      </c>
      <c r="N6">
        <f>'Sorting Q'!O6</f>
        <v>1432.2</v>
      </c>
      <c r="O6">
        <f>'Sorting Q'!P6</f>
        <v>108.2</v>
      </c>
      <c r="P6">
        <f>'Sorting Q'!Q6</f>
        <v>93</v>
      </c>
      <c r="Q6">
        <f>'Sorting Q'!R6</f>
        <v>117.36</v>
      </c>
      <c r="R6">
        <f>'Sorting Q'!S6/100</f>
        <v>6.7201266156686978E-2</v>
      </c>
      <c r="S6">
        <f>'Sorting Q'!T6/100</f>
        <v>8.9494343107827223E-2</v>
      </c>
      <c r="T6">
        <f>'Sorting Q'!U6/100</f>
        <v>1.9614044022763455E-2</v>
      </c>
      <c r="V6" s="1">
        <v>40633</v>
      </c>
      <c r="W6">
        <f t="shared" si="5"/>
        <v>4.8790164169432049E-2</v>
      </c>
      <c r="X6">
        <f t="shared" si="0"/>
        <v>2.9558802241544429E-2</v>
      </c>
      <c r="Y6">
        <f t="shared" si="0"/>
        <v>2.9947076367952099E-2</v>
      </c>
      <c r="Z6">
        <f t="shared" si="0"/>
        <v>1.3926491267578984</v>
      </c>
      <c r="AA6">
        <f t="shared" si="0"/>
        <v>2.9558802241544429E-2</v>
      </c>
      <c r="AB6">
        <f t="shared" si="0"/>
        <v>7.3435103135811248</v>
      </c>
      <c r="AC6">
        <f t="shared" si="0"/>
        <v>9.269878285892359</v>
      </c>
      <c r="AD6">
        <f t="shared" si="0"/>
        <v>1.4888612493750559E-2</v>
      </c>
      <c r="AE6">
        <f t="shared" si="0"/>
        <v>9.5310179804324935E-2</v>
      </c>
      <c r="AF6">
        <f t="shared" si="0"/>
        <v>0.10345870836822997</v>
      </c>
      <c r="AG6">
        <f t="shared" si="0"/>
        <v>0.11778303565638346</v>
      </c>
      <c r="AH6">
        <f t="shared" si="0"/>
        <v>2.7615167032973391E-2</v>
      </c>
      <c r="AI6">
        <f t="shared" si="0"/>
        <v>7.2676649854307991</v>
      </c>
      <c r="AJ6">
        <f t="shared" si="0"/>
        <v>4.6931810633108046</v>
      </c>
      <c r="AK6">
        <f t="shared" si="0"/>
        <v>4.5432947822700038</v>
      </c>
      <c r="AL6">
        <f t="shared" si="0"/>
        <v>4.7737308275320087</v>
      </c>
      <c r="AM6">
        <f t="shared" si="0"/>
        <v>6.503958260719811E-2</v>
      </c>
      <c r="AN6">
        <f t="shared" si="0"/>
        <v>8.5713683197986196E-2</v>
      </c>
      <c r="AO6">
        <f t="shared" si="0"/>
        <v>1.942416747631881E-2</v>
      </c>
      <c r="AQ6" s="1">
        <v>40999</v>
      </c>
      <c r="AR6">
        <f t="shared" si="6"/>
        <v>5.3540766928029761E-2</v>
      </c>
      <c r="AS6">
        <f t="shared" si="1"/>
        <v>2.9558802241544429E-2</v>
      </c>
      <c r="AT6">
        <f t="shared" si="1"/>
        <v>3.1692446732489728E-2</v>
      </c>
      <c r="AU6">
        <f t="shared" si="1"/>
        <v>1.4274842879447533</v>
      </c>
      <c r="AV6">
        <f t="shared" si="1"/>
        <v>3.0529205034822791E-2</v>
      </c>
      <c r="AW6">
        <f t="shared" si="1"/>
        <v>7.3341530945595288</v>
      </c>
      <c r="AX6">
        <f t="shared" si="1"/>
        <v>9.2581843743900034</v>
      </c>
      <c r="AY6">
        <f t="shared" si="1"/>
        <v>5.4488185284069776E-2</v>
      </c>
      <c r="AZ6">
        <f t="shared" si="1"/>
        <v>7.1389996086672999E-2</v>
      </c>
      <c r="BA6">
        <f t="shared" si="1"/>
        <v>6.2035390919452697E-2</v>
      </c>
      <c r="BB6">
        <f t="shared" si="1"/>
        <v>0.12221763272424911</v>
      </c>
      <c r="BC6">
        <f t="shared" si="1"/>
        <v>2.9558802241544429E-2</v>
      </c>
      <c r="BD6">
        <f t="shared" si="1"/>
        <v>7.3562224036348445</v>
      </c>
      <c r="BE6">
        <f t="shared" si="1"/>
        <v>4.6756286496366526</v>
      </c>
      <c r="BF6">
        <f t="shared" si="1"/>
        <v>4.5538768916005408</v>
      </c>
      <c r="BG6">
        <f t="shared" si="1"/>
        <v>4.6856435701379677</v>
      </c>
      <c r="BH6">
        <f t="shared" si="1"/>
        <v>6.9264164296904449E-2</v>
      </c>
      <c r="BI6">
        <f t="shared" si="1"/>
        <v>0.19068557547799561</v>
      </c>
      <c r="BJ6">
        <f t="shared" si="1"/>
        <v>3.3092169636214364E-2</v>
      </c>
      <c r="BL6" s="1">
        <v>40999</v>
      </c>
      <c r="BM6">
        <f t="shared" si="7"/>
        <v>5.8268908123975824E-2</v>
      </c>
      <c r="BN6">
        <f t="shared" si="2"/>
        <v>3.3434776086237419E-2</v>
      </c>
      <c r="BO6">
        <f t="shared" si="2"/>
        <v>3.2079893463411648E-2</v>
      </c>
      <c r="BP6">
        <f t="shared" si="2"/>
        <v>1.4324620419648979</v>
      </c>
      <c r="BQ6">
        <f t="shared" si="2"/>
        <v>3.2467190137501413E-2</v>
      </c>
      <c r="BR6">
        <f t="shared" si="2"/>
        <v>7.2357127966232948</v>
      </c>
      <c r="BS6">
        <f t="shared" si="2"/>
        <v>9.1483128290259348</v>
      </c>
      <c r="BT6">
        <f t="shared" si="2"/>
        <v>4.2101176018635326E-2</v>
      </c>
      <c r="BU6">
        <f t="shared" si="2"/>
        <v>3.8258712117090268E-2</v>
      </c>
      <c r="BV6">
        <f t="shared" si="2"/>
        <v>5.5434706888100524E-2</v>
      </c>
      <c r="BW6">
        <f t="shared" si="2"/>
        <v>0.18481843699254188</v>
      </c>
      <c r="BX6">
        <f t="shared" si="2"/>
        <v>2.9558802241544429E-2</v>
      </c>
      <c r="BY6">
        <f t="shared" si="2"/>
        <v>7.3931338556435922</v>
      </c>
      <c r="BZ6">
        <f t="shared" si="2"/>
        <v>4.697749367281185</v>
      </c>
      <c r="CA6">
        <f t="shared" si="2"/>
        <v>4.5485998344996972</v>
      </c>
      <c r="CB6">
        <f t="shared" si="2"/>
        <v>4.6420805400081884</v>
      </c>
      <c r="CC6">
        <f t="shared" si="2"/>
        <v>7.0383068871987767E-2</v>
      </c>
      <c r="CD6">
        <f t="shared" si="2"/>
        <v>0.17532515481535835</v>
      </c>
      <c r="CE6">
        <f t="shared" si="2"/>
        <v>3.9331096440825067E-2</v>
      </c>
      <c r="CG6" s="1">
        <v>40999</v>
      </c>
      <c r="CH6">
        <f t="shared" si="8"/>
        <v>4.4973365642731196E-2</v>
      </c>
      <c r="CI6">
        <f t="shared" si="3"/>
        <v>3.4401426717332317E-2</v>
      </c>
      <c r="CJ6">
        <f t="shared" si="3"/>
        <v>3.2370380030450646E-2</v>
      </c>
      <c r="CK6">
        <f t="shared" si="3"/>
        <v>1.3911575167858785</v>
      </c>
      <c r="CL6">
        <f t="shared" si="3"/>
        <v>3.1498667059371016E-2</v>
      </c>
      <c r="CM6">
        <f t="shared" si="3"/>
        <v>7.3652244288370969</v>
      </c>
      <c r="CN6">
        <f t="shared" si="3"/>
        <v>9.2912980455561076</v>
      </c>
      <c r="CO6">
        <f t="shared" si="3"/>
        <v>5.1643233151838386E-2</v>
      </c>
      <c r="CP6">
        <f t="shared" si="3"/>
        <v>4.2101176018635326E-2</v>
      </c>
      <c r="CQ6">
        <f t="shared" si="3"/>
        <v>2.9558802241544429E-2</v>
      </c>
      <c r="CR6">
        <f t="shared" si="3"/>
        <v>0.14583044821153954</v>
      </c>
      <c r="CS6">
        <f t="shared" si="3"/>
        <v>2.9558802241544429E-2</v>
      </c>
      <c r="CT6">
        <f t="shared" si="3"/>
        <v>7.3140067444969246</v>
      </c>
      <c r="CU6">
        <f t="shared" si="3"/>
        <v>4.6904300299389146</v>
      </c>
      <c r="CV6">
        <f t="shared" si="3"/>
        <v>4.5464811896394117</v>
      </c>
      <c r="CW6">
        <f t="shared" si="3"/>
        <v>4.7316266099406503</v>
      </c>
      <c r="CX6">
        <f t="shared" si="3"/>
        <v>6.0379981747279682E-2</v>
      </c>
      <c r="CY6">
        <f t="shared" si="3"/>
        <v>3.9710827175257701E-2</v>
      </c>
      <c r="CZ6">
        <f t="shared" si="3"/>
        <v>2.129882360886219E-3</v>
      </c>
      <c r="DB6" s="1">
        <v>40999</v>
      </c>
      <c r="DC6">
        <f t="shared" si="9"/>
        <v>4.8790164169432049E-2</v>
      </c>
      <c r="DD6">
        <f t="shared" si="4"/>
        <v>2.9558802241544429E-2</v>
      </c>
      <c r="DE6">
        <f t="shared" si="4"/>
        <v>2.9947076367952099E-2</v>
      </c>
      <c r="DF6">
        <f t="shared" si="4"/>
        <v>1.3926491267578984</v>
      </c>
      <c r="DG6">
        <f t="shared" si="4"/>
        <v>2.9558802241544429E-2</v>
      </c>
      <c r="DH6">
        <f t="shared" si="4"/>
        <v>7.3435103135811248</v>
      </c>
      <c r="DI6">
        <f t="shared" si="4"/>
        <v>9.269878285892359</v>
      </c>
      <c r="DJ6">
        <f t="shared" si="4"/>
        <v>1.4888612493750559E-2</v>
      </c>
      <c r="DK6">
        <f t="shared" si="4"/>
        <v>9.5310179804324935E-2</v>
      </c>
      <c r="DL6">
        <f t="shared" si="4"/>
        <v>0.10345870836822997</v>
      </c>
      <c r="DM6">
        <f t="shared" si="4"/>
        <v>0.11778303565638346</v>
      </c>
      <c r="DN6">
        <f t="shared" si="4"/>
        <v>2.7615167032973391E-2</v>
      </c>
      <c r="DO6">
        <f t="shared" si="4"/>
        <v>7.2676649854307991</v>
      </c>
      <c r="DP6">
        <f t="shared" si="4"/>
        <v>4.6931810633108046</v>
      </c>
      <c r="DQ6">
        <f t="shared" si="4"/>
        <v>4.5432947822700038</v>
      </c>
      <c r="DR6">
        <f t="shared" si="4"/>
        <v>4.7737308275320087</v>
      </c>
      <c r="DS6">
        <f t="shared" si="4"/>
        <v>6.503958260719811E-2</v>
      </c>
      <c r="DT6">
        <f t="shared" si="4"/>
        <v>8.5713683197986196E-2</v>
      </c>
      <c r="DU6">
        <f t="shared" si="4"/>
        <v>1.942416747631881E-2</v>
      </c>
    </row>
    <row r="7" spans="1:125" x14ac:dyDescent="0.35">
      <c r="A7" s="1">
        <v>40724</v>
      </c>
      <c r="B7">
        <f>'Sorting Q'!C7/100</f>
        <v>4.5999999999999999E-2</v>
      </c>
      <c r="C7">
        <f>'Sorting Q'!D7/100</f>
        <v>3.5000000000000003E-2</v>
      </c>
      <c r="D7">
        <f>'Sorting Q'!E7/100</f>
        <v>3.2899999999999999E-2</v>
      </c>
      <c r="E7">
        <f>'Sorting Q'!F7</f>
        <v>3.0194999999999999</v>
      </c>
      <c r="F7">
        <f>'Sorting Q'!G7/100</f>
        <v>3.2000000000000001E-2</v>
      </c>
      <c r="G7">
        <f>'Sorting Q'!H7</f>
        <v>1579.07</v>
      </c>
      <c r="H7">
        <f>'Sorting Q'!I7</f>
        <v>10842.25</v>
      </c>
      <c r="I7">
        <f>'Sorting Q'!J7/100</f>
        <v>5.2999999999999999E-2</v>
      </c>
      <c r="J7">
        <f>'Sorting Q'!K7/100</f>
        <v>4.2999999999999997E-2</v>
      </c>
      <c r="K7">
        <f>'Sorting Q'!L7/100</f>
        <v>0.03</v>
      </c>
      <c r="L7">
        <f>'Sorting Q'!M7/100</f>
        <v>0.157</v>
      </c>
      <c r="M7">
        <f>'Sorting Q'!N7/100</f>
        <v>0.03</v>
      </c>
      <c r="N7">
        <f>'Sorting Q'!O7</f>
        <v>1500.18</v>
      </c>
      <c r="O7">
        <f>'Sorting Q'!P7</f>
        <v>107.9</v>
      </c>
      <c r="P7">
        <f>'Sorting Q'!Q7</f>
        <v>93.3</v>
      </c>
      <c r="Q7">
        <f>'Sorting Q'!R7</f>
        <v>112.48</v>
      </c>
      <c r="R7">
        <f>'Sorting Q'!S7/100</f>
        <v>6.2240101718585628E-2</v>
      </c>
      <c r="S7">
        <f>'Sorting Q'!T7/100</f>
        <v>4.0509843513377053E-2</v>
      </c>
      <c r="T7">
        <f>'Sorting Q'!U7/100</f>
        <v>2.1321521715123026E-3</v>
      </c>
      <c r="V7" s="1">
        <v>40724</v>
      </c>
      <c r="W7">
        <f t="shared" si="5"/>
        <v>4.4973365642731196E-2</v>
      </c>
      <c r="X7">
        <f t="shared" si="0"/>
        <v>3.4401426717332317E-2</v>
      </c>
      <c r="Y7">
        <f t="shared" si="0"/>
        <v>3.2370380030450646E-2</v>
      </c>
      <c r="Z7">
        <f t="shared" si="0"/>
        <v>1.3911575167858785</v>
      </c>
      <c r="AA7">
        <f t="shared" si="0"/>
        <v>3.1498667059371016E-2</v>
      </c>
      <c r="AB7">
        <f t="shared" si="0"/>
        <v>7.3652244288370969</v>
      </c>
      <c r="AC7">
        <f t="shared" si="0"/>
        <v>9.2912980455561076</v>
      </c>
      <c r="AD7">
        <f t="shared" si="0"/>
        <v>5.1643233151838386E-2</v>
      </c>
      <c r="AE7">
        <f t="shared" si="0"/>
        <v>4.2101176018635326E-2</v>
      </c>
      <c r="AF7">
        <f t="shared" si="0"/>
        <v>2.9558802241544429E-2</v>
      </c>
      <c r="AG7">
        <f t="shared" si="0"/>
        <v>0.14583044821153954</v>
      </c>
      <c r="AH7">
        <f t="shared" si="0"/>
        <v>2.9558802241544429E-2</v>
      </c>
      <c r="AI7">
        <f t="shared" si="0"/>
        <v>7.3140067444969246</v>
      </c>
      <c r="AJ7">
        <f t="shared" si="0"/>
        <v>4.6904300299389146</v>
      </c>
      <c r="AK7">
        <f t="shared" si="0"/>
        <v>4.5464811896394117</v>
      </c>
      <c r="AL7">
        <f t="shared" si="0"/>
        <v>4.7316266099406503</v>
      </c>
      <c r="AM7">
        <f t="shared" si="0"/>
        <v>6.0379981747279682E-2</v>
      </c>
      <c r="AN7">
        <f t="shared" si="0"/>
        <v>3.9710827175257701E-2</v>
      </c>
      <c r="AO7">
        <f t="shared" si="0"/>
        <v>2.129882360886219E-3</v>
      </c>
      <c r="AQ7" s="1">
        <v>41090</v>
      </c>
      <c r="AR7">
        <f t="shared" si="6"/>
        <v>4.974209189481401E-2</v>
      </c>
      <c r="AS7">
        <f t="shared" si="1"/>
        <v>2.0782539182528412E-2</v>
      </c>
      <c r="AT7">
        <f t="shared" si="1"/>
        <v>3.1401763139531642E-2</v>
      </c>
      <c r="AU7">
        <f t="shared" si="1"/>
        <v>1.4020446712111223</v>
      </c>
      <c r="AV7">
        <f t="shared" si="1"/>
        <v>2.8587456851912472E-2</v>
      </c>
      <c r="AW7">
        <f t="shared" si="1"/>
        <v>7.3760887643136455</v>
      </c>
      <c r="AX7">
        <f t="shared" si="1"/>
        <v>9.300238661155209</v>
      </c>
      <c r="AY7">
        <f t="shared" si="1"/>
        <v>1.3902905168991434E-2</v>
      </c>
      <c r="AZ7">
        <f t="shared" si="1"/>
        <v>5.6380333436107689E-2</v>
      </c>
      <c r="BA7">
        <f t="shared" si="1"/>
        <v>0.1275133202989597</v>
      </c>
      <c r="BB7">
        <f t="shared" si="1"/>
        <v>0.1275133202989597</v>
      </c>
      <c r="BC7">
        <f t="shared" si="1"/>
        <v>2.9558802241544429E-2</v>
      </c>
      <c r="BD7">
        <f t="shared" si="1"/>
        <v>7.4200697937995468</v>
      </c>
      <c r="BE7">
        <f t="shared" si="1"/>
        <v>4.747537427275013</v>
      </c>
      <c r="BF7">
        <f t="shared" si="1"/>
        <v>4.5664293576716606</v>
      </c>
      <c r="BG7">
        <f t="shared" si="1"/>
        <v>4.8193133551050016</v>
      </c>
      <c r="BH7">
        <f t="shared" si="1"/>
        <v>7.7779853289387788E-2</v>
      </c>
      <c r="BI7">
        <f t="shared" si="1"/>
        <v>9.9758450605557603E-2</v>
      </c>
      <c r="BJ7">
        <f t="shared" si="1"/>
        <v>4.704802744215953E-2</v>
      </c>
      <c r="BL7" s="1">
        <v>41090</v>
      </c>
      <c r="BM7">
        <f t="shared" si="7"/>
        <v>5.3540766928029761E-2</v>
      </c>
      <c r="BN7">
        <f t="shared" si="2"/>
        <v>2.9558802241544429E-2</v>
      </c>
      <c r="BO7">
        <f t="shared" si="2"/>
        <v>3.1692446732489728E-2</v>
      </c>
      <c r="BP7">
        <f t="shared" si="2"/>
        <v>1.4274842879447533</v>
      </c>
      <c r="BQ7">
        <f t="shared" si="2"/>
        <v>3.0529205034822791E-2</v>
      </c>
      <c r="BR7">
        <f t="shared" si="2"/>
        <v>7.3341530945595288</v>
      </c>
      <c r="BS7">
        <f t="shared" si="2"/>
        <v>9.2581843743900034</v>
      </c>
      <c r="BT7">
        <f t="shared" si="2"/>
        <v>5.4488185284069776E-2</v>
      </c>
      <c r="BU7">
        <f t="shared" si="2"/>
        <v>7.1389996086672999E-2</v>
      </c>
      <c r="BV7">
        <f t="shared" si="2"/>
        <v>6.2035390919452697E-2</v>
      </c>
      <c r="BW7">
        <f t="shared" si="2"/>
        <v>0.12221763272424911</v>
      </c>
      <c r="BX7">
        <f t="shared" si="2"/>
        <v>2.9558802241544429E-2</v>
      </c>
      <c r="BY7">
        <f t="shared" si="2"/>
        <v>7.3562224036348445</v>
      </c>
      <c r="BZ7">
        <f t="shared" si="2"/>
        <v>4.6756286496366526</v>
      </c>
      <c r="CA7">
        <f t="shared" si="2"/>
        <v>4.5538768916005408</v>
      </c>
      <c r="CB7">
        <f t="shared" si="2"/>
        <v>4.6856435701379677</v>
      </c>
      <c r="CC7">
        <f t="shared" si="2"/>
        <v>6.9264164296904449E-2</v>
      </c>
      <c r="CD7">
        <f t="shared" si="2"/>
        <v>0.19068557547799561</v>
      </c>
      <c r="CE7">
        <f t="shared" si="2"/>
        <v>3.3092169636214364E-2</v>
      </c>
      <c r="CG7" s="1">
        <v>41090</v>
      </c>
      <c r="CH7">
        <f t="shared" si="8"/>
        <v>5.8268908123975824E-2</v>
      </c>
      <c r="CI7">
        <f t="shared" si="3"/>
        <v>3.3434776086237419E-2</v>
      </c>
      <c r="CJ7">
        <f t="shared" si="3"/>
        <v>3.2079893463411648E-2</v>
      </c>
      <c r="CK7">
        <f t="shared" si="3"/>
        <v>1.4324620419648979</v>
      </c>
      <c r="CL7">
        <f t="shared" si="3"/>
        <v>3.2467190137501413E-2</v>
      </c>
      <c r="CM7">
        <f t="shared" si="3"/>
        <v>7.2357127966232948</v>
      </c>
      <c r="CN7">
        <f t="shared" si="3"/>
        <v>9.1483128290259348</v>
      </c>
      <c r="CO7">
        <f t="shared" si="3"/>
        <v>4.2101176018635326E-2</v>
      </c>
      <c r="CP7">
        <f t="shared" si="3"/>
        <v>3.8258712117090268E-2</v>
      </c>
      <c r="CQ7">
        <f t="shared" si="3"/>
        <v>5.5434706888100524E-2</v>
      </c>
      <c r="CR7">
        <f t="shared" si="3"/>
        <v>0.18481843699254188</v>
      </c>
      <c r="CS7">
        <f t="shared" si="3"/>
        <v>2.9558802241544429E-2</v>
      </c>
      <c r="CT7">
        <f t="shared" si="3"/>
        <v>7.3931338556435922</v>
      </c>
      <c r="CU7">
        <f t="shared" si="3"/>
        <v>4.697749367281185</v>
      </c>
      <c r="CV7">
        <f t="shared" si="3"/>
        <v>4.5485998344996972</v>
      </c>
      <c r="CW7">
        <f t="shared" si="3"/>
        <v>4.6420805400081884</v>
      </c>
      <c r="CX7">
        <f t="shared" si="3"/>
        <v>7.0383068871987767E-2</v>
      </c>
      <c r="CY7">
        <f t="shared" si="3"/>
        <v>0.17532515481535835</v>
      </c>
      <c r="CZ7">
        <f t="shared" si="3"/>
        <v>3.9331096440825067E-2</v>
      </c>
      <c r="DB7" s="1">
        <v>41090</v>
      </c>
      <c r="DC7">
        <f t="shared" si="9"/>
        <v>4.4973365642731196E-2</v>
      </c>
      <c r="DD7">
        <f t="shared" si="4"/>
        <v>3.4401426717332317E-2</v>
      </c>
      <c r="DE7">
        <f t="shared" si="4"/>
        <v>3.2370380030450646E-2</v>
      </c>
      <c r="DF7">
        <f t="shared" si="4"/>
        <v>1.3911575167858785</v>
      </c>
      <c r="DG7">
        <f t="shared" si="4"/>
        <v>3.1498667059371016E-2</v>
      </c>
      <c r="DH7">
        <f t="shared" si="4"/>
        <v>7.3652244288370969</v>
      </c>
      <c r="DI7">
        <f t="shared" si="4"/>
        <v>9.2912980455561076</v>
      </c>
      <c r="DJ7">
        <f t="shared" si="4"/>
        <v>5.1643233151838386E-2</v>
      </c>
      <c r="DK7">
        <f t="shared" si="4"/>
        <v>4.2101176018635326E-2</v>
      </c>
      <c r="DL7">
        <f t="shared" si="4"/>
        <v>2.9558802241544429E-2</v>
      </c>
      <c r="DM7">
        <f t="shared" si="4"/>
        <v>0.14583044821153954</v>
      </c>
      <c r="DN7">
        <f t="shared" si="4"/>
        <v>2.9558802241544429E-2</v>
      </c>
      <c r="DO7">
        <f t="shared" si="4"/>
        <v>7.3140067444969246</v>
      </c>
      <c r="DP7">
        <f t="shared" si="4"/>
        <v>4.6904300299389146</v>
      </c>
      <c r="DQ7">
        <f t="shared" si="4"/>
        <v>4.5464811896394117</v>
      </c>
      <c r="DR7">
        <f t="shared" si="4"/>
        <v>4.7316266099406503</v>
      </c>
      <c r="DS7">
        <f t="shared" si="4"/>
        <v>6.0379981747279682E-2</v>
      </c>
      <c r="DT7">
        <f t="shared" si="4"/>
        <v>3.9710827175257701E-2</v>
      </c>
      <c r="DU7">
        <f t="shared" si="4"/>
        <v>2.129882360886219E-3</v>
      </c>
    </row>
    <row r="8" spans="1:125" x14ac:dyDescent="0.35">
      <c r="A8" s="1">
        <v>40816</v>
      </c>
      <c r="B8">
        <f>'Sorting Q'!C8/100</f>
        <v>0.06</v>
      </c>
      <c r="C8">
        <f>'Sorting Q'!D8/100</f>
        <v>3.4000000000000002E-2</v>
      </c>
      <c r="D8">
        <f>'Sorting Q'!E8/100</f>
        <v>3.2599999999999997E-2</v>
      </c>
      <c r="E8">
        <f>'Sorting Q'!F8</f>
        <v>3.1890000000000001</v>
      </c>
      <c r="F8">
        <f>'Sorting Q'!G8/100</f>
        <v>3.3000000000000002E-2</v>
      </c>
      <c r="G8">
        <f>'Sorting Q'!H8</f>
        <v>1387.13</v>
      </c>
      <c r="H8">
        <f>'Sorting Q'!I8</f>
        <v>9397.57</v>
      </c>
      <c r="I8">
        <f>'Sorting Q'!J8/100</f>
        <v>4.2999999999999997E-2</v>
      </c>
      <c r="J8">
        <f>'Sorting Q'!K8/100</f>
        <v>3.9E-2</v>
      </c>
      <c r="K8">
        <f>'Sorting Q'!L8/100</f>
        <v>5.7000000000000002E-2</v>
      </c>
      <c r="L8">
        <f>'Sorting Q'!M8/100</f>
        <v>0.20300000000000001</v>
      </c>
      <c r="M8">
        <f>'Sorting Q'!N8/100</f>
        <v>0.03</v>
      </c>
      <c r="N8">
        <f>'Sorting Q'!O8</f>
        <v>1623.79</v>
      </c>
      <c r="O8">
        <f>'Sorting Q'!P8</f>
        <v>108.7</v>
      </c>
      <c r="P8">
        <f>'Sorting Q'!Q8</f>
        <v>93.5</v>
      </c>
      <c r="Q8">
        <f>'Sorting Q'!R8</f>
        <v>102.76</v>
      </c>
      <c r="R8">
        <f>'Sorting Q'!S8/100</f>
        <v>7.291910445432559E-2</v>
      </c>
      <c r="S8">
        <f>'Sorting Q'!T8/100</f>
        <v>0.19163361903543552</v>
      </c>
      <c r="T8">
        <f>'Sorting Q'!U8/100</f>
        <v>4.0114804955203143E-2</v>
      </c>
      <c r="V8" s="1">
        <v>40816</v>
      </c>
      <c r="W8">
        <f t="shared" si="5"/>
        <v>5.8268908123975824E-2</v>
      </c>
      <c r="X8">
        <f t="shared" si="0"/>
        <v>3.3434776086237419E-2</v>
      </c>
      <c r="Y8">
        <f t="shared" si="0"/>
        <v>3.2079893463411648E-2</v>
      </c>
      <c r="Z8">
        <f t="shared" si="0"/>
        <v>1.4324620419648979</v>
      </c>
      <c r="AA8">
        <f t="shared" si="0"/>
        <v>3.2467190137501413E-2</v>
      </c>
      <c r="AB8">
        <f t="shared" si="0"/>
        <v>7.2357127966232948</v>
      </c>
      <c r="AC8">
        <f t="shared" si="0"/>
        <v>9.1483128290259348</v>
      </c>
      <c r="AD8">
        <f t="shared" si="0"/>
        <v>4.2101176018635326E-2</v>
      </c>
      <c r="AE8">
        <f t="shared" si="0"/>
        <v>3.8258712117090268E-2</v>
      </c>
      <c r="AF8">
        <f t="shared" si="0"/>
        <v>5.5434706888100524E-2</v>
      </c>
      <c r="AG8">
        <f t="shared" si="0"/>
        <v>0.18481843699254188</v>
      </c>
      <c r="AH8">
        <f t="shared" si="0"/>
        <v>2.9558802241544429E-2</v>
      </c>
      <c r="AI8">
        <f t="shared" si="0"/>
        <v>7.3931338556435922</v>
      </c>
      <c r="AJ8">
        <f t="shared" si="0"/>
        <v>4.697749367281185</v>
      </c>
      <c r="AK8">
        <f t="shared" si="0"/>
        <v>4.5485998344996972</v>
      </c>
      <c r="AL8">
        <f t="shared" si="0"/>
        <v>4.6420805400081884</v>
      </c>
      <c r="AM8">
        <f t="shared" si="0"/>
        <v>7.0383068871987767E-2</v>
      </c>
      <c r="AN8">
        <f t="shared" si="0"/>
        <v>0.17532515481535835</v>
      </c>
      <c r="AO8">
        <f t="shared" si="0"/>
        <v>3.9331096440825067E-2</v>
      </c>
      <c r="AQ8" s="1">
        <v>41182</v>
      </c>
      <c r="AR8">
        <f t="shared" si="6"/>
        <v>5.0693114315518165E-2</v>
      </c>
      <c r="AS8">
        <f t="shared" si="1"/>
        <v>1.5873349156290163E-2</v>
      </c>
      <c r="AT8">
        <f t="shared" si="1"/>
        <v>3.1401763139531642E-2</v>
      </c>
      <c r="AU8">
        <f t="shared" si="1"/>
        <v>1.4300719834657785</v>
      </c>
      <c r="AV8">
        <f t="shared" si="1"/>
        <v>2.9558802241544429E-2</v>
      </c>
      <c r="AW8">
        <f t="shared" si="1"/>
        <v>7.3778526538336164</v>
      </c>
      <c r="AX8">
        <f t="shared" si="1"/>
        <v>9.2982266994183398</v>
      </c>
      <c r="AY8">
        <f t="shared" si="1"/>
        <v>4.9875415110389679E-3</v>
      </c>
      <c r="AZ8">
        <f t="shared" si="1"/>
        <v>7.6034686275997576E-2</v>
      </c>
      <c r="BA8">
        <f t="shared" si="1"/>
        <v>0.22474227267790678</v>
      </c>
      <c r="BB8">
        <f t="shared" si="1"/>
        <v>0.19967019512856771</v>
      </c>
      <c r="BC8">
        <f t="shared" si="1"/>
        <v>2.9558802241544429E-2</v>
      </c>
      <c r="BD8">
        <f t="shared" si="1"/>
        <v>7.3767896886863209</v>
      </c>
      <c r="BE8">
        <f t="shared" si="1"/>
        <v>4.7527277503457057</v>
      </c>
      <c r="BF8">
        <f t="shared" si="1"/>
        <v>4.5705787412184726</v>
      </c>
      <c r="BG8">
        <f t="shared" si="1"/>
        <v>4.5930976047538223</v>
      </c>
      <c r="BH8">
        <f t="shared" si="1"/>
        <v>8.9214861148841404E-2</v>
      </c>
      <c r="BI8">
        <f t="shared" si="1"/>
        <v>0.10607584495196415</v>
      </c>
      <c r="BJ8">
        <f t="shared" si="1"/>
        <v>3.6877643664088307E-2</v>
      </c>
      <c r="BL8" s="1">
        <v>41182</v>
      </c>
      <c r="BM8">
        <f t="shared" si="7"/>
        <v>4.974209189481401E-2</v>
      </c>
      <c r="BN8">
        <f t="shared" si="2"/>
        <v>2.0782539182528412E-2</v>
      </c>
      <c r="BO8">
        <f t="shared" si="2"/>
        <v>3.1401763139531642E-2</v>
      </c>
      <c r="BP8">
        <f t="shared" si="2"/>
        <v>1.4020446712111223</v>
      </c>
      <c r="BQ8">
        <f t="shared" si="2"/>
        <v>2.8587456851912472E-2</v>
      </c>
      <c r="BR8">
        <f t="shared" si="2"/>
        <v>7.3760887643136455</v>
      </c>
      <c r="BS8">
        <f t="shared" si="2"/>
        <v>9.300238661155209</v>
      </c>
      <c r="BT8">
        <f t="shared" si="2"/>
        <v>1.3902905168991434E-2</v>
      </c>
      <c r="BU8">
        <f t="shared" si="2"/>
        <v>5.6380333436107689E-2</v>
      </c>
      <c r="BV8">
        <f t="shared" si="2"/>
        <v>0.1275133202989597</v>
      </c>
      <c r="BW8">
        <f t="shared" si="2"/>
        <v>0.1275133202989597</v>
      </c>
      <c r="BX8">
        <f t="shared" si="2"/>
        <v>2.9558802241544429E-2</v>
      </c>
      <c r="BY8">
        <f t="shared" si="2"/>
        <v>7.4200697937995468</v>
      </c>
      <c r="BZ8">
        <f t="shared" si="2"/>
        <v>4.747537427275013</v>
      </c>
      <c r="CA8">
        <f t="shared" si="2"/>
        <v>4.5664293576716606</v>
      </c>
      <c r="CB8">
        <f t="shared" si="2"/>
        <v>4.8193133551050016</v>
      </c>
      <c r="CC8">
        <f t="shared" si="2"/>
        <v>7.7779853289387788E-2</v>
      </c>
      <c r="CD8">
        <f t="shared" si="2"/>
        <v>9.9758450605557603E-2</v>
      </c>
      <c r="CE8">
        <f t="shared" si="2"/>
        <v>4.704802744215953E-2</v>
      </c>
      <c r="CG8" s="1">
        <v>41182</v>
      </c>
      <c r="CH8">
        <f t="shared" si="8"/>
        <v>5.3540766928029761E-2</v>
      </c>
      <c r="CI8">
        <f t="shared" si="3"/>
        <v>2.9558802241544429E-2</v>
      </c>
      <c r="CJ8">
        <f t="shared" si="3"/>
        <v>3.1692446732489728E-2</v>
      </c>
      <c r="CK8">
        <f t="shared" si="3"/>
        <v>1.4274842879447533</v>
      </c>
      <c r="CL8">
        <f t="shared" si="3"/>
        <v>3.0529205034822791E-2</v>
      </c>
      <c r="CM8">
        <f t="shared" si="3"/>
        <v>7.3341530945595288</v>
      </c>
      <c r="CN8">
        <f t="shared" si="3"/>
        <v>9.2581843743900034</v>
      </c>
      <c r="CO8">
        <f t="shared" si="3"/>
        <v>5.4488185284069776E-2</v>
      </c>
      <c r="CP8">
        <f t="shared" si="3"/>
        <v>7.1389996086672999E-2</v>
      </c>
      <c r="CQ8">
        <f t="shared" si="3"/>
        <v>6.2035390919452697E-2</v>
      </c>
      <c r="CR8">
        <f t="shared" si="3"/>
        <v>0.12221763272424911</v>
      </c>
      <c r="CS8">
        <f t="shared" si="3"/>
        <v>2.9558802241544429E-2</v>
      </c>
      <c r="CT8">
        <f t="shared" si="3"/>
        <v>7.3562224036348445</v>
      </c>
      <c r="CU8">
        <f t="shared" si="3"/>
        <v>4.6756286496366526</v>
      </c>
      <c r="CV8">
        <f t="shared" si="3"/>
        <v>4.5538768916005408</v>
      </c>
      <c r="CW8">
        <f t="shared" si="3"/>
        <v>4.6856435701379677</v>
      </c>
      <c r="CX8">
        <f t="shared" si="3"/>
        <v>6.9264164296904449E-2</v>
      </c>
      <c r="CY8">
        <f t="shared" si="3"/>
        <v>0.19068557547799561</v>
      </c>
      <c r="CZ8">
        <f t="shared" si="3"/>
        <v>3.3092169636214364E-2</v>
      </c>
      <c r="DB8" s="1">
        <v>41182</v>
      </c>
      <c r="DC8">
        <f t="shared" si="9"/>
        <v>5.8268908123975824E-2</v>
      </c>
      <c r="DD8">
        <f t="shared" si="4"/>
        <v>3.3434776086237419E-2</v>
      </c>
      <c r="DE8">
        <f t="shared" si="4"/>
        <v>3.2079893463411648E-2</v>
      </c>
      <c r="DF8">
        <f t="shared" si="4"/>
        <v>1.4324620419648979</v>
      </c>
      <c r="DG8">
        <f t="shared" si="4"/>
        <v>3.2467190137501413E-2</v>
      </c>
      <c r="DH8">
        <f t="shared" si="4"/>
        <v>7.2357127966232948</v>
      </c>
      <c r="DI8">
        <f t="shared" si="4"/>
        <v>9.1483128290259348</v>
      </c>
      <c r="DJ8">
        <f t="shared" si="4"/>
        <v>4.2101176018635326E-2</v>
      </c>
      <c r="DK8">
        <f t="shared" si="4"/>
        <v>3.8258712117090268E-2</v>
      </c>
      <c r="DL8">
        <f t="shared" si="4"/>
        <v>5.5434706888100524E-2</v>
      </c>
      <c r="DM8">
        <f t="shared" si="4"/>
        <v>0.18481843699254188</v>
      </c>
      <c r="DN8">
        <f t="shared" si="4"/>
        <v>2.9558802241544429E-2</v>
      </c>
      <c r="DO8">
        <f t="shared" si="4"/>
        <v>7.3931338556435922</v>
      </c>
      <c r="DP8">
        <f t="shared" si="4"/>
        <v>4.697749367281185</v>
      </c>
      <c r="DQ8">
        <f t="shared" si="4"/>
        <v>4.5485998344996972</v>
      </c>
      <c r="DR8">
        <f t="shared" si="4"/>
        <v>4.6420805400081884</v>
      </c>
      <c r="DS8">
        <f t="shared" si="4"/>
        <v>7.0383068871987767E-2</v>
      </c>
      <c r="DT8">
        <f t="shared" si="4"/>
        <v>0.17532515481535835</v>
      </c>
      <c r="DU8">
        <f t="shared" si="4"/>
        <v>3.9331096440825067E-2</v>
      </c>
    </row>
    <row r="9" spans="1:125" x14ac:dyDescent="0.35">
      <c r="A9" s="1">
        <v>40908</v>
      </c>
      <c r="B9">
        <f>'Sorting Q'!C9/100</f>
        <v>5.5E-2</v>
      </c>
      <c r="C9">
        <f>'Sorting Q'!D9/100</f>
        <v>0.03</v>
      </c>
      <c r="D9">
        <f>'Sorting Q'!E9/100</f>
        <v>3.2199999999999999E-2</v>
      </c>
      <c r="E9">
        <f>'Sorting Q'!F9</f>
        <v>3.1682000000000001</v>
      </c>
      <c r="F9">
        <f>'Sorting Q'!G9/100</f>
        <v>3.1E-2</v>
      </c>
      <c r="G9">
        <f>'Sorting Q'!H9</f>
        <v>1530.73</v>
      </c>
      <c r="H9">
        <f>'Sorting Q'!I9</f>
        <v>10489.07</v>
      </c>
      <c r="I9">
        <f>'Sorting Q'!J9/100</f>
        <v>5.5999999999999994E-2</v>
      </c>
      <c r="J9">
        <f>'Sorting Q'!K9/100</f>
        <v>7.400000000000001E-2</v>
      </c>
      <c r="K9">
        <f>'Sorting Q'!L9/100</f>
        <v>6.4000000000000001E-2</v>
      </c>
      <c r="L9">
        <f>'Sorting Q'!M9/100</f>
        <v>0.13</v>
      </c>
      <c r="M9">
        <f>'Sorting Q'!N9/100</f>
        <v>0.03</v>
      </c>
      <c r="N9">
        <f>'Sorting Q'!O9</f>
        <v>1564.91</v>
      </c>
      <c r="O9">
        <f>'Sorting Q'!P9</f>
        <v>106.3</v>
      </c>
      <c r="P9">
        <f>'Sorting Q'!Q9</f>
        <v>94</v>
      </c>
      <c r="Q9">
        <f>'Sorting Q'!R9</f>
        <v>107.38</v>
      </c>
      <c r="R9">
        <f>'Sorting Q'!S9/100</f>
        <v>7.1719281728402251E-2</v>
      </c>
      <c r="S9">
        <f>'Sorting Q'!T9/100</f>
        <v>0.2100789137750958</v>
      </c>
      <c r="T9">
        <f>'Sorting Q'!U9/100</f>
        <v>3.3645805608782275E-2</v>
      </c>
      <c r="V9" s="1">
        <v>40908</v>
      </c>
      <c r="W9">
        <f t="shared" si="5"/>
        <v>5.3540766928029761E-2</v>
      </c>
      <c r="X9">
        <f t="shared" si="0"/>
        <v>2.9558802241544429E-2</v>
      </c>
      <c r="Y9">
        <f t="shared" si="0"/>
        <v>3.1692446732489728E-2</v>
      </c>
      <c r="Z9">
        <f t="shared" si="0"/>
        <v>1.4274842879447533</v>
      </c>
      <c r="AA9">
        <f t="shared" si="0"/>
        <v>3.0529205034822791E-2</v>
      </c>
      <c r="AB9">
        <f t="shared" si="0"/>
        <v>7.3341530945595288</v>
      </c>
      <c r="AC9">
        <f t="shared" si="0"/>
        <v>9.2581843743900034</v>
      </c>
      <c r="AD9">
        <f t="shared" si="0"/>
        <v>5.4488185284069776E-2</v>
      </c>
      <c r="AE9">
        <f t="shared" si="0"/>
        <v>7.1389996086672999E-2</v>
      </c>
      <c r="AF9">
        <f t="shared" si="0"/>
        <v>6.2035390919452697E-2</v>
      </c>
      <c r="AG9">
        <f t="shared" si="0"/>
        <v>0.12221763272424911</v>
      </c>
      <c r="AH9">
        <f t="shared" si="0"/>
        <v>2.9558802241544429E-2</v>
      </c>
      <c r="AI9">
        <f t="shared" si="0"/>
        <v>7.3562224036348445</v>
      </c>
      <c r="AJ9">
        <f t="shared" si="0"/>
        <v>4.6756286496366526</v>
      </c>
      <c r="AK9">
        <f t="shared" si="0"/>
        <v>4.5538768916005408</v>
      </c>
      <c r="AL9">
        <f t="shared" si="0"/>
        <v>4.6856435701379677</v>
      </c>
      <c r="AM9">
        <f t="shared" si="0"/>
        <v>6.9264164296904449E-2</v>
      </c>
      <c r="AN9">
        <f t="shared" si="0"/>
        <v>0.19068557547799561</v>
      </c>
      <c r="AO9">
        <f t="shared" si="0"/>
        <v>3.3092169636214364E-2</v>
      </c>
      <c r="AQ9" s="1">
        <v>41274</v>
      </c>
      <c r="AR9">
        <f t="shared" si="6"/>
        <v>4.8790164169432049E-2</v>
      </c>
      <c r="AS9">
        <f t="shared" si="1"/>
        <v>1.2916225266546229E-2</v>
      </c>
      <c r="AT9">
        <f t="shared" si="1"/>
        <v>3.1498667059371016E-2</v>
      </c>
      <c r="AU9">
        <f t="shared" si="1"/>
        <v>1.4008134472190934</v>
      </c>
      <c r="AV9">
        <f t="shared" si="1"/>
        <v>3.1498667059371016E-2</v>
      </c>
      <c r="AW9">
        <f t="shared" si="1"/>
        <v>7.4010236726597673</v>
      </c>
      <c r="AX9">
        <f t="shared" si="1"/>
        <v>9.315381236551044</v>
      </c>
      <c r="AY9">
        <f t="shared" si="1"/>
        <v>-4.5928931888399735E-2</v>
      </c>
      <c r="AZ9">
        <f t="shared" si="1"/>
        <v>1.8821754240587667E-2</v>
      </c>
      <c r="BA9">
        <f t="shared" si="1"/>
        <v>0.19392069263730649</v>
      </c>
      <c r="BB9">
        <f t="shared" si="1"/>
        <v>0.18730909830499368</v>
      </c>
      <c r="BC9">
        <f t="shared" si="1"/>
        <v>2.9558802241544429E-2</v>
      </c>
      <c r="BD9">
        <f t="shared" si="1"/>
        <v>7.4805693000821964</v>
      </c>
      <c r="BE9">
        <f t="shared" si="1"/>
        <v>4.78164132910387</v>
      </c>
      <c r="BF9">
        <f t="shared" si="1"/>
        <v>4.5612182984589085</v>
      </c>
      <c r="BG9">
        <f t="shared" si="1"/>
        <v>4.7308332039837486</v>
      </c>
      <c r="BH9">
        <f t="shared" si="1"/>
        <v>8.8345728250609851E-2</v>
      </c>
      <c r="BI9">
        <f t="shared" si="1"/>
        <v>2.9963468236974215E-2</v>
      </c>
      <c r="BJ9">
        <f t="shared" si="1"/>
        <v>1.6422032260310832E-2</v>
      </c>
      <c r="BL9" s="1">
        <v>41274</v>
      </c>
      <c r="BM9">
        <f t="shared" si="7"/>
        <v>5.0693114315518165E-2</v>
      </c>
      <c r="BN9">
        <f t="shared" si="2"/>
        <v>1.5873349156290163E-2</v>
      </c>
      <c r="BO9">
        <f t="shared" si="2"/>
        <v>3.1401763139531642E-2</v>
      </c>
      <c r="BP9">
        <f t="shared" si="2"/>
        <v>1.4300719834657785</v>
      </c>
      <c r="BQ9">
        <f t="shared" si="2"/>
        <v>2.9558802241544429E-2</v>
      </c>
      <c r="BR9">
        <f t="shared" si="2"/>
        <v>7.3778526538336164</v>
      </c>
      <c r="BS9">
        <f t="shared" si="2"/>
        <v>9.2982266994183398</v>
      </c>
      <c r="BT9">
        <f t="shared" si="2"/>
        <v>4.9875415110389679E-3</v>
      </c>
      <c r="BU9">
        <f t="shared" si="2"/>
        <v>7.6034686275997576E-2</v>
      </c>
      <c r="BV9">
        <f t="shared" si="2"/>
        <v>0.22474227267790678</v>
      </c>
      <c r="BW9">
        <f t="shared" si="2"/>
        <v>0.19967019512856771</v>
      </c>
      <c r="BX9">
        <f t="shared" si="2"/>
        <v>2.9558802241544429E-2</v>
      </c>
      <c r="BY9">
        <f t="shared" si="2"/>
        <v>7.3767896886863209</v>
      </c>
      <c r="BZ9">
        <f t="shared" si="2"/>
        <v>4.7527277503457057</v>
      </c>
      <c r="CA9">
        <f t="shared" si="2"/>
        <v>4.5705787412184726</v>
      </c>
      <c r="CB9">
        <f t="shared" si="2"/>
        <v>4.5930976047538223</v>
      </c>
      <c r="CC9">
        <f t="shared" si="2"/>
        <v>8.9214861148841404E-2</v>
      </c>
      <c r="CD9">
        <f t="shared" si="2"/>
        <v>0.10607584495196415</v>
      </c>
      <c r="CE9">
        <f t="shared" si="2"/>
        <v>3.6877643664088307E-2</v>
      </c>
      <c r="CG9" s="1">
        <v>41274</v>
      </c>
      <c r="CH9">
        <f t="shared" si="8"/>
        <v>4.974209189481401E-2</v>
      </c>
      <c r="CI9">
        <f t="shared" si="3"/>
        <v>2.0782539182528412E-2</v>
      </c>
      <c r="CJ9">
        <f t="shared" si="3"/>
        <v>3.1401763139531642E-2</v>
      </c>
      <c r="CK9">
        <f t="shared" si="3"/>
        <v>1.4020446712111223</v>
      </c>
      <c r="CL9">
        <f t="shared" si="3"/>
        <v>2.8587456851912472E-2</v>
      </c>
      <c r="CM9">
        <f t="shared" si="3"/>
        <v>7.3760887643136455</v>
      </c>
      <c r="CN9">
        <f t="shared" si="3"/>
        <v>9.300238661155209</v>
      </c>
      <c r="CO9">
        <f t="shared" si="3"/>
        <v>1.3902905168991434E-2</v>
      </c>
      <c r="CP9">
        <f t="shared" si="3"/>
        <v>5.6380333436107689E-2</v>
      </c>
      <c r="CQ9">
        <f t="shared" si="3"/>
        <v>0.1275133202989597</v>
      </c>
      <c r="CR9">
        <f t="shared" si="3"/>
        <v>0.1275133202989597</v>
      </c>
      <c r="CS9">
        <f t="shared" si="3"/>
        <v>2.9558802241544429E-2</v>
      </c>
      <c r="CT9">
        <f t="shared" si="3"/>
        <v>7.4200697937995468</v>
      </c>
      <c r="CU9">
        <f t="shared" si="3"/>
        <v>4.747537427275013</v>
      </c>
      <c r="CV9">
        <f t="shared" si="3"/>
        <v>4.5664293576716606</v>
      </c>
      <c r="CW9">
        <f t="shared" si="3"/>
        <v>4.8193133551050016</v>
      </c>
      <c r="CX9">
        <f t="shared" si="3"/>
        <v>7.7779853289387788E-2</v>
      </c>
      <c r="CY9">
        <f t="shared" si="3"/>
        <v>9.9758450605557603E-2</v>
      </c>
      <c r="CZ9">
        <f t="shared" si="3"/>
        <v>4.704802744215953E-2</v>
      </c>
      <c r="DB9" s="1">
        <v>41274</v>
      </c>
      <c r="DC9">
        <f t="shared" si="9"/>
        <v>5.3540766928029761E-2</v>
      </c>
      <c r="DD9">
        <f t="shared" si="4"/>
        <v>2.9558802241544429E-2</v>
      </c>
      <c r="DE9">
        <f t="shared" si="4"/>
        <v>3.1692446732489728E-2</v>
      </c>
      <c r="DF9">
        <f t="shared" si="4"/>
        <v>1.4274842879447533</v>
      </c>
      <c r="DG9">
        <f t="shared" si="4"/>
        <v>3.0529205034822791E-2</v>
      </c>
      <c r="DH9">
        <f t="shared" si="4"/>
        <v>7.3341530945595288</v>
      </c>
      <c r="DI9">
        <f t="shared" si="4"/>
        <v>9.2581843743900034</v>
      </c>
      <c r="DJ9">
        <f t="shared" si="4"/>
        <v>5.4488185284069776E-2</v>
      </c>
      <c r="DK9">
        <f t="shared" si="4"/>
        <v>7.1389996086672999E-2</v>
      </c>
      <c r="DL9">
        <f t="shared" si="4"/>
        <v>6.2035390919452697E-2</v>
      </c>
      <c r="DM9">
        <f t="shared" si="4"/>
        <v>0.12221763272424911</v>
      </c>
      <c r="DN9">
        <f t="shared" si="4"/>
        <v>2.9558802241544429E-2</v>
      </c>
      <c r="DO9">
        <f t="shared" si="4"/>
        <v>7.3562224036348445</v>
      </c>
      <c r="DP9">
        <f t="shared" si="4"/>
        <v>4.6756286496366526</v>
      </c>
      <c r="DQ9">
        <f t="shared" si="4"/>
        <v>4.5538768916005408</v>
      </c>
      <c r="DR9">
        <f t="shared" si="4"/>
        <v>4.6856435701379677</v>
      </c>
      <c r="DS9">
        <f t="shared" si="4"/>
        <v>6.9264164296904449E-2</v>
      </c>
      <c r="DT9">
        <f t="shared" si="4"/>
        <v>0.19068557547799561</v>
      </c>
      <c r="DU9">
        <f t="shared" si="4"/>
        <v>3.3092169636214364E-2</v>
      </c>
    </row>
    <row r="10" spans="1:125" x14ac:dyDescent="0.35">
      <c r="A10" s="1">
        <v>40999</v>
      </c>
      <c r="B10">
        <f>'Sorting Q'!C10/100</f>
        <v>5.0999999999999997E-2</v>
      </c>
      <c r="C10">
        <f>'Sorting Q'!D10/100</f>
        <v>2.1000000000000001E-2</v>
      </c>
      <c r="D10">
        <f>'Sorting Q'!E10/100</f>
        <v>3.1899999999999998E-2</v>
      </c>
      <c r="E10">
        <f>'Sorting Q'!F10</f>
        <v>3.0634999999999999</v>
      </c>
      <c r="F10">
        <f>'Sorting Q'!G10/100</f>
        <v>2.8999999999999998E-2</v>
      </c>
      <c r="G10">
        <f>'Sorting Q'!H10</f>
        <v>1596.33</v>
      </c>
      <c r="H10">
        <f>'Sorting Q'!I10</f>
        <v>10939.63</v>
      </c>
      <c r="I10">
        <f>'Sorting Q'!J10/100</f>
        <v>1.3999999999999999E-2</v>
      </c>
      <c r="J10">
        <f>'Sorting Q'!K10/100</f>
        <v>5.7999999999999996E-2</v>
      </c>
      <c r="K10">
        <f>'Sorting Q'!L10/100</f>
        <v>0.13600000000000001</v>
      </c>
      <c r="L10">
        <f>'Sorting Q'!M10/100</f>
        <v>0.13600000000000001</v>
      </c>
      <c r="M10">
        <f>'Sorting Q'!N10/100</f>
        <v>0.03</v>
      </c>
      <c r="N10">
        <f>'Sorting Q'!O10</f>
        <v>1668.15</v>
      </c>
      <c r="O10">
        <f>'Sorting Q'!P10</f>
        <v>114.3</v>
      </c>
      <c r="P10">
        <f>'Sorting Q'!Q10</f>
        <v>95.2</v>
      </c>
      <c r="Q10">
        <f>'Sorting Q'!R10</f>
        <v>122.88</v>
      </c>
      <c r="R10">
        <f>'Sorting Q'!S10/100</f>
        <v>8.0884679269160889E-2</v>
      </c>
      <c r="S10">
        <f>'Sorting Q'!T10/100</f>
        <v>0.10490399694824726</v>
      </c>
      <c r="T10">
        <f>'Sorting Q'!U10/100</f>
        <v>4.8172348907659757E-2</v>
      </c>
      <c r="V10" s="1">
        <v>40999</v>
      </c>
      <c r="W10">
        <f t="shared" si="5"/>
        <v>4.974209189481401E-2</v>
      </c>
      <c r="X10">
        <f t="shared" si="0"/>
        <v>2.0782539182528412E-2</v>
      </c>
      <c r="Y10">
        <f t="shared" si="0"/>
        <v>3.1401763139531642E-2</v>
      </c>
      <c r="Z10">
        <f t="shared" si="0"/>
        <v>1.4020446712111223</v>
      </c>
      <c r="AA10">
        <f t="shared" si="0"/>
        <v>2.8587456851912472E-2</v>
      </c>
      <c r="AB10">
        <f t="shared" si="0"/>
        <v>7.3760887643136455</v>
      </c>
      <c r="AC10">
        <f t="shared" si="0"/>
        <v>9.300238661155209</v>
      </c>
      <c r="AD10">
        <f t="shared" si="0"/>
        <v>1.3902905168991434E-2</v>
      </c>
      <c r="AE10">
        <f t="shared" si="0"/>
        <v>5.6380333436107689E-2</v>
      </c>
      <c r="AF10">
        <f t="shared" si="0"/>
        <v>0.1275133202989597</v>
      </c>
      <c r="AG10">
        <f t="shared" si="0"/>
        <v>0.1275133202989597</v>
      </c>
      <c r="AH10">
        <f t="shared" si="0"/>
        <v>2.9558802241544429E-2</v>
      </c>
      <c r="AI10">
        <f t="shared" si="0"/>
        <v>7.4200697937995468</v>
      </c>
      <c r="AJ10">
        <f t="shared" si="0"/>
        <v>4.747537427275013</v>
      </c>
      <c r="AK10">
        <f t="shared" si="0"/>
        <v>4.5664293576716606</v>
      </c>
      <c r="AL10">
        <f t="shared" si="0"/>
        <v>4.8193133551050016</v>
      </c>
      <c r="AM10">
        <f t="shared" si="0"/>
        <v>7.7779853289387788E-2</v>
      </c>
      <c r="AN10">
        <f t="shared" si="0"/>
        <v>9.9758450605557603E-2</v>
      </c>
      <c r="AO10">
        <f t="shared" si="0"/>
        <v>4.704802744215953E-2</v>
      </c>
      <c r="AQ10" s="1">
        <v>41364</v>
      </c>
      <c r="AR10">
        <f t="shared" si="6"/>
        <v>6.2974799161388387E-2</v>
      </c>
      <c r="AS10">
        <f t="shared" si="1"/>
        <v>1.1928570865273812E-2</v>
      </c>
      <c r="AT10">
        <f t="shared" si="1"/>
        <v>3.1595561589750583E-2</v>
      </c>
      <c r="AU10">
        <f t="shared" si="1"/>
        <v>1.4008134472190934</v>
      </c>
      <c r="AV10">
        <f t="shared" si="1"/>
        <v>3.2467190137501413E-2</v>
      </c>
      <c r="AW10">
        <f t="shared" si="1"/>
        <v>7.4324542216806346</v>
      </c>
      <c r="AX10">
        <f t="shared" si="1"/>
        <v>9.3447960872828446</v>
      </c>
      <c r="AY10">
        <f t="shared" si="1"/>
        <v>-3.9220713153281329E-2</v>
      </c>
      <c r="AZ10">
        <f t="shared" si="1"/>
        <v>-3.2467190137501413E-2</v>
      </c>
      <c r="BA10">
        <f t="shared" si="1"/>
        <v>0.14410034397375687</v>
      </c>
      <c r="BB10">
        <f t="shared" si="1"/>
        <v>0.13976194237515863</v>
      </c>
      <c r="BC10">
        <f t="shared" si="1"/>
        <v>2.9558802241544429E-2</v>
      </c>
      <c r="BD10">
        <f t="shared" si="1"/>
        <v>7.4243740897888904</v>
      </c>
      <c r="BE10">
        <f t="shared" si="1"/>
        <v>4.7849886125639278</v>
      </c>
      <c r="BF10">
        <f t="shared" si="1"/>
        <v>4.5695430083449402</v>
      </c>
      <c r="BG10">
        <f t="shared" si="1"/>
        <v>4.7194805321655018</v>
      </c>
      <c r="BH10">
        <f t="shared" si="1"/>
        <v>6.5461754233739317E-2</v>
      </c>
      <c r="BI10">
        <f t="shared" si="1"/>
        <v>7.523950796144532E-3</v>
      </c>
      <c r="BJ10">
        <f t="shared" si="1"/>
        <v>6.345863661489469E-2</v>
      </c>
      <c r="BL10" s="1">
        <v>41364</v>
      </c>
      <c r="BM10">
        <f t="shared" si="7"/>
        <v>4.8790164169432049E-2</v>
      </c>
      <c r="BN10">
        <f t="shared" si="2"/>
        <v>1.2916225266546229E-2</v>
      </c>
      <c r="BO10">
        <f t="shared" si="2"/>
        <v>3.1498667059371016E-2</v>
      </c>
      <c r="BP10">
        <f t="shared" si="2"/>
        <v>1.4008134472190934</v>
      </c>
      <c r="BQ10">
        <f t="shared" si="2"/>
        <v>3.1498667059371016E-2</v>
      </c>
      <c r="BR10">
        <f t="shared" si="2"/>
        <v>7.4010236726597673</v>
      </c>
      <c r="BS10">
        <f t="shared" si="2"/>
        <v>9.315381236551044</v>
      </c>
      <c r="BT10">
        <f t="shared" si="2"/>
        <v>-4.5928931888399735E-2</v>
      </c>
      <c r="BU10">
        <f t="shared" si="2"/>
        <v>1.8821754240587667E-2</v>
      </c>
      <c r="BV10">
        <f t="shared" si="2"/>
        <v>0.19392069263730649</v>
      </c>
      <c r="BW10">
        <f t="shared" si="2"/>
        <v>0.18730909830499368</v>
      </c>
      <c r="BX10">
        <f t="shared" si="2"/>
        <v>2.9558802241544429E-2</v>
      </c>
      <c r="BY10">
        <f t="shared" si="2"/>
        <v>7.4805693000821964</v>
      </c>
      <c r="BZ10">
        <f t="shared" si="2"/>
        <v>4.78164132910387</v>
      </c>
      <c r="CA10">
        <f t="shared" si="2"/>
        <v>4.5612182984589085</v>
      </c>
      <c r="CB10">
        <f t="shared" si="2"/>
        <v>4.7308332039837486</v>
      </c>
      <c r="CC10">
        <f t="shared" si="2"/>
        <v>8.8345728250609851E-2</v>
      </c>
      <c r="CD10">
        <f t="shared" si="2"/>
        <v>2.9963468236974215E-2</v>
      </c>
      <c r="CE10">
        <f t="shared" si="2"/>
        <v>1.6422032260310832E-2</v>
      </c>
      <c r="CG10" s="1">
        <v>41364</v>
      </c>
      <c r="CH10">
        <f t="shared" si="8"/>
        <v>5.0693114315518165E-2</v>
      </c>
      <c r="CI10">
        <f t="shared" si="3"/>
        <v>1.5873349156290163E-2</v>
      </c>
      <c r="CJ10">
        <f t="shared" si="3"/>
        <v>3.1401763139531642E-2</v>
      </c>
      <c r="CK10">
        <f t="shared" si="3"/>
        <v>1.4300719834657785</v>
      </c>
      <c r="CL10">
        <f t="shared" si="3"/>
        <v>2.9558802241544429E-2</v>
      </c>
      <c r="CM10">
        <f t="shared" si="3"/>
        <v>7.3778526538336164</v>
      </c>
      <c r="CN10">
        <f t="shared" si="3"/>
        <v>9.2982266994183398</v>
      </c>
      <c r="CO10">
        <f t="shared" si="3"/>
        <v>4.9875415110389679E-3</v>
      </c>
      <c r="CP10">
        <f t="shared" si="3"/>
        <v>7.6034686275997576E-2</v>
      </c>
      <c r="CQ10">
        <f t="shared" si="3"/>
        <v>0.22474227267790678</v>
      </c>
      <c r="CR10">
        <f t="shared" si="3"/>
        <v>0.19967019512856771</v>
      </c>
      <c r="CS10">
        <f t="shared" si="3"/>
        <v>2.9558802241544429E-2</v>
      </c>
      <c r="CT10">
        <f t="shared" si="3"/>
        <v>7.3767896886863209</v>
      </c>
      <c r="CU10">
        <f t="shared" si="3"/>
        <v>4.7527277503457057</v>
      </c>
      <c r="CV10">
        <f t="shared" si="3"/>
        <v>4.5705787412184726</v>
      </c>
      <c r="CW10">
        <f t="shared" si="3"/>
        <v>4.5930976047538223</v>
      </c>
      <c r="CX10">
        <f t="shared" si="3"/>
        <v>8.9214861148841404E-2</v>
      </c>
      <c r="CY10">
        <f t="shared" si="3"/>
        <v>0.10607584495196415</v>
      </c>
      <c r="CZ10">
        <f t="shared" si="3"/>
        <v>3.6877643664088307E-2</v>
      </c>
      <c r="DB10" s="1">
        <v>41364</v>
      </c>
      <c r="DC10">
        <f t="shared" si="9"/>
        <v>4.974209189481401E-2</v>
      </c>
      <c r="DD10">
        <f t="shared" si="4"/>
        <v>2.0782539182528412E-2</v>
      </c>
      <c r="DE10">
        <f t="shared" si="4"/>
        <v>3.1401763139531642E-2</v>
      </c>
      <c r="DF10">
        <f t="shared" si="4"/>
        <v>1.4020446712111223</v>
      </c>
      <c r="DG10">
        <f t="shared" si="4"/>
        <v>2.8587456851912472E-2</v>
      </c>
      <c r="DH10">
        <f t="shared" si="4"/>
        <v>7.3760887643136455</v>
      </c>
      <c r="DI10">
        <f t="shared" si="4"/>
        <v>9.300238661155209</v>
      </c>
      <c r="DJ10">
        <f t="shared" si="4"/>
        <v>1.3902905168991434E-2</v>
      </c>
      <c r="DK10">
        <f t="shared" si="4"/>
        <v>5.6380333436107689E-2</v>
      </c>
      <c r="DL10">
        <f t="shared" si="4"/>
        <v>0.1275133202989597</v>
      </c>
      <c r="DM10">
        <f t="shared" si="4"/>
        <v>0.1275133202989597</v>
      </c>
      <c r="DN10">
        <f t="shared" si="4"/>
        <v>2.9558802241544429E-2</v>
      </c>
      <c r="DO10">
        <f t="shared" si="4"/>
        <v>7.4200697937995468</v>
      </c>
      <c r="DP10">
        <f t="shared" si="4"/>
        <v>4.747537427275013</v>
      </c>
      <c r="DQ10">
        <f t="shared" si="4"/>
        <v>4.5664293576716606</v>
      </c>
      <c r="DR10">
        <f t="shared" si="4"/>
        <v>4.8193133551050016</v>
      </c>
      <c r="DS10">
        <f t="shared" si="4"/>
        <v>7.7779853289387788E-2</v>
      </c>
      <c r="DT10">
        <f t="shared" si="4"/>
        <v>9.9758450605557603E-2</v>
      </c>
      <c r="DU10">
        <f t="shared" si="4"/>
        <v>4.704802744215953E-2</v>
      </c>
    </row>
    <row r="11" spans="1:125" x14ac:dyDescent="0.35">
      <c r="A11" s="1">
        <v>41090</v>
      </c>
      <c r="B11">
        <f>'Sorting Q'!C11/100</f>
        <v>5.2000000000000005E-2</v>
      </c>
      <c r="C11">
        <f>'Sorting Q'!D11/100</f>
        <v>1.6E-2</v>
      </c>
      <c r="D11">
        <f>'Sorting Q'!E11/100</f>
        <v>3.1899999999999998E-2</v>
      </c>
      <c r="E11">
        <f>'Sorting Q'!F11</f>
        <v>3.1789999999999998</v>
      </c>
      <c r="F11">
        <f>'Sorting Q'!G11/100</f>
        <v>0.03</v>
      </c>
      <c r="G11">
        <f>'Sorting Q'!H11</f>
        <v>1599.15</v>
      </c>
      <c r="H11">
        <f>'Sorting Q'!I11</f>
        <v>10917.64</v>
      </c>
      <c r="I11">
        <f>'Sorting Q'!J11/100</f>
        <v>5.0000000000000001E-3</v>
      </c>
      <c r="J11">
        <f>'Sorting Q'!K11/100</f>
        <v>7.9000000000000001E-2</v>
      </c>
      <c r="K11">
        <f>'Sorting Q'!L11/100</f>
        <v>0.252</v>
      </c>
      <c r="L11">
        <f>'Sorting Q'!M11/100</f>
        <v>0.221</v>
      </c>
      <c r="M11">
        <f>'Sorting Q'!N11/100</f>
        <v>0.03</v>
      </c>
      <c r="N11">
        <f>'Sorting Q'!O11</f>
        <v>1597.45</v>
      </c>
      <c r="O11">
        <f>'Sorting Q'!P11</f>
        <v>114.9</v>
      </c>
      <c r="P11">
        <f>'Sorting Q'!Q11</f>
        <v>95.6</v>
      </c>
      <c r="Q11">
        <f>'Sorting Q'!R11</f>
        <v>97.8</v>
      </c>
      <c r="R11">
        <f>'Sorting Q'!S11/100</f>
        <v>9.3315542124937423E-2</v>
      </c>
      <c r="S11">
        <f>'Sorting Q'!T11/100</f>
        <v>0.11190620578128163</v>
      </c>
      <c r="T11">
        <f>'Sorting Q'!U11/100</f>
        <v>3.7566060289698333E-2</v>
      </c>
      <c r="V11" s="1">
        <v>41090</v>
      </c>
      <c r="W11">
        <f t="shared" si="5"/>
        <v>5.0693114315518165E-2</v>
      </c>
      <c r="X11">
        <f t="shared" si="0"/>
        <v>1.5873349156290163E-2</v>
      </c>
      <c r="Y11">
        <f t="shared" si="0"/>
        <v>3.1401763139531642E-2</v>
      </c>
      <c r="Z11">
        <f t="shared" si="0"/>
        <v>1.4300719834657785</v>
      </c>
      <c r="AA11">
        <f t="shared" si="0"/>
        <v>2.9558802241544429E-2</v>
      </c>
      <c r="AB11">
        <f t="shared" si="0"/>
        <v>7.3778526538336164</v>
      </c>
      <c r="AC11">
        <f t="shared" si="0"/>
        <v>9.2982266994183398</v>
      </c>
      <c r="AD11">
        <f t="shared" si="0"/>
        <v>4.9875415110389679E-3</v>
      </c>
      <c r="AE11">
        <f t="shared" si="0"/>
        <v>7.6034686275997576E-2</v>
      </c>
      <c r="AF11">
        <f t="shared" si="0"/>
        <v>0.22474227267790678</v>
      </c>
      <c r="AG11">
        <f t="shared" si="0"/>
        <v>0.19967019512856771</v>
      </c>
      <c r="AH11">
        <f t="shared" si="0"/>
        <v>2.9558802241544429E-2</v>
      </c>
      <c r="AI11">
        <f t="shared" si="0"/>
        <v>7.3767896886863209</v>
      </c>
      <c r="AJ11">
        <f t="shared" si="0"/>
        <v>4.7527277503457057</v>
      </c>
      <c r="AK11">
        <f t="shared" si="0"/>
        <v>4.5705787412184726</v>
      </c>
      <c r="AL11">
        <f t="shared" si="0"/>
        <v>4.5930976047538223</v>
      </c>
      <c r="AM11">
        <f t="shared" si="0"/>
        <v>8.9214861148841404E-2</v>
      </c>
      <c r="AN11">
        <f t="shared" si="0"/>
        <v>0.10607584495196415</v>
      </c>
      <c r="AO11">
        <f t="shared" si="0"/>
        <v>3.6877643664088307E-2</v>
      </c>
      <c r="AQ11" s="1">
        <v>41455</v>
      </c>
      <c r="AR11">
        <f t="shared" si="6"/>
        <v>4.2101176018635326E-2</v>
      </c>
      <c r="AS11">
        <f t="shared" si="1"/>
        <v>1.5873349156290163E-2</v>
      </c>
      <c r="AT11">
        <f t="shared" si="1"/>
        <v>3.1595561589750583E-2</v>
      </c>
      <c r="AU11">
        <f t="shared" si="1"/>
        <v>1.4094736340672958</v>
      </c>
      <c r="AV11">
        <f t="shared" si="1"/>
        <v>3.2467190137501413E-2</v>
      </c>
      <c r="AW11">
        <f t="shared" si="1"/>
        <v>7.42215251693389</v>
      </c>
      <c r="AX11">
        <f t="shared" si="1"/>
        <v>9.3432519475537994</v>
      </c>
      <c r="AY11">
        <f t="shared" si="1"/>
        <v>-3.4401426717332317E-2</v>
      </c>
      <c r="AZ11">
        <f t="shared" si="1"/>
        <v>-2.3716526617316065E-2</v>
      </c>
      <c r="BA11">
        <f t="shared" si="1"/>
        <v>0.11778303565638346</v>
      </c>
      <c r="BB11">
        <f t="shared" si="1"/>
        <v>0.18065349969325756</v>
      </c>
      <c r="BC11">
        <f t="shared" si="1"/>
        <v>2.9558802241544429E-2</v>
      </c>
      <c r="BD11">
        <f t="shared" si="1"/>
        <v>7.3768209684998958</v>
      </c>
      <c r="BE11">
        <f t="shared" si="1"/>
        <v>4.8194747886350964</v>
      </c>
      <c r="BF11">
        <f t="shared" si="1"/>
        <v>4.5951198501345898</v>
      </c>
      <c r="BG11">
        <f t="shared" si="1"/>
        <v>4.7097103652620156</v>
      </c>
      <c r="BH11">
        <f t="shared" si="1"/>
        <v>6.2114478727592418E-2</v>
      </c>
      <c r="BI11">
        <f t="shared" si="1"/>
        <v>1.7630605157128393E-3</v>
      </c>
      <c r="BJ11">
        <f t="shared" si="1"/>
        <v>4.0489578571868435E-4</v>
      </c>
      <c r="BL11" s="1">
        <v>41455</v>
      </c>
      <c r="BM11">
        <f t="shared" si="7"/>
        <v>6.2974799161388387E-2</v>
      </c>
      <c r="BN11">
        <f t="shared" si="2"/>
        <v>1.1928570865273812E-2</v>
      </c>
      <c r="BO11">
        <f t="shared" si="2"/>
        <v>3.1595561589750583E-2</v>
      </c>
      <c r="BP11">
        <f t="shared" si="2"/>
        <v>1.4008134472190934</v>
      </c>
      <c r="BQ11">
        <f t="shared" si="2"/>
        <v>3.2467190137501413E-2</v>
      </c>
      <c r="BR11">
        <f t="shared" si="2"/>
        <v>7.4324542216806346</v>
      </c>
      <c r="BS11">
        <f t="shared" si="2"/>
        <v>9.3447960872828446</v>
      </c>
      <c r="BT11">
        <f t="shared" si="2"/>
        <v>-3.9220713153281329E-2</v>
      </c>
      <c r="BU11">
        <f t="shared" si="2"/>
        <v>-3.2467190137501413E-2</v>
      </c>
      <c r="BV11">
        <f t="shared" si="2"/>
        <v>0.14410034397375687</v>
      </c>
      <c r="BW11">
        <f t="shared" si="2"/>
        <v>0.13976194237515863</v>
      </c>
      <c r="BX11">
        <f t="shared" si="2"/>
        <v>2.9558802241544429E-2</v>
      </c>
      <c r="BY11">
        <f t="shared" si="2"/>
        <v>7.4243740897888904</v>
      </c>
      <c r="BZ11">
        <f t="shared" si="2"/>
        <v>4.7849886125639278</v>
      </c>
      <c r="CA11">
        <f t="shared" si="2"/>
        <v>4.5695430083449402</v>
      </c>
      <c r="CB11">
        <f t="shared" si="2"/>
        <v>4.7194805321655018</v>
      </c>
      <c r="CC11">
        <f t="shared" si="2"/>
        <v>6.5461754233739317E-2</v>
      </c>
      <c r="CD11">
        <f t="shared" si="2"/>
        <v>7.523950796144532E-3</v>
      </c>
      <c r="CE11">
        <f t="shared" si="2"/>
        <v>6.345863661489469E-2</v>
      </c>
      <c r="CG11" s="1">
        <v>41455</v>
      </c>
      <c r="CH11">
        <f t="shared" si="8"/>
        <v>4.8790164169432049E-2</v>
      </c>
      <c r="CI11">
        <f t="shared" si="3"/>
        <v>1.2916225266546229E-2</v>
      </c>
      <c r="CJ11">
        <f t="shared" si="3"/>
        <v>3.1498667059371016E-2</v>
      </c>
      <c r="CK11">
        <f t="shared" si="3"/>
        <v>1.4008134472190934</v>
      </c>
      <c r="CL11">
        <f t="shared" si="3"/>
        <v>3.1498667059371016E-2</v>
      </c>
      <c r="CM11">
        <f t="shared" si="3"/>
        <v>7.4010236726597673</v>
      </c>
      <c r="CN11">
        <f t="shared" si="3"/>
        <v>9.315381236551044</v>
      </c>
      <c r="CO11">
        <f t="shared" si="3"/>
        <v>-4.5928931888399735E-2</v>
      </c>
      <c r="CP11">
        <f t="shared" si="3"/>
        <v>1.8821754240587667E-2</v>
      </c>
      <c r="CQ11">
        <f t="shared" si="3"/>
        <v>0.19392069263730649</v>
      </c>
      <c r="CR11">
        <f t="shared" si="3"/>
        <v>0.18730909830499368</v>
      </c>
      <c r="CS11">
        <f t="shared" si="3"/>
        <v>2.9558802241544429E-2</v>
      </c>
      <c r="CT11">
        <f t="shared" si="3"/>
        <v>7.4805693000821964</v>
      </c>
      <c r="CU11">
        <f t="shared" si="3"/>
        <v>4.78164132910387</v>
      </c>
      <c r="CV11">
        <f t="shared" si="3"/>
        <v>4.5612182984589085</v>
      </c>
      <c r="CW11">
        <f t="shared" si="3"/>
        <v>4.7308332039837486</v>
      </c>
      <c r="CX11">
        <f t="shared" si="3"/>
        <v>8.8345728250609851E-2</v>
      </c>
      <c r="CY11">
        <f t="shared" si="3"/>
        <v>2.9963468236974215E-2</v>
      </c>
      <c r="CZ11">
        <f t="shared" si="3"/>
        <v>1.6422032260310832E-2</v>
      </c>
      <c r="DB11" s="1">
        <v>41455</v>
      </c>
      <c r="DC11">
        <f t="shared" si="9"/>
        <v>5.0693114315518165E-2</v>
      </c>
      <c r="DD11">
        <f t="shared" ref="DD11:DD45" si="10">X11</f>
        <v>1.5873349156290163E-2</v>
      </c>
      <c r="DE11">
        <f t="shared" ref="DE11:DE45" si="11">Y11</f>
        <v>3.1401763139531642E-2</v>
      </c>
      <c r="DF11">
        <f t="shared" ref="DF11:DF45" si="12">Z11</f>
        <v>1.4300719834657785</v>
      </c>
      <c r="DG11">
        <f t="shared" ref="DG11:DG45" si="13">AA11</f>
        <v>2.9558802241544429E-2</v>
      </c>
      <c r="DH11">
        <f t="shared" ref="DH11:DH45" si="14">AB11</f>
        <v>7.3778526538336164</v>
      </c>
      <c r="DI11">
        <f t="shared" ref="DI11:DI45" si="15">AC11</f>
        <v>9.2982266994183398</v>
      </c>
      <c r="DJ11">
        <f t="shared" ref="DJ11:DJ45" si="16">AD11</f>
        <v>4.9875415110389679E-3</v>
      </c>
      <c r="DK11">
        <f t="shared" ref="DK11:DK45" si="17">AE11</f>
        <v>7.6034686275997576E-2</v>
      </c>
      <c r="DL11">
        <f t="shared" ref="DL11:DL45" si="18">AF11</f>
        <v>0.22474227267790678</v>
      </c>
      <c r="DM11">
        <f t="shared" ref="DM11:DM45" si="19">AG11</f>
        <v>0.19967019512856771</v>
      </c>
      <c r="DN11">
        <f t="shared" ref="DN11:DN45" si="20">AH11</f>
        <v>2.9558802241544429E-2</v>
      </c>
      <c r="DO11">
        <f t="shared" ref="DO11:DO45" si="21">AI11</f>
        <v>7.3767896886863209</v>
      </c>
      <c r="DP11">
        <f t="shared" ref="DP11:DP45" si="22">AJ11</f>
        <v>4.7527277503457057</v>
      </c>
      <c r="DQ11">
        <f t="shared" ref="DQ11:DQ45" si="23">AK11</f>
        <v>4.5705787412184726</v>
      </c>
      <c r="DR11">
        <f t="shared" ref="DR11:DR45" si="24">AL11</f>
        <v>4.5930976047538223</v>
      </c>
      <c r="DS11">
        <f t="shared" ref="DS11:DS45" si="25">AM11</f>
        <v>8.9214861148841404E-2</v>
      </c>
      <c r="DT11">
        <f t="shared" ref="DT11:DT45" si="26">AN11</f>
        <v>0.10607584495196415</v>
      </c>
      <c r="DU11">
        <f t="shared" ref="DU11:DU45" si="27">AO11</f>
        <v>3.6877643664088307E-2</v>
      </c>
    </row>
    <row r="12" spans="1:125" x14ac:dyDescent="0.35">
      <c r="A12" s="1">
        <v>41182</v>
      </c>
      <c r="B12">
        <f>'Sorting Q'!C12/100</f>
        <v>0.05</v>
      </c>
      <c r="C12">
        <f>'Sorting Q'!D12/100</f>
        <v>1.3000000000000001E-2</v>
      </c>
      <c r="D12">
        <f>'Sorting Q'!E12/100</f>
        <v>3.2000000000000001E-2</v>
      </c>
      <c r="E12">
        <f>'Sorting Q'!F12</f>
        <v>3.0585</v>
      </c>
      <c r="F12">
        <f>'Sorting Q'!G12/100</f>
        <v>3.2000000000000001E-2</v>
      </c>
      <c r="G12">
        <f>'Sorting Q'!H12</f>
        <v>1636.66</v>
      </c>
      <c r="H12">
        <f>'Sorting Q'!I12</f>
        <v>11106.56</v>
      </c>
      <c r="I12">
        <f>'Sorting Q'!J12/100</f>
        <v>-4.7E-2</v>
      </c>
      <c r="J12">
        <f>'Sorting Q'!K12/100</f>
        <v>1.9E-2</v>
      </c>
      <c r="K12">
        <f>'Sorting Q'!L12/100</f>
        <v>0.214</v>
      </c>
      <c r="L12">
        <f>'Sorting Q'!M12/100</f>
        <v>0.20600000000000002</v>
      </c>
      <c r="M12">
        <f>'Sorting Q'!N12/100</f>
        <v>0.03</v>
      </c>
      <c r="N12">
        <f>'Sorting Q'!O12</f>
        <v>1772.25</v>
      </c>
      <c r="O12">
        <f>'Sorting Q'!P12</f>
        <v>118.3</v>
      </c>
      <c r="P12">
        <f>'Sorting Q'!Q12</f>
        <v>94.7</v>
      </c>
      <c r="Q12">
        <f>'Sorting Q'!R12</f>
        <v>112.39</v>
      </c>
      <c r="R12">
        <f>'Sorting Q'!S12/100</f>
        <v>9.2365718440425404E-2</v>
      </c>
      <c r="S12">
        <f>'Sorting Q'!T12/100</f>
        <v>3.041689032027195E-2</v>
      </c>
      <c r="T12">
        <f>'Sorting Q'!U12/100</f>
        <v>1.6557614996659309E-2</v>
      </c>
      <c r="V12" s="1">
        <v>41182</v>
      </c>
      <c r="W12">
        <f t="shared" si="5"/>
        <v>4.8790164169432049E-2</v>
      </c>
      <c r="X12">
        <f t="shared" si="0"/>
        <v>1.2916225266546229E-2</v>
      </c>
      <c r="Y12">
        <f t="shared" si="0"/>
        <v>3.1498667059371016E-2</v>
      </c>
      <c r="Z12">
        <f t="shared" si="0"/>
        <v>1.4008134472190934</v>
      </c>
      <c r="AA12">
        <f t="shared" si="0"/>
        <v>3.1498667059371016E-2</v>
      </c>
      <c r="AB12">
        <f t="shared" si="0"/>
        <v>7.4010236726597673</v>
      </c>
      <c r="AC12">
        <f t="shared" si="0"/>
        <v>9.315381236551044</v>
      </c>
      <c r="AD12">
        <f t="shared" si="0"/>
        <v>-4.5928931888399735E-2</v>
      </c>
      <c r="AE12">
        <f t="shared" si="0"/>
        <v>1.8821754240587667E-2</v>
      </c>
      <c r="AF12">
        <f t="shared" si="0"/>
        <v>0.19392069263730649</v>
      </c>
      <c r="AG12">
        <f t="shared" si="0"/>
        <v>0.18730909830499368</v>
      </c>
      <c r="AH12">
        <f t="shared" si="0"/>
        <v>2.9558802241544429E-2</v>
      </c>
      <c r="AI12">
        <f t="shared" si="0"/>
        <v>7.4805693000821964</v>
      </c>
      <c r="AJ12">
        <f t="shared" si="0"/>
        <v>4.78164132910387</v>
      </c>
      <c r="AK12">
        <f t="shared" si="0"/>
        <v>4.5612182984589085</v>
      </c>
      <c r="AL12">
        <f t="shared" si="0"/>
        <v>4.7308332039837486</v>
      </c>
      <c r="AM12">
        <f t="shared" si="0"/>
        <v>8.8345728250609851E-2</v>
      </c>
      <c r="AN12">
        <f t="shared" si="0"/>
        <v>2.9963468236974215E-2</v>
      </c>
      <c r="AO12">
        <f t="shared" si="0"/>
        <v>1.6422032260310832E-2</v>
      </c>
      <c r="AQ12" s="1">
        <v>41547</v>
      </c>
      <c r="AR12">
        <f t="shared" si="6"/>
        <v>4.4973365642731196E-2</v>
      </c>
      <c r="AS12">
        <f t="shared" si="1"/>
        <v>1.7839918128331016E-2</v>
      </c>
      <c r="AT12">
        <f t="shared" si="1"/>
        <v>3.1498667059371016E-2</v>
      </c>
      <c r="AU12">
        <f t="shared" si="1"/>
        <v>1.4256352593583475</v>
      </c>
      <c r="AV12">
        <f t="shared" si="1"/>
        <v>2.7615167032973391E-2</v>
      </c>
      <c r="AW12">
        <f t="shared" si="1"/>
        <v>7.481296513393497</v>
      </c>
      <c r="AX12">
        <f t="shared" si="1"/>
        <v>9.4178349137680843</v>
      </c>
      <c r="AY12">
        <f t="shared" si="1"/>
        <v>-4.4973365642731196E-2</v>
      </c>
      <c r="AZ12">
        <f t="shared" si="1"/>
        <v>-1.3902905168991434E-2</v>
      </c>
      <c r="BA12">
        <f t="shared" si="1"/>
        <v>5.6380333436107689E-2</v>
      </c>
      <c r="BB12">
        <f t="shared" si="1"/>
        <v>0.17142911562753102</v>
      </c>
      <c r="BC12">
        <f t="shared" si="1"/>
        <v>2.9558802241544429E-2</v>
      </c>
      <c r="BD12">
        <f t="shared" si="1"/>
        <v>7.119255306801211</v>
      </c>
      <c r="BE12">
        <f t="shared" si="1"/>
        <v>4.7068238397145912</v>
      </c>
      <c r="BF12">
        <f t="shared" si="1"/>
        <v>4.5941092386286666</v>
      </c>
      <c r="BG12">
        <f t="shared" si="1"/>
        <v>4.6362811810131443</v>
      </c>
      <c r="BH12">
        <f t="shared" si="1"/>
        <v>6.6564573629424126E-2</v>
      </c>
      <c r="BI12">
        <f t="shared" si="1"/>
        <v>0.1028084490475758</v>
      </c>
      <c r="BJ12">
        <f t="shared" si="1"/>
        <v>5.14918577842143E-2</v>
      </c>
      <c r="BL12" s="1">
        <v>41547</v>
      </c>
      <c r="BM12">
        <f t="shared" si="7"/>
        <v>4.2101176018635326E-2</v>
      </c>
      <c r="BN12">
        <f t="shared" si="2"/>
        <v>1.5873349156290163E-2</v>
      </c>
      <c r="BO12">
        <f t="shared" si="2"/>
        <v>3.1595561589750583E-2</v>
      </c>
      <c r="BP12">
        <f t="shared" si="2"/>
        <v>1.4094736340672958</v>
      </c>
      <c r="BQ12">
        <f t="shared" si="2"/>
        <v>3.2467190137501413E-2</v>
      </c>
      <c r="BR12">
        <f t="shared" si="2"/>
        <v>7.42215251693389</v>
      </c>
      <c r="BS12">
        <f t="shared" si="2"/>
        <v>9.3432519475537994</v>
      </c>
      <c r="BT12">
        <f t="shared" si="2"/>
        <v>-3.4401426717332317E-2</v>
      </c>
      <c r="BU12">
        <f t="shared" si="2"/>
        <v>-2.3716526617316065E-2</v>
      </c>
      <c r="BV12">
        <f t="shared" si="2"/>
        <v>0.11778303565638346</v>
      </c>
      <c r="BW12">
        <f t="shared" si="2"/>
        <v>0.18065349969325756</v>
      </c>
      <c r="BX12">
        <f t="shared" si="2"/>
        <v>2.9558802241544429E-2</v>
      </c>
      <c r="BY12">
        <f t="shared" si="2"/>
        <v>7.3768209684998958</v>
      </c>
      <c r="BZ12">
        <f t="shared" si="2"/>
        <v>4.8194747886350964</v>
      </c>
      <c r="CA12">
        <f t="shared" si="2"/>
        <v>4.5951198501345898</v>
      </c>
      <c r="CB12">
        <f t="shared" si="2"/>
        <v>4.7097103652620156</v>
      </c>
      <c r="CC12">
        <f t="shared" si="2"/>
        <v>6.2114478727592418E-2</v>
      </c>
      <c r="CD12">
        <f t="shared" si="2"/>
        <v>1.7630605157128393E-3</v>
      </c>
      <c r="CE12">
        <f t="shared" si="2"/>
        <v>4.0489578571868435E-4</v>
      </c>
      <c r="CG12" s="1">
        <v>41547</v>
      </c>
      <c r="CH12">
        <f t="shared" si="8"/>
        <v>6.2974799161388387E-2</v>
      </c>
      <c r="CI12">
        <f t="shared" si="3"/>
        <v>1.1928570865273812E-2</v>
      </c>
      <c r="CJ12">
        <f t="shared" si="3"/>
        <v>3.1595561589750583E-2</v>
      </c>
      <c r="CK12">
        <f t="shared" si="3"/>
        <v>1.4008134472190934</v>
      </c>
      <c r="CL12">
        <f t="shared" si="3"/>
        <v>3.2467190137501413E-2</v>
      </c>
      <c r="CM12">
        <f t="shared" si="3"/>
        <v>7.4324542216806346</v>
      </c>
      <c r="CN12">
        <f t="shared" si="3"/>
        <v>9.3447960872828446</v>
      </c>
      <c r="CO12">
        <f t="shared" si="3"/>
        <v>-3.9220713153281329E-2</v>
      </c>
      <c r="CP12">
        <f t="shared" si="3"/>
        <v>-3.2467190137501413E-2</v>
      </c>
      <c r="CQ12">
        <f t="shared" si="3"/>
        <v>0.14410034397375687</v>
      </c>
      <c r="CR12">
        <f t="shared" si="3"/>
        <v>0.13976194237515863</v>
      </c>
      <c r="CS12">
        <f t="shared" si="3"/>
        <v>2.9558802241544429E-2</v>
      </c>
      <c r="CT12">
        <f t="shared" si="3"/>
        <v>7.4243740897888904</v>
      </c>
      <c r="CU12">
        <f t="shared" si="3"/>
        <v>4.7849886125639278</v>
      </c>
      <c r="CV12">
        <f t="shared" si="3"/>
        <v>4.5695430083449402</v>
      </c>
      <c r="CW12">
        <f t="shared" si="3"/>
        <v>4.7194805321655018</v>
      </c>
      <c r="CX12">
        <f t="shared" si="3"/>
        <v>6.5461754233739317E-2</v>
      </c>
      <c r="CY12">
        <f t="shared" si="3"/>
        <v>7.523950796144532E-3</v>
      </c>
      <c r="CZ12">
        <f t="shared" si="3"/>
        <v>6.345863661489469E-2</v>
      </c>
      <c r="DB12" s="1">
        <v>41547</v>
      </c>
      <c r="DC12">
        <f t="shared" si="9"/>
        <v>4.8790164169432049E-2</v>
      </c>
      <c r="DD12">
        <f t="shared" si="10"/>
        <v>1.2916225266546229E-2</v>
      </c>
      <c r="DE12">
        <f t="shared" si="11"/>
        <v>3.1498667059371016E-2</v>
      </c>
      <c r="DF12">
        <f t="shared" si="12"/>
        <v>1.4008134472190934</v>
      </c>
      <c r="DG12">
        <f t="shared" si="13"/>
        <v>3.1498667059371016E-2</v>
      </c>
      <c r="DH12">
        <f t="shared" si="14"/>
        <v>7.4010236726597673</v>
      </c>
      <c r="DI12">
        <f t="shared" si="15"/>
        <v>9.315381236551044</v>
      </c>
      <c r="DJ12">
        <f t="shared" si="16"/>
        <v>-4.5928931888399735E-2</v>
      </c>
      <c r="DK12">
        <f t="shared" si="17"/>
        <v>1.8821754240587667E-2</v>
      </c>
      <c r="DL12">
        <f t="shared" si="18"/>
        <v>0.19392069263730649</v>
      </c>
      <c r="DM12">
        <f t="shared" si="19"/>
        <v>0.18730909830499368</v>
      </c>
      <c r="DN12">
        <f t="shared" si="20"/>
        <v>2.9558802241544429E-2</v>
      </c>
      <c r="DO12">
        <f t="shared" si="21"/>
        <v>7.4805693000821964</v>
      </c>
      <c r="DP12">
        <f t="shared" si="22"/>
        <v>4.78164132910387</v>
      </c>
      <c r="DQ12">
        <f t="shared" si="23"/>
        <v>4.5612182984589085</v>
      </c>
      <c r="DR12">
        <f t="shared" si="24"/>
        <v>4.7308332039837486</v>
      </c>
      <c r="DS12">
        <f t="shared" si="25"/>
        <v>8.8345728250609851E-2</v>
      </c>
      <c r="DT12">
        <f t="shared" si="26"/>
        <v>2.9963468236974215E-2</v>
      </c>
      <c r="DU12">
        <f t="shared" si="27"/>
        <v>1.6422032260310832E-2</v>
      </c>
    </row>
    <row r="13" spans="1:125" x14ac:dyDescent="0.35">
      <c r="A13" s="1">
        <v>41274</v>
      </c>
      <c r="B13">
        <f>'Sorting Q'!C13/100</f>
        <v>6.5000000000000002E-2</v>
      </c>
      <c r="C13">
        <f>'Sorting Q'!D13/100</f>
        <v>1.2E-2</v>
      </c>
      <c r="D13">
        <f>'Sorting Q'!E13/100</f>
        <v>3.2099999999999997E-2</v>
      </c>
      <c r="E13">
        <f>'Sorting Q'!F13</f>
        <v>3.0585</v>
      </c>
      <c r="F13">
        <f>'Sorting Q'!G13/100</f>
        <v>3.3000000000000002E-2</v>
      </c>
      <c r="G13">
        <f>'Sorting Q'!H13</f>
        <v>1688.95</v>
      </c>
      <c r="H13">
        <f>'Sorting Q'!I13</f>
        <v>11438.14</v>
      </c>
      <c r="I13">
        <f>'Sorting Q'!J13/100</f>
        <v>-0.04</v>
      </c>
      <c r="J13">
        <f>'Sorting Q'!K13/100</f>
        <v>-3.3000000000000002E-2</v>
      </c>
      <c r="K13">
        <f>'Sorting Q'!L13/100</f>
        <v>0.155</v>
      </c>
      <c r="L13">
        <f>'Sorting Q'!M13/100</f>
        <v>0.15</v>
      </c>
      <c r="M13">
        <f>'Sorting Q'!N13/100</f>
        <v>0.03</v>
      </c>
      <c r="N13">
        <f>'Sorting Q'!O13</f>
        <v>1675.35</v>
      </c>
      <c r="O13">
        <f>'Sorting Q'!P13</f>
        <v>118.7</v>
      </c>
      <c r="P13">
        <f>'Sorting Q'!Q13</f>
        <v>95.5</v>
      </c>
      <c r="Q13">
        <f>'Sorting Q'!R13</f>
        <v>111.11</v>
      </c>
      <c r="R13">
        <f>'Sorting Q'!S13/100</f>
        <v>6.7651903367496269E-2</v>
      </c>
      <c r="S13">
        <f>'Sorting Q'!T13/100</f>
        <v>7.5523268359347639E-3</v>
      </c>
      <c r="T13">
        <f>'Sorting Q'!U13/100</f>
        <v>6.5515411565639114E-2</v>
      </c>
      <c r="V13" s="1">
        <v>41274</v>
      </c>
      <c r="W13">
        <f t="shared" si="5"/>
        <v>6.2974799161388387E-2</v>
      </c>
      <c r="X13">
        <f t="shared" si="0"/>
        <v>1.1928570865273812E-2</v>
      </c>
      <c r="Y13">
        <f t="shared" si="0"/>
        <v>3.1595561589750583E-2</v>
      </c>
      <c r="Z13">
        <f t="shared" si="0"/>
        <v>1.4008134472190934</v>
      </c>
      <c r="AA13">
        <f t="shared" si="0"/>
        <v>3.2467190137501413E-2</v>
      </c>
      <c r="AB13">
        <f t="shared" si="0"/>
        <v>7.4324542216806346</v>
      </c>
      <c r="AC13">
        <f t="shared" si="0"/>
        <v>9.3447960872828446</v>
      </c>
      <c r="AD13">
        <f t="shared" si="0"/>
        <v>-3.9220713153281329E-2</v>
      </c>
      <c r="AE13">
        <f t="shared" si="0"/>
        <v>-3.2467190137501413E-2</v>
      </c>
      <c r="AF13">
        <f t="shared" si="0"/>
        <v>0.14410034397375687</v>
      </c>
      <c r="AG13">
        <f t="shared" si="0"/>
        <v>0.13976194237515863</v>
      </c>
      <c r="AH13">
        <f t="shared" si="0"/>
        <v>2.9558802241544429E-2</v>
      </c>
      <c r="AI13">
        <f t="shared" si="0"/>
        <v>7.4243740897888904</v>
      </c>
      <c r="AJ13">
        <f t="shared" si="0"/>
        <v>4.7849886125639278</v>
      </c>
      <c r="AK13">
        <f t="shared" si="0"/>
        <v>4.5695430083449402</v>
      </c>
      <c r="AL13">
        <f t="shared" si="0"/>
        <v>4.7194805321655018</v>
      </c>
      <c r="AM13">
        <f t="shared" si="0"/>
        <v>6.5461754233739317E-2</v>
      </c>
      <c r="AN13">
        <f t="shared" si="0"/>
        <v>7.523950796144532E-3</v>
      </c>
      <c r="AO13">
        <f t="shared" si="0"/>
        <v>6.345863661489469E-2</v>
      </c>
      <c r="AQ13" s="1">
        <v>41639</v>
      </c>
      <c r="AR13">
        <f t="shared" si="6"/>
        <v>4.7837329414160058E-2</v>
      </c>
      <c r="AS13">
        <f t="shared" si="1"/>
        <v>2.5667746748577813E-2</v>
      </c>
      <c r="AT13">
        <f t="shared" si="1"/>
        <v>3.1595561589750583E-2</v>
      </c>
      <c r="AU13">
        <f t="shared" si="1"/>
        <v>1.449151782500758</v>
      </c>
      <c r="AV13">
        <f t="shared" si="1"/>
        <v>3.0529205034822791E-2</v>
      </c>
      <c r="AW13">
        <f t="shared" si="1"/>
        <v>7.4785201132532988</v>
      </c>
      <c r="AX13">
        <f t="shared" si="1"/>
        <v>9.4165940896887896</v>
      </c>
      <c r="AY13">
        <f t="shared" si="1"/>
        <v>4.1141943331175213E-2</v>
      </c>
      <c r="AZ13">
        <f t="shared" si="1"/>
        <v>3.7295784743696929E-2</v>
      </c>
      <c r="BA13">
        <f t="shared" si="1"/>
        <v>8.4341148433750956E-2</v>
      </c>
      <c r="BB13">
        <f t="shared" si="1"/>
        <v>0.16041672140590466</v>
      </c>
      <c r="BC13">
        <f t="shared" si="1"/>
        <v>2.9558802241544429E-2</v>
      </c>
      <c r="BD13">
        <f t="shared" si="1"/>
        <v>7.1929567773523857</v>
      </c>
      <c r="BE13">
        <f t="shared" si="1"/>
        <v>4.6347289882296359</v>
      </c>
      <c r="BF13">
        <f t="shared" si="1"/>
        <v>4.6031681833174183</v>
      </c>
      <c r="BG13">
        <f t="shared" si="1"/>
        <v>4.6947366293471342</v>
      </c>
      <c r="BH13">
        <f t="shared" si="1"/>
        <v>7.7211840831060599E-2</v>
      </c>
      <c r="BI13">
        <f t="shared" si="1"/>
        <v>6.428888067281166E-2</v>
      </c>
      <c r="BJ13">
        <f t="shared" si="1"/>
        <v>5.336616211722351E-2</v>
      </c>
      <c r="BL13" s="1">
        <v>41639</v>
      </c>
      <c r="BM13">
        <f t="shared" si="7"/>
        <v>4.4973365642731196E-2</v>
      </c>
      <c r="BN13">
        <f t="shared" si="2"/>
        <v>1.7839918128331016E-2</v>
      </c>
      <c r="BO13">
        <f t="shared" si="2"/>
        <v>3.1498667059371016E-2</v>
      </c>
      <c r="BP13">
        <f t="shared" si="2"/>
        <v>1.4256352593583475</v>
      </c>
      <c r="BQ13">
        <f t="shared" si="2"/>
        <v>2.7615167032973391E-2</v>
      </c>
      <c r="BR13">
        <f t="shared" si="2"/>
        <v>7.481296513393497</v>
      </c>
      <c r="BS13">
        <f t="shared" si="2"/>
        <v>9.4178349137680843</v>
      </c>
      <c r="BT13">
        <f t="shared" si="2"/>
        <v>-4.4973365642731196E-2</v>
      </c>
      <c r="BU13">
        <f t="shared" si="2"/>
        <v>-1.3902905168991434E-2</v>
      </c>
      <c r="BV13">
        <f t="shared" si="2"/>
        <v>5.6380333436107689E-2</v>
      </c>
      <c r="BW13">
        <f t="shared" si="2"/>
        <v>0.17142911562753102</v>
      </c>
      <c r="BX13">
        <f t="shared" si="2"/>
        <v>2.9558802241544429E-2</v>
      </c>
      <c r="BY13">
        <f t="shared" si="2"/>
        <v>7.119255306801211</v>
      </c>
      <c r="BZ13">
        <f t="shared" si="2"/>
        <v>4.7068238397145912</v>
      </c>
      <c r="CA13">
        <f t="shared" si="2"/>
        <v>4.5941092386286666</v>
      </c>
      <c r="CB13">
        <f t="shared" si="2"/>
        <v>4.6362811810131443</v>
      </c>
      <c r="CC13">
        <f t="shared" si="2"/>
        <v>6.6564573629424126E-2</v>
      </c>
      <c r="CD13">
        <f t="shared" si="2"/>
        <v>0.1028084490475758</v>
      </c>
      <c r="CE13">
        <f t="shared" si="2"/>
        <v>5.14918577842143E-2</v>
      </c>
      <c r="CG13" s="1">
        <v>41639</v>
      </c>
      <c r="CH13">
        <f t="shared" si="8"/>
        <v>4.2101176018635326E-2</v>
      </c>
      <c r="CI13">
        <f t="shared" si="3"/>
        <v>1.5873349156290163E-2</v>
      </c>
      <c r="CJ13">
        <f t="shared" si="3"/>
        <v>3.1595561589750583E-2</v>
      </c>
      <c r="CK13">
        <f t="shared" si="3"/>
        <v>1.4094736340672958</v>
      </c>
      <c r="CL13">
        <f t="shared" si="3"/>
        <v>3.2467190137501413E-2</v>
      </c>
      <c r="CM13">
        <f t="shared" si="3"/>
        <v>7.42215251693389</v>
      </c>
      <c r="CN13">
        <f t="shared" si="3"/>
        <v>9.3432519475537994</v>
      </c>
      <c r="CO13">
        <f t="shared" si="3"/>
        <v>-3.4401426717332317E-2</v>
      </c>
      <c r="CP13">
        <f t="shared" si="3"/>
        <v>-2.3716526617316065E-2</v>
      </c>
      <c r="CQ13">
        <f t="shared" si="3"/>
        <v>0.11778303565638346</v>
      </c>
      <c r="CR13">
        <f t="shared" si="3"/>
        <v>0.18065349969325756</v>
      </c>
      <c r="CS13">
        <f t="shared" si="3"/>
        <v>2.9558802241544429E-2</v>
      </c>
      <c r="CT13">
        <f t="shared" si="3"/>
        <v>7.3768209684998958</v>
      </c>
      <c r="CU13">
        <f t="shared" si="3"/>
        <v>4.8194747886350964</v>
      </c>
      <c r="CV13">
        <f t="shared" si="3"/>
        <v>4.5951198501345898</v>
      </c>
      <c r="CW13">
        <f t="shared" si="3"/>
        <v>4.7097103652620156</v>
      </c>
      <c r="CX13">
        <f t="shared" si="3"/>
        <v>6.2114478727592418E-2</v>
      </c>
      <c r="CY13">
        <f t="shared" si="3"/>
        <v>1.7630605157128393E-3</v>
      </c>
      <c r="CZ13">
        <f t="shared" si="3"/>
        <v>4.0489578571868435E-4</v>
      </c>
      <c r="DB13" s="1">
        <v>41639</v>
      </c>
      <c r="DC13">
        <f t="shared" si="9"/>
        <v>6.2974799161388387E-2</v>
      </c>
      <c r="DD13">
        <f t="shared" si="10"/>
        <v>1.1928570865273812E-2</v>
      </c>
      <c r="DE13">
        <f t="shared" si="11"/>
        <v>3.1595561589750583E-2</v>
      </c>
      <c r="DF13">
        <f t="shared" si="12"/>
        <v>1.4008134472190934</v>
      </c>
      <c r="DG13">
        <f t="shared" si="13"/>
        <v>3.2467190137501413E-2</v>
      </c>
      <c r="DH13">
        <f t="shared" si="14"/>
        <v>7.4324542216806346</v>
      </c>
      <c r="DI13">
        <f t="shared" si="15"/>
        <v>9.3447960872828446</v>
      </c>
      <c r="DJ13">
        <f t="shared" si="16"/>
        <v>-3.9220713153281329E-2</v>
      </c>
      <c r="DK13">
        <f t="shared" si="17"/>
        <v>-3.2467190137501413E-2</v>
      </c>
      <c r="DL13">
        <f t="shared" si="18"/>
        <v>0.14410034397375687</v>
      </c>
      <c r="DM13">
        <f t="shared" si="19"/>
        <v>0.13976194237515863</v>
      </c>
      <c r="DN13">
        <f t="shared" si="20"/>
        <v>2.9558802241544429E-2</v>
      </c>
      <c r="DO13">
        <f t="shared" si="21"/>
        <v>7.4243740897888904</v>
      </c>
      <c r="DP13">
        <f t="shared" si="22"/>
        <v>4.7849886125639278</v>
      </c>
      <c r="DQ13">
        <f t="shared" si="23"/>
        <v>4.5695430083449402</v>
      </c>
      <c r="DR13">
        <f t="shared" si="24"/>
        <v>4.7194805321655018</v>
      </c>
      <c r="DS13">
        <f t="shared" si="25"/>
        <v>6.5461754233739317E-2</v>
      </c>
      <c r="DT13">
        <f t="shared" si="26"/>
        <v>7.523950796144532E-3</v>
      </c>
      <c r="DU13">
        <f t="shared" si="27"/>
        <v>6.345863661489469E-2</v>
      </c>
    </row>
    <row r="14" spans="1:125" x14ac:dyDescent="0.35">
      <c r="A14" s="1">
        <v>41364</v>
      </c>
      <c r="B14">
        <f>'Sorting Q'!C14/100</f>
        <v>4.2999999999999997E-2</v>
      </c>
      <c r="C14">
        <f>'Sorting Q'!D14/100</f>
        <v>1.6E-2</v>
      </c>
      <c r="D14">
        <f>'Sorting Q'!E14/100</f>
        <v>3.2099999999999997E-2</v>
      </c>
      <c r="E14">
        <f>'Sorting Q'!F14</f>
        <v>3.0937999999999999</v>
      </c>
      <c r="F14">
        <f>'Sorting Q'!G14/100</f>
        <v>3.3000000000000002E-2</v>
      </c>
      <c r="G14">
        <f>'Sorting Q'!H14</f>
        <v>1671.63</v>
      </c>
      <c r="H14">
        <f>'Sorting Q'!I14</f>
        <v>11420.49</v>
      </c>
      <c r="I14">
        <f>'Sorting Q'!J14/100</f>
        <v>-3.5000000000000003E-2</v>
      </c>
      <c r="J14">
        <f>'Sorting Q'!K14/100</f>
        <v>-2.4E-2</v>
      </c>
      <c r="K14">
        <f>'Sorting Q'!L14/100</f>
        <v>0.125</v>
      </c>
      <c r="L14">
        <f>'Sorting Q'!M14/100</f>
        <v>0.19800000000000001</v>
      </c>
      <c r="M14">
        <f>'Sorting Q'!N14/100</f>
        <v>0.03</v>
      </c>
      <c r="N14">
        <f>'Sorting Q'!O14</f>
        <v>1597.5</v>
      </c>
      <c r="O14">
        <f>'Sorting Q'!P14</f>
        <v>122.9</v>
      </c>
      <c r="P14">
        <f>'Sorting Q'!Q14</f>
        <v>98</v>
      </c>
      <c r="Q14">
        <f>'Sorting Q'!R14</f>
        <v>110.02</v>
      </c>
      <c r="R14">
        <f>'Sorting Q'!S14/100</f>
        <v>6.4084152755545354E-2</v>
      </c>
      <c r="S14">
        <f>'Sorting Q'!T14/100</f>
        <v>1.7646156206843067E-3</v>
      </c>
      <c r="T14">
        <f>'Sorting Q'!U14/100</f>
        <v>4.049777670815935E-4</v>
      </c>
      <c r="V14" s="1">
        <v>41364</v>
      </c>
      <c r="W14">
        <f t="shared" si="5"/>
        <v>4.2101176018635326E-2</v>
      </c>
      <c r="X14">
        <f t="shared" si="0"/>
        <v>1.5873349156290163E-2</v>
      </c>
      <c r="Y14">
        <f t="shared" si="0"/>
        <v>3.1595561589750583E-2</v>
      </c>
      <c r="Z14">
        <f t="shared" si="0"/>
        <v>1.4094736340672958</v>
      </c>
      <c r="AA14">
        <f t="shared" si="0"/>
        <v>3.2467190137501413E-2</v>
      </c>
      <c r="AB14">
        <f t="shared" si="0"/>
        <v>7.42215251693389</v>
      </c>
      <c r="AC14">
        <f t="shared" si="0"/>
        <v>9.3432519475537994</v>
      </c>
      <c r="AD14">
        <f t="shared" si="0"/>
        <v>-3.4401426717332317E-2</v>
      </c>
      <c r="AE14">
        <f t="shared" si="0"/>
        <v>-2.3716526617316065E-2</v>
      </c>
      <c r="AF14">
        <f t="shared" si="0"/>
        <v>0.11778303565638346</v>
      </c>
      <c r="AG14">
        <f t="shared" si="0"/>
        <v>0.18065349969325756</v>
      </c>
      <c r="AH14">
        <f t="shared" si="0"/>
        <v>2.9558802241544429E-2</v>
      </c>
      <c r="AI14">
        <f t="shared" si="0"/>
        <v>7.3768209684998958</v>
      </c>
      <c r="AJ14">
        <f t="shared" si="0"/>
        <v>4.8194747886350964</v>
      </c>
      <c r="AK14">
        <f t="shared" si="0"/>
        <v>4.5951198501345898</v>
      </c>
      <c r="AL14">
        <f t="shared" si="0"/>
        <v>4.7097103652620156</v>
      </c>
      <c r="AM14">
        <f t="shared" ref="AM14:AM49" si="28">SIGN(R14)*LN(ABS(R14)+1)</f>
        <v>6.2114478727592418E-2</v>
      </c>
      <c r="AN14">
        <f t="shared" ref="AN14:AN49" si="29">SIGN(S14)*LN(ABS(S14)+1)</f>
        <v>1.7630605157128393E-3</v>
      </c>
      <c r="AO14">
        <f t="shared" ref="AO14:AO49" si="30">SIGN(T14)*LN(ABS(T14)+1)</f>
        <v>4.0489578571868435E-4</v>
      </c>
      <c r="AQ14" s="1">
        <v>41729</v>
      </c>
      <c r="AR14">
        <f t="shared" si="6"/>
        <v>4.8790164169432049E-2</v>
      </c>
      <c r="AS14">
        <f t="shared" si="1"/>
        <v>3.1498667059371016E-2</v>
      </c>
      <c r="AT14">
        <f t="shared" si="1"/>
        <v>3.2660782239548276E-2</v>
      </c>
      <c r="AU14">
        <f t="shared" si="1"/>
        <v>1.452901054613873</v>
      </c>
      <c r="AV14">
        <f t="shared" si="1"/>
        <v>2.9558802241544429E-2</v>
      </c>
      <c r="AW14">
        <f t="shared" si="1"/>
        <v>7.5326022052832888</v>
      </c>
      <c r="AX14">
        <f t="shared" si="1"/>
        <v>9.4614593367108899</v>
      </c>
      <c r="AY14">
        <f t="shared" si="1"/>
        <v>4.974209189481401E-2</v>
      </c>
      <c r="AZ14">
        <f t="shared" si="1"/>
        <v>6.6723632042908126E-2</v>
      </c>
      <c r="BA14">
        <f t="shared" si="1"/>
        <v>5.9211859631846032E-2</v>
      </c>
      <c r="BB14">
        <f t="shared" si="1"/>
        <v>0.1275133202989597</v>
      </c>
      <c r="BC14">
        <f t="shared" si="1"/>
        <v>2.9558802241544429E-2</v>
      </c>
      <c r="BD14">
        <f t="shared" si="1"/>
        <v>7.0922744193195788</v>
      </c>
      <c r="BE14">
        <f t="shared" si="1"/>
        <v>4.423648309364701</v>
      </c>
      <c r="BF14">
        <f t="shared" si="1"/>
        <v>4.5930976047538223</v>
      </c>
      <c r="BG14">
        <f t="shared" si="1"/>
        <v>4.7167115607209986</v>
      </c>
      <c r="BH14">
        <f t="shared" si="1"/>
        <v>7.3105891957360045E-2</v>
      </c>
      <c r="BI14">
        <f t="shared" si="1"/>
        <v>5.29695015597378E-2</v>
      </c>
      <c r="BJ14">
        <f t="shared" si="1"/>
        <v>2.9068414736411023E-2</v>
      </c>
      <c r="BL14" s="1">
        <v>41729</v>
      </c>
      <c r="BM14">
        <f t="shared" si="7"/>
        <v>4.7837329414160058E-2</v>
      </c>
      <c r="BN14">
        <f t="shared" si="2"/>
        <v>2.5667746748577813E-2</v>
      </c>
      <c r="BO14">
        <f t="shared" si="2"/>
        <v>3.1595561589750583E-2</v>
      </c>
      <c r="BP14">
        <f t="shared" si="2"/>
        <v>1.449151782500758</v>
      </c>
      <c r="BQ14">
        <f t="shared" si="2"/>
        <v>3.0529205034822791E-2</v>
      </c>
      <c r="BR14">
        <f t="shared" si="2"/>
        <v>7.4785201132532988</v>
      </c>
      <c r="BS14">
        <f t="shared" si="2"/>
        <v>9.4165940896887896</v>
      </c>
      <c r="BT14">
        <f t="shared" si="2"/>
        <v>4.1141943331175213E-2</v>
      </c>
      <c r="BU14">
        <f t="shared" si="2"/>
        <v>3.7295784743696929E-2</v>
      </c>
      <c r="BV14">
        <f t="shared" si="2"/>
        <v>8.4341148433750956E-2</v>
      </c>
      <c r="BW14">
        <f t="shared" si="2"/>
        <v>0.16041672140590466</v>
      </c>
      <c r="BX14">
        <f t="shared" si="2"/>
        <v>2.9558802241544429E-2</v>
      </c>
      <c r="BY14">
        <f t="shared" si="2"/>
        <v>7.1929567773523857</v>
      </c>
      <c r="BZ14">
        <f t="shared" si="2"/>
        <v>4.6347289882296359</v>
      </c>
      <c r="CA14">
        <f t="shared" si="2"/>
        <v>4.6031681833174183</v>
      </c>
      <c r="CB14">
        <f t="shared" si="2"/>
        <v>4.6947366293471342</v>
      </c>
      <c r="CC14">
        <f t="shared" si="2"/>
        <v>7.7211840831060599E-2</v>
      </c>
      <c r="CD14">
        <f t="shared" si="2"/>
        <v>6.428888067281166E-2</v>
      </c>
      <c r="CE14">
        <f t="shared" si="2"/>
        <v>5.336616211722351E-2</v>
      </c>
      <c r="CG14" s="1">
        <v>41729</v>
      </c>
      <c r="CH14">
        <f t="shared" si="8"/>
        <v>4.4973365642731196E-2</v>
      </c>
      <c r="CI14">
        <f t="shared" si="3"/>
        <v>1.7839918128331016E-2</v>
      </c>
      <c r="CJ14">
        <f t="shared" si="3"/>
        <v>3.1498667059371016E-2</v>
      </c>
      <c r="CK14">
        <f t="shared" si="3"/>
        <v>1.4256352593583475</v>
      </c>
      <c r="CL14">
        <f t="shared" si="3"/>
        <v>2.7615167032973391E-2</v>
      </c>
      <c r="CM14">
        <f t="shared" si="3"/>
        <v>7.481296513393497</v>
      </c>
      <c r="CN14">
        <f t="shared" si="3"/>
        <v>9.4178349137680843</v>
      </c>
      <c r="CO14">
        <f t="shared" si="3"/>
        <v>-4.4973365642731196E-2</v>
      </c>
      <c r="CP14">
        <f t="shared" si="3"/>
        <v>-1.3902905168991434E-2</v>
      </c>
      <c r="CQ14">
        <f t="shared" si="3"/>
        <v>5.6380333436107689E-2</v>
      </c>
      <c r="CR14">
        <f t="shared" si="3"/>
        <v>0.17142911562753102</v>
      </c>
      <c r="CS14">
        <f t="shared" si="3"/>
        <v>2.9558802241544429E-2</v>
      </c>
      <c r="CT14">
        <f t="shared" si="3"/>
        <v>7.119255306801211</v>
      </c>
      <c r="CU14">
        <f t="shared" si="3"/>
        <v>4.7068238397145912</v>
      </c>
      <c r="CV14">
        <f t="shared" si="3"/>
        <v>4.5941092386286666</v>
      </c>
      <c r="CW14">
        <f t="shared" si="3"/>
        <v>4.6362811810131443</v>
      </c>
      <c r="CX14">
        <f t="shared" si="3"/>
        <v>6.6564573629424126E-2</v>
      </c>
      <c r="CY14">
        <f t="shared" si="3"/>
        <v>0.1028084490475758</v>
      </c>
      <c r="CZ14">
        <f t="shared" si="3"/>
        <v>5.14918577842143E-2</v>
      </c>
      <c r="DB14" s="1">
        <v>41729</v>
      </c>
      <c r="DC14">
        <f t="shared" si="9"/>
        <v>4.2101176018635326E-2</v>
      </c>
      <c r="DD14">
        <f t="shared" si="10"/>
        <v>1.5873349156290163E-2</v>
      </c>
      <c r="DE14">
        <f t="shared" si="11"/>
        <v>3.1595561589750583E-2</v>
      </c>
      <c r="DF14">
        <f t="shared" si="12"/>
        <v>1.4094736340672958</v>
      </c>
      <c r="DG14">
        <f t="shared" si="13"/>
        <v>3.2467190137501413E-2</v>
      </c>
      <c r="DH14">
        <f t="shared" si="14"/>
        <v>7.42215251693389</v>
      </c>
      <c r="DI14">
        <f t="shared" si="15"/>
        <v>9.3432519475537994</v>
      </c>
      <c r="DJ14">
        <f t="shared" si="16"/>
        <v>-3.4401426717332317E-2</v>
      </c>
      <c r="DK14">
        <f t="shared" si="17"/>
        <v>-2.3716526617316065E-2</v>
      </c>
      <c r="DL14">
        <f t="shared" si="18"/>
        <v>0.11778303565638346</v>
      </c>
      <c r="DM14">
        <f t="shared" si="19"/>
        <v>0.18065349969325756</v>
      </c>
      <c r="DN14">
        <f t="shared" si="20"/>
        <v>2.9558802241544429E-2</v>
      </c>
      <c r="DO14">
        <f t="shared" si="21"/>
        <v>7.3768209684998958</v>
      </c>
      <c r="DP14">
        <f t="shared" si="22"/>
        <v>4.8194747886350964</v>
      </c>
      <c r="DQ14">
        <f t="shared" si="23"/>
        <v>4.5951198501345898</v>
      </c>
      <c r="DR14">
        <f t="shared" si="24"/>
        <v>4.7097103652620156</v>
      </c>
      <c r="DS14">
        <f t="shared" si="25"/>
        <v>6.2114478727592418E-2</v>
      </c>
      <c r="DT14">
        <f t="shared" si="26"/>
        <v>1.7630605157128393E-3</v>
      </c>
      <c r="DU14">
        <f t="shared" si="27"/>
        <v>4.0489578571868435E-4</v>
      </c>
    </row>
    <row r="15" spans="1:125" x14ac:dyDescent="0.35">
      <c r="A15" s="1">
        <v>41455</v>
      </c>
      <c r="B15">
        <f>'Sorting Q'!C15/100</f>
        <v>4.5999999999999999E-2</v>
      </c>
      <c r="C15">
        <f>'Sorting Q'!D15/100</f>
        <v>1.8000000000000002E-2</v>
      </c>
      <c r="D15">
        <f>'Sorting Q'!E15/100</f>
        <v>3.2000000000000001E-2</v>
      </c>
      <c r="E15">
        <f>'Sorting Q'!F15</f>
        <v>3.1604999999999999</v>
      </c>
      <c r="F15">
        <f>'Sorting Q'!G15/100</f>
        <v>2.7999999999999997E-2</v>
      </c>
      <c r="G15">
        <f>'Sorting Q'!H15</f>
        <v>1773.54</v>
      </c>
      <c r="H15">
        <f>'Sorting Q'!I15</f>
        <v>12304.91</v>
      </c>
      <c r="I15">
        <f>'Sorting Q'!J15/100</f>
        <v>-4.5999999999999999E-2</v>
      </c>
      <c r="J15">
        <f>'Sorting Q'!K15/100</f>
        <v>-1.3999999999999999E-2</v>
      </c>
      <c r="K15">
        <f>'Sorting Q'!L15/100</f>
        <v>5.7999999999999996E-2</v>
      </c>
      <c r="L15">
        <f>'Sorting Q'!M15/100</f>
        <v>0.187</v>
      </c>
      <c r="M15">
        <f>'Sorting Q'!N15/100</f>
        <v>0.03</v>
      </c>
      <c r="N15">
        <f>'Sorting Q'!O15</f>
        <v>1234.53</v>
      </c>
      <c r="O15">
        <f>'Sorting Q'!P15</f>
        <v>109.7</v>
      </c>
      <c r="P15">
        <f>'Sorting Q'!Q15</f>
        <v>97.9</v>
      </c>
      <c r="Q15">
        <f>'Sorting Q'!R15</f>
        <v>102.16</v>
      </c>
      <c r="R15">
        <f>'Sorting Q'!S15/100</f>
        <v>6.8829980077893538E-2</v>
      </c>
      <c r="S15">
        <f>'Sorting Q'!T15/100</f>
        <v>0.10827909682580072</v>
      </c>
      <c r="T15">
        <f>'Sorting Q'!U15/100</f>
        <v>5.2840613801768299E-2</v>
      </c>
      <c r="V15" s="1">
        <v>41455</v>
      </c>
      <c r="W15">
        <f t="shared" si="5"/>
        <v>4.4973365642731196E-2</v>
      </c>
      <c r="X15">
        <f t="shared" ref="X15:X49" si="31">SIGN(C15)*LN(ABS(C15)+1)</f>
        <v>1.7839918128331016E-2</v>
      </c>
      <c r="Y15">
        <f t="shared" ref="Y15:Y49" si="32">SIGN(D15)*LN(ABS(D15)+1)</f>
        <v>3.1498667059371016E-2</v>
      </c>
      <c r="Z15">
        <f t="shared" ref="Z15:Z49" si="33">SIGN(E15)*LN(ABS(E15)+1)</f>
        <v>1.4256352593583475</v>
      </c>
      <c r="AA15">
        <f t="shared" ref="AA15:AA49" si="34">SIGN(F15)*LN(ABS(F15)+1)</f>
        <v>2.7615167032973391E-2</v>
      </c>
      <c r="AB15">
        <f t="shared" ref="AB15:AB49" si="35">SIGN(G15)*LN(ABS(G15)+1)</f>
        <v>7.481296513393497</v>
      </c>
      <c r="AC15">
        <f t="shared" ref="AC15:AC49" si="36">SIGN(H15)*LN(ABS(H15)+1)</f>
        <v>9.4178349137680843</v>
      </c>
      <c r="AD15">
        <f t="shared" ref="AD15:AD49" si="37">SIGN(I15)*LN(ABS(I15)+1)</f>
        <v>-4.4973365642731196E-2</v>
      </c>
      <c r="AE15">
        <f t="shared" ref="AE15:AE49" si="38">SIGN(J15)*LN(ABS(J15)+1)</f>
        <v>-1.3902905168991434E-2</v>
      </c>
      <c r="AF15">
        <f t="shared" ref="AF15:AF49" si="39">SIGN(K15)*LN(ABS(K15)+1)</f>
        <v>5.6380333436107689E-2</v>
      </c>
      <c r="AG15">
        <f t="shared" ref="AG15:AG49" si="40">SIGN(L15)*LN(ABS(L15)+1)</f>
        <v>0.17142911562753102</v>
      </c>
      <c r="AH15">
        <f t="shared" ref="AH15:AH49" si="41">SIGN(M15)*LN(ABS(M15)+1)</f>
        <v>2.9558802241544429E-2</v>
      </c>
      <c r="AI15">
        <f t="shared" ref="AI15:AI49" si="42">SIGN(N15)*LN(ABS(N15)+1)</f>
        <v>7.119255306801211</v>
      </c>
      <c r="AJ15">
        <f t="shared" ref="AJ15:AJ49" si="43">SIGN(O15)*LN(ABS(O15)+1)</f>
        <v>4.7068238397145912</v>
      </c>
      <c r="AK15">
        <f t="shared" ref="AK15:AK49" si="44">SIGN(P15)*LN(ABS(P15)+1)</f>
        <v>4.5941092386286666</v>
      </c>
      <c r="AL15">
        <f t="shared" ref="AL15:AL49" si="45">SIGN(Q15)*LN(ABS(Q15)+1)</f>
        <v>4.6362811810131443</v>
      </c>
      <c r="AM15">
        <f t="shared" si="28"/>
        <v>6.6564573629424126E-2</v>
      </c>
      <c r="AN15">
        <f t="shared" si="29"/>
        <v>0.1028084490475758</v>
      </c>
      <c r="AO15">
        <f t="shared" si="30"/>
        <v>5.14918577842143E-2</v>
      </c>
      <c r="AQ15" s="1">
        <v>41820</v>
      </c>
      <c r="AR15">
        <f t="shared" si="6"/>
        <v>6.1095099359810827E-2</v>
      </c>
      <c r="AS15">
        <f t="shared" si="1"/>
        <v>3.4401426717332317E-2</v>
      </c>
      <c r="AT15">
        <f t="shared" si="1"/>
        <v>3.275756423817229E-2</v>
      </c>
      <c r="AU15">
        <f t="shared" si="1"/>
        <v>1.4505594073666122</v>
      </c>
      <c r="AV15">
        <f t="shared" si="1"/>
        <v>2.9558802241544429E-2</v>
      </c>
      <c r="AW15">
        <f t="shared" si="1"/>
        <v>7.5230544251437124</v>
      </c>
      <c r="AX15">
        <f t="shared" si="1"/>
        <v>9.457094194262778</v>
      </c>
      <c r="AY15">
        <f t="shared" si="1"/>
        <v>7.5107472486805479E-2</v>
      </c>
      <c r="AZ15">
        <f t="shared" si="1"/>
        <v>7.2320661579626078E-2</v>
      </c>
      <c r="BA15">
        <f t="shared" si="1"/>
        <v>6.4850972319616271E-2</v>
      </c>
      <c r="BB15">
        <f t="shared" si="1"/>
        <v>0.1380212978973748</v>
      </c>
      <c r="BC15">
        <f t="shared" si="1"/>
        <v>2.9558802241544429E-2</v>
      </c>
      <c r="BD15">
        <f t="shared" si="1"/>
        <v>7.158521779400207</v>
      </c>
      <c r="BE15">
        <f t="shared" si="1"/>
        <v>4.5829245770407718</v>
      </c>
      <c r="BF15">
        <f t="shared" si="1"/>
        <v>4.5971380142908274</v>
      </c>
      <c r="BG15">
        <f t="shared" si="1"/>
        <v>4.6891436197642697</v>
      </c>
      <c r="BH15">
        <f t="shared" si="1"/>
        <v>6.7167100426306733E-2</v>
      </c>
      <c r="BI15">
        <f t="shared" si="1"/>
        <v>0.11289505264178708</v>
      </c>
      <c r="BJ15">
        <f t="shared" si="1"/>
        <v>4.6096997979495687E-2</v>
      </c>
      <c r="BL15" s="1">
        <v>41820</v>
      </c>
      <c r="BM15">
        <f t="shared" si="7"/>
        <v>4.8790164169432049E-2</v>
      </c>
      <c r="BN15">
        <f t="shared" si="2"/>
        <v>3.1498667059371016E-2</v>
      </c>
      <c r="BO15">
        <f t="shared" si="2"/>
        <v>3.2660782239548276E-2</v>
      </c>
      <c r="BP15">
        <f t="shared" si="2"/>
        <v>1.452901054613873</v>
      </c>
      <c r="BQ15">
        <f t="shared" si="2"/>
        <v>2.9558802241544429E-2</v>
      </c>
      <c r="BR15">
        <f t="shared" si="2"/>
        <v>7.5326022052832888</v>
      </c>
      <c r="BS15">
        <f t="shared" si="2"/>
        <v>9.4614593367108899</v>
      </c>
      <c r="BT15">
        <f t="shared" si="2"/>
        <v>4.974209189481401E-2</v>
      </c>
      <c r="BU15">
        <f t="shared" si="2"/>
        <v>6.6723632042908126E-2</v>
      </c>
      <c r="BV15">
        <f t="shared" si="2"/>
        <v>5.9211859631846032E-2</v>
      </c>
      <c r="BW15">
        <f t="shared" si="2"/>
        <v>0.1275133202989597</v>
      </c>
      <c r="BX15">
        <f t="shared" si="2"/>
        <v>2.9558802241544429E-2</v>
      </c>
      <c r="BY15">
        <f t="shared" si="2"/>
        <v>7.0922744193195788</v>
      </c>
      <c r="BZ15">
        <f t="shared" si="2"/>
        <v>4.423648309364701</v>
      </c>
      <c r="CA15">
        <f t="shared" si="2"/>
        <v>4.5930976047538223</v>
      </c>
      <c r="CB15">
        <f t="shared" si="2"/>
        <v>4.7167115607209986</v>
      </c>
      <c r="CC15">
        <f t="shared" si="2"/>
        <v>7.3105891957360045E-2</v>
      </c>
      <c r="CD15">
        <f t="shared" si="2"/>
        <v>5.29695015597378E-2</v>
      </c>
      <c r="CE15">
        <f t="shared" si="2"/>
        <v>2.9068414736411023E-2</v>
      </c>
      <c r="CG15" s="1">
        <v>41820</v>
      </c>
      <c r="CH15">
        <f t="shared" si="8"/>
        <v>4.7837329414160058E-2</v>
      </c>
      <c r="CI15">
        <f t="shared" si="3"/>
        <v>2.5667746748577813E-2</v>
      </c>
      <c r="CJ15">
        <f t="shared" si="3"/>
        <v>3.1595561589750583E-2</v>
      </c>
      <c r="CK15">
        <f t="shared" si="3"/>
        <v>1.449151782500758</v>
      </c>
      <c r="CL15">
        <f t="shared" si="3"/>
        <v>3.0529205034822791E-2</v>
      </c>
      <c r="CM15">
        <f t="shared" si="3"/>
        <v>7.4785201132532988</v>
      </c>
      <c r="CN15">
        <f t="shared" si="3"/>
        <v>9.4165940896887896</v>
      </c>
      <c r="CO15">
        <f t="shared" si="3"/>
        <v>4.1141943331175213E-2</v>
      </c>
      <c r="CP15">
        <f t="shared" si="3"/>
        <v>3.7295784743696929E-2</v>
      </c>
      <c r="CQ15">
        <f t="shared" si="3"/>
        <v>8.4341148433750956E-2</v>
      </c>
      <c r="CR15">
        <f t="shared" si="3"/>
        <v>0.16041672140590466</v>
      </c>
      <c r="CS15">
        <f t="shared" si="3"/>
        <v>2.9558802241544429E-2</v>
      </c>
      <c r="CT15">
        <f t="shared" si="3"/>
        <v>7.1929567773523857</v>
      </c>
      <c r="CU15">
        <f t="shared" si="3"/>
        <v>4.6347289882296359</v>
      </c>
      <c r="CV15">
        <f t="shared" si="3"/>
        <v>4.6031681833174183</v>
      </c>
      <c r="CW15">
        <f t="shared" si="3"/>
        <v>4.6947366293471342</v>
      </c>
      <c r="CX15">
        <f t="shared" si="3"/>
        <v>7.7211840831060599E-2</v>
      </c>
      <c r="CY15">
        <f t="shared" si="3"/>
        <v>6.428888067281166E-2</v>
      </c>
      <c r="CZ15">
        <f t="shared" si="3"/>
        <v>5.336616211722351E-2</v>
      </c>
      <c r="DB15" s="1">
        <v>41820</v>
      </c>
      <c r="DC15">
        <f t="shared" si="9"/>
        <v>4.4973365642731196E-2</v>
      </c>
      <c r="DD15">
        <f t="shared" si="10"/>
        <v>1.7839918128331016E-2</v>
      </c>
      <c r="DE15">
        <f t="shared" si="11"/>
        <v>3.1498667059371016E-2</v>
      </c>
      <c r="DF15">
        <f t="shared" si="12"/>
        <v>1.4256352593583475</v>
      </c>
      <c r="DG15">
        <f t="shared" si="13"/>
        <v>2.7615167032973391E-2</v>
      </c>
      <c r="DH15">
        <f t="shared" si="14"/>
        <v>7.481296513393497</v>
      </c>
      <c r="DI15">
        <f t="shared" si="15"/>
        <v>9.4178349137680843</v>
      </c>
      <c r="DJ15">
        <f t="shared" si="16"/>
        <v>-4.4973365642731196E-2</v>
      </c>
      <c r="DK15">
        <f t="shared" si="17"/>
        <v>-1.3902905168991434E-2</v>
      </c>
      <c r="DL15">
        <f t="shared" si="18"/>
        <v>5.6380333436107689E-2</v>
      </c>
      <c r="DM15">
        <f t="shared" si="19"/>
        <v>0.17142911562753102</v>
      </c>
      <c r="DN15">
        <f t="shared" si="20"/>
        <v>2.9558802241544429E-2</v>
      </c>
      <c r="DO15">
        <f t="shared" si="21"/>
        <v>7.119255306801211</v>
      </c>
      <c r="DP15">
        <f t="shared" si="22"/>
        <v>4.7068238397145912</v>
      </c>
      <c r="DQ15">
        <f t="shared" si="23"/>
        <v>4.5941092386286666</v>
      </c>
      <c r="DR15">
        <f t="shared" si="24"/>
        <v>4.6362811810131443</v>
      </c>
      <c r="DS15">
        <f t="shared" si="25"/>
        <v>6.6564573629424126E-2</v>
      </c>
      <c r="DT15">
        <f t="shared" si="26"/>
        <v>0.1028084490475758</v>
      </c>
      <c r="DU15">
        <f t="shared" si="27"/>
        <v>5.14918577842143E-2</v>
      </c>
    </row>
    <row r="16" spans="1:125" x14ac:dyDescent="0.35">
      <c r="A16" s="1">
        <v>41547</v>
      </c>
      <c r="B16">
        <f>'Sorting Q'!C16/100</f>
        <v>4.9000000000000002E-2</v>
      </c>
      <c r="C16">
        <f>'Sorting Q'!D16/100</f>
        <v>2.6000000000000002E-2</v>
      </c>
      <c r="D16">
        <f>'Sorting Q'!E16/100</f>
        <v>3.2099999999999997E-2</v>
      </c>
      <c r="E16">
        <f>'Sorting Q'!F16</f>
        <v>3.2595000000000001</v>
      </c>
      <c r="F16">
        <f>'Sorting Q'!G16/100</f>
        <v>3.1E-2</v>
      </c>
      <c r="G16">
        <f>'Sorting Q'!H16</f>
        <v>1768.62</v>
      </c>
      <c r="H16">
        <f>'Sorting Q'!I16</f>
        <v>12289.65</v>
      </c>
      <c r="I16">
        <f>'Sorting Q'!J16/100</f>
        <v>4.2000000000000003E-2</v>
      </c>
      <c r="J16">
        <f>'Sorting Q'!K16/100</f>
        <v>3.7999999999999999E-2</v>
      </c>
      <c r="K16">
        <f>'Sorting Q'!L16/100</f>
        <v>8.8000000000000009E-2</v>
      </c>
      <c r="L16">
        <f>'Sorting Q'!M16/100</f>
        <v>0.17399999999999999</v>
      </c>
      <c r="M16">
        <f>'Sorting Q'!N16/100</f>
        <v>0.03</v>
      </c>
      <c r="N16">
        <f>'Sorting Q'!O16</f>
        <v>1329.03</v>
      </c>
      <c r="O16">
        <f>'Sorting Q'!P16</f>
        <v>102</v>
      </c>
      <c r="P16">
        <f>'Sorting Q'!Q16</f>
        <v>98.8</v>
      </c>
      <c r="Q16">
        <f>'Sorting Q'!R16</f>
        <v>108.37</v>
      </c>
      <c r="R16">
        <f>'Sorting Q'!S16/100</f>
        <v>8.0270897639629593E-2</v>
      </c>
      <c r="S16">
        <f>'Sorting Q'!T16/100</f>
        <v>6.6400416739017087E-2</v>
      </c>
      <c r="T16">
        <f>'Sorting Q'!U16/100</f>
        <v>5.4815808005471478E-2</v>
      </c>
      <c r="V16" s="1">
        <v>41547</v>
      </c>
      <c r="W16">
        <f t="shared" si="5"/>
        <v>4.7837329414160058E-2</v>
      </c>
      <c r="X16">
        <f t="shared" si="31"/>
        <v>2.5667746748577813E-2</v>
      </c>
      <c r="Y16">
        <f t="shared" si="32"/>
        <v>3.1595561589750583E-2</v>
      </c>
      <c r="Z16">
        <f t="shared" si="33"/>
        <v>1.449151782500758</v>
      </c>
      <c r="AA16">
        <f t="shared" si="34"/>
        <v>3.0529205034822791E-2</v>
      </c>
      <c r="AB16">
        <f t="shared" si="35"/>
        <v>7.4785201132532988</v>
      </c>
      <c r="AC16">
        <f t="shared" si="36"/>
        <v>9.4165940896887896</v>
      </c>
      <c r="AD16">
        <f t="shared" si="37"/>
        <v>4.1141943331175213E-2</v>
      </c>
      <c r="AE16">
        <f t="shared" si="38"/>
        <v>3.7295784743696929E-2</v>
      </c>
      <c r="AF16">
        <f t="shared" si="39"/>
        <v>8.4341148433750956E-2</v>
      </c>
      <c r="AG16">
        <f t="shared" si="40"/>
        <v>0.16041672140590466</v>
      </c>
      <c r="AH16">
        <f t="shared" si="41"/>
        <v>2.9558802241544429E-2</v>
      </c>
      <c r="AI16">
        <f t="shared" si="42"/>
        <v>7.1929567773523857</v>
      </c>
      <c r="AJ16">
        <f t="shared" si="43"/>
        <v>4.6347289882296359</v>
      </c>
      <c r="AK16">
        <f t="shared" si="44"/>
        <v>4.6031681833174183</v>
      </c>
      <c r="AL16">
        <f t="shared" si="45"/>
        <v>4.6947366293471342</v>
      </c>
      <c r="AM16">
        <f t="shared" si="28"/>
        <v>7.7211840831060599E-2</v>
      </c>
      <c r="AN16">
        <f t="shared" si="29"/>
        <v>6.428888067281166E-2</v>
      </c>
      <c r="AO16">
        <f t="shared" si="30"/>
        <v>5.336616211722351E-2</v>
      </c>
      <c r="AQ16" s="1">
        <v>41912</v>
      </c>
      <c r="AR16">
        <f t="shared" si="6"/>
        <v>6.2974799161388387E-2</v>
      </c>
      <c r="AS16">
        <f t="shared" si="1"/>
        <v>3.2467190137501413E-2</v>
      </c>
      <c r="AT16">
        <f t="shared" si="1"/>
        <v>3.4884401853501883E-2</v>
      </c>
      <c r="AU16">
        <f t="shared" si="1"/>
        <v>1.4377001491797907</v>
      </c>
      <c r="AV16">
        <f t="shared" ref="AV16:AV45" si="46">AA19</f>
        <v>2.7615167032973391E-2</v>
      </c>
      <c r="AW16">
        <f t="shared" ref="AW16:AW45" si="47">AB19</f>
        <v>7.5409985154750432</v>
      </c>
      <c r="AX16">
        <f t="shared" ref="AX16:AX45" si="48">AC19</f>
        <v>9.476603947317054</v>
      </c>
      <c r="AY16">
        <f t="shared" ref="AY16:AY45" si="49">AD19</f>
        <v>8.2501221511743772E-2</v>
      </c>
      <c r="AZ16">
        <f t="shared" ref="AZ16:AZ45" si="50">AE19</f>
        <v>4.3059489460447013E-2</v>
      </c>
      <c r="BA16">
        <f t="shared" ref="BA16:BA45" si="51">AF19</f>
        <v>6.6723632042908126E-2</v>
      </c>
      <c r="BB16">
        <f t="shared" ref="BB16:BB45" si="52">AG19</f>
        <v>0.16211884947643512</v>
      </c>
      <c r="BC16">
        <f t="shared" ref="BC16:BC45" si="53">AH19</f>
        <v>2.9558802241544429E-2</v>
      </c>
      <c r="BD16">
        <f t="shared" ref="BD16:BD45" si="54">AI19</f>
        <v>7.1916777931427687</v>
      </c>
      <c r="BE16">
        <f t="shared" ref="BE16:BE45" si="55">AJ19</f>
        <v>4.6161101260264257</v>
      </c>
      <c r="BF16">
        <f t="shared" ref="BF16:BF45" si="56">AK19</f>
        <v>4.604169685654508</v>
      </c>
      <c r="BG16">
        <f t="shared" ref="BG16:BG45" si="57">AL19</f>
        <v>4.730568595382425</v>
      </c>
      <c r="BH16">
        <f t="shared" ref="BH16:BH45" si="58">AM19</f>
        <v>6.3134350299600864E-2</v>
      </c>
      <c r="BI16">
        <f t="shared" ref="BI16:BI45" si="59">AN19</f>
        <v>-1.4097207481747062E-3</v>
      </c>
      <c r="BJ16">
        <f t="shared" ref="BJ16:BJ45" si="60">AO19</f>
        <v>5.7320750624542942E-2</v>
      </c>
      <c r="BL16" s="1">
        <v>41912</v>
      </c>
      <c r="BM16">
        <f t="shared" si="7"/>
        <v>6.1095099359810827E-2</v>
      </c>
      <c r="BN16">
        <f t="shared" si="2"/>
        <v>3.4401426717332317E-2</v>
      </c>
      <c r="BO16">
        <f t="shared" si="2"/>
        <v>3.275756423817229E-2</v>
      </c>
      <c r="BP16">
        <f t="shared" si="2"/>
        <v>1.4505594073666122</v>
      </c>
      <c r="BQ16">
        <f t="shared" ref="BQ16:BQ45" si="61">AA18</f>
        <v>2.9558802241544429E-2</v>
      </c>
      <c r="BR16">
        <f t="shared" ref="BR16:BR45" si="62">AB18</f>
        <v>7.5230544251437124</v>
      </c>
      <c r="BS16">
        <f t="shared" ref="BS16:BS45" si="63">AC18</f>
        <v>9.457094194262778</v>
      </c>
      <c r="BT16">
        <f t="shared" ref="BT16:BT45" si="64">AD18</f>
        <v>7.5107472486805479E-2</v>
      </c>
      <c r="BU16">
        <f t="shared" ref="BU16:BU45" si="65">AE18</f>
        <v>7.2320661579626078E-2</v>
      </c>
      <c r="BV16">
        <f t="shared" ref="BV16:BV45" si="66">AF18</f>
        <v>6.4850972319616271E-2</v>
      </c>
      <c r="BW16">
        <f t="shared" ref="BW16:BW45" si="67">AG18</f>
        <v>0.1380212978973748</v>
      </c>
      <c r="BX16">
        <f t="shared" ref="BX16:BX45" si="68">AH18</f>
        <v>2.9558802241544429E-2</v>
      </c>
      <c r="BY16">
        <f t="shared" ref="BY16:BY45" si="69">AI18</f>
        <v>7.158521779400207</v>
      </c>
      <c r="BZ16">
        <f t="shared" ref="BZ16:BZ45" si="70">AJ18</f>
        <v>4.5829245770407718</v>
      </c>
      <c r="CA16">
        <f t="shared" ref="CA16:CA45" si="71">AK18</f>
        <v>4.5971380142908274</v>
      </c>
      <c r="CB16">
        <f t="shared" ref="CB16:CB45" si="72">AL18</f>
        <v>4.6891436197642697</v>
      </c>
      <c r="CC16">
        <f t="shared" ref="CC16:CC45" si="73">AM18</f>
        <v>6.7167100426306733E-2</v>
      </c>
      <c r="CD16">
        <f t="shared" ref="CD16:CD45" si="74">AN18</f>
        <v>0.11289505264178708</v>
      </c>
      <c r="CE16">
        <f t="shared" ref="CE16:CE45" si="75">AO18</f>
        <v>4.6096997979495687E-2</v>
      </c>
      <c r="CG16" s="1">
        <v>41912</v>
      </c>
      <c r="CH16">
        <f t="shared" si="8"/>
        <v>4.8790164169432049E-2</v>
      </c>
      <c r="CI16">
        <f t="shared" si="3"/>
        <v>3.1498667059371016E-2</v>
      </c>
      <c r="CJ16">
        <f t="shared" si="3"/>
        <v>3.2660782239548276E-2</v>
      </c>
      <c r="CK16">
        <f t="shared" si="3"/>
        <v>1.452901054613873</v>
      </c>
      <c r="CL16">
        <f t="shared" ref="CL16:CL45" si="76">AA17</f>
        <v>2.9558802241544429E-2</v>
      </c>
      <c r="CM16">
        <f t="shared" ref="CM16:CM45" si="77">AB17</f>
        <v>7.5326022052832888</v>
      </c>
      <c r="CN16">
        <f t="shared" ref="CN16:CN45" si="78">AC17</f>
        <v>9.4614593367108899</v>
      </c>
      <c r="CO16">
        <f t="shared" ref="CO16:CO45" si="79">AD17</f>
        <v>4.974209189481401E-2</v>
      </c>
      <c r="CP16">
        <f t="shared" ref="CP16:CP45" si="80">AE17</f>
        <v>6.6723632042908126E-2</v>
      </c>
      <c r="CQ16">
        <f t="shared" ref="CQ16:CQ45" si="81">AF17</f>
        <v>5.9211859631846032E-2</v>
      </c>
      <c r="CR16">
        <f t="shared" ref="CR16:CR45" si="82">AG17</f>
        <v>0.1275133202989597</v>
      </c>
      <c r="CS16">
        <f t="shared" ref="CS16:CS45" si="83">AH17</f>
        <v>2.9558802241544429E-2</v>
      </c>
      <c r="CT16">
        <f t="shared" ref="CT16:CT45" si="84">AI17</f>
        <v>7.0922744193195788</v>
      </c>
      <c r="CU16">
        <f t="shared" ref="CU16:CU45" si="85">AJ17</f>
        <v>4.423648309364701</v>
      </c>
      <c r="CV16">
        <f t="shared" ref="CV16:CV45" si="86">AK17</f>
        <v>4.5930976047538223</v>
      </c>
      <c r="CW16">
        <f t="shared" ref="CW16:CW45" si="87">AL17</f>
        <v>4.7167115607209986</v>
      </c>
      <c r="CX16">
        <f t="shared" ref="CX16:CX45" si="88">AM17</f>
        <v>7.3105891957360045E-2</v>
      </c>
      <c r="CY16">
        <f t="shared" ref="CY16:CY45" si="89">AN17</f>
        <v>5.29695015597378E-2</v>
      </c>
      <c r="CZ16">
        <f t="shared" ref="CZ16:CZ45" si="90">AO17</f>
        <v>2.9068414736411023E-2</v>
      </c>
      <c r="DB16" s="1">
        <v>41912</v>
      </c>
      <c r="DC16">
        <f t="shared" si="9"/>
        <v>4.7837329414160058E-2</v>
      </c>
      <c r="DD16">
        <f t="shared" si="10"/>
        <v>2.5667746748577813E-2</v>
      </c>
      <c r="DE16">
        <f t="shared" si="11"/>
        <v>3.1595561589750583E-2</v>
      </c>
      <c r="DF16">
        <f t="shared" si="12"/>
        <v>1.449151782500758</v>
      </c>
      <c r="DG16">
        <f t="shared" si="13"/>
        <v>3.0529205034822791E-2</v>
      </c>
      <c r="DH16">
        <f t="shared" si="14"/>
        <v>7.4785201132532988</v>
      </c>
      <c r="DI16">
        <f t="shared" si="15"/>
        <v>9.4165940896887896</v>
      </c>
      <c r="DJ16">
        <f t="shared" si="16"/>
        <v>4.1141943331175213E-2</v>
      </c>
      <c r="DK16">
        <f t="shared" si="17"/>
        <v>3.7295784743696929E-2</v>
      </c>
      <c r="DL16">
        <f t="shared" si="18"/>
        <v>8.4341148433750956E-2</v>
      </c>
      <c r="DM16">
        <f t="shared" si="19"/>
        <v>0.16041672140590466</v>
      </c>
      <c r="DN16">
        <f t="shared" si="20"/>
        <v>2.9558802241544429E-2</v>
      </c>
      <c r="DO16">
        <f t="shared" si="21"/>
        <v>7.1929567773523857</v>
      </c>
      <c r="DP16">
        <f t="shared" si="22"/>
        <v>4.6347289882296359</v>
      </c>
      <c r="DQ16">
        <f t="shared" si="23"/>
        <v>4.6031681833174183</v>
      </c>
      <c r="DR16">
        <f t="shared" si="24"/>
        <v>4.6947366293471342</v>
      </c>
      <c r="DS16">
        <f t="shared" si="25"/>
        <v>7.7211840831060599E-2</v>
      </c>
      <c r="DT16">
        <f t="shared" si="26"/>
        <v>6.428888067281166E-2</v>
      </c>
      <c r="DU16">
        <f t="shared" si="27"/>
        <v>5.336616211722351E-2</v>
      </c>
    </row>
    <row r="17" spans="1:125" x14ac:dyDescent="0.35">
      <c r="A17" s="1">
        <v>41639</v>
      </c>
      <c r="B17">
        <f>'Sorting Q'!C17/100</f>
        <v>0.05</v>
      </c>
      <c r="C17">
        <f>'Sorting Q'!D17/100</f>
        <v>3.2000000000000001E-2</v>
      </c>
      <c r="D17">
        <f>'Sorting Q'!E17/100</f>
        <v>3.32E-2</v>
      </c>
      <c r="E17">
        <f>'Sorting Q'!F17</f>
        <v>3.2755000000000001</v>
      </c>
      <c r="F17">
        <f>'Sorting Q'!G17/100</f>
        <v>0.03</v>
      </c>
      <c r="G17">
        <f>'Sorting Q'!H17</f>
        <v>1866.96</v>
      </c>
      <c r="H17">
        <f>'Sorting Q'!I17</f>
        <v>12853.63</v>
      </c>
      <c r="I17">
        <f>'Sorting Q'!J17/100</f>
        <v>5.0999999999999997E-2</v>
      </c>
      <c r="J17">
        <f>'Sorting Q'!K17/100</f>
        <v>6.9000000000000006E-2</v>
      </c>
      <c r="K17">
        <f>'Sorting Q'!L17/100</f>
        <v>6.0999999999999999E-2</v>
      </c>
      <c r="L17">
        <f>'Sorting Q'!M17/100</f>
        <v>0.13600000000000001</v>
      </c>
      <c r="M17">
        <f>'Sorting Q'!N17/100</f>
        <v>0.03</v>
      </c>
      <c r="N17">
        <f>'Sorting Q'!O17</f>
        <v>1201.6400000000001</v>
      </c>
      <c r="O17">
        <f>'Sorting Q'!P17</f>
        <v>82.4</v>
      </c>
      <c r="P17">
        <f>'Sorting Q'!Q17</f>
        <v>97.8</v>
      </c>
      <c r="Q17">
        <f>'Sorting Q'!R17</f>
        <v>110.8</v>
      </c>
      <c r="R17">
        <f>'Sorting Q'!S17/100</f>
        <v>7.5844454158202845E-2</v>
      </c>
      <c r="S17">
        <f>'Sorting Q'!T17/100</f>
        <v>5.4397487150199986E-2</v>
      </c>
      <c r="T17">
        <f>'Sorting Q'!U17/100</f>
        <v>2.9495024696621908E-2</v>
      </c>
      <c r="V17" s="1">
        <v>41639</v>
      </c>
      <c r="W17">
        <f t="shared" si="5"/>
        <v>4.8790164169432049E-2</v>
      </c>
      <c r="X17">
        <f t="shared" si="31"/>
        <v>3.1498667059371016E-2</v>
      </c>
      <c r="Y17">
        <f t="shared" si="32"/>
        <v>3.2660782239548276E-2</v>
      </c>
      <c r="Z17">
        <f t="shared" si="33"/>
        <v>1.452901054613873</v>
      </c>
      <c r="AA17">
        <f t="shared" si="34"/>
        <v>2.9558802241544429E-2</v>
      </c>
      <c r="AB17">
        <f t="shared" si="35"/>
        <v>7.5326022052832888</v>
      </c>
      <c r="AC17">
        <f t="shared" si="36"/>
        <v>9.4614593367108899</v>
      </c>
      <c r="AD17">
        <f t="shared" si="37"/>
        <v>4.974209189481401E-2</v>
      </c>
      <c r="AE17">
        <f t="shared" si="38"/>
        <v>6.6723632042908126E-2</v>
      </c>
      <c r="AF17">
        <f t="shared" si="39"/>
        <v>5.9211859631846032E-2</v>
      </c>
      <c r="AG17">
        <f t="shared" si="40"/>
        <v>0.1275133202989597</v>
      </c>
      <c r="AH17">
        <f t="shared" si="41"/>
        <v>2.9558802241544429E-2</v>
      </c>
      <c r="AI17">
        <f t="shared" si="42"/>
        <v>7.0922744193195788</v>
      </c>
      <c r="AJ17">
        <f t="shared" si="43"/>
        <v>4.423648309364701</v>
      </c>
      <c r="AK17">
        <f t="shared" si="44"/>
        <v>4.5930976047538223</v>
      </c>
      <c r="AL17">
        <f t="shared" si="45"/>
        <v>4.7167115607209986</v>
      </c>
      <c r="AM17">
        <f t="shared" si="28"/>
        <v>7.3105891957360045E-2</v>
      </c>
      <c r="AN17">
        <f t="shared" si="29"/>
        <v>5.29695015597378E-2</v>
      </c>
      <c r="AO17">
        <f t="shared" si="30"/>
        <v>2.9068414736411023E-2</v>
      </c>
      <c r="AQ17" s="1">
        <v>42004</v>
      </c>
      <c r="AR17">
        <f t="shared" si="6"/>
        <v>5.4488185284069776E-2</v>
      </c>
      <c r="AS17">
        <f t="shared" ref="AS17:AS45" si="91">X20</f>
        <v>2.5667746748577813E-2</v>
      </c>
      <c r="AT17">
        <f t="shared" ref="AT17:AT45" si="92">Y20</f>
        <v>3.6717582935162862E-2</v>
      </c>
      <c r="AU17">
        <f t="shared" ref="AU17:AU45" si="93">Z20</f>
        <v>1.4540698252004034</v>
      </c>
      <c r="AV17">
        <f t="shared" si="46"/>
        <v>2.6641930946421092E-2</v>
      </c>
      <c r="AW17">
        <f t="shared" si="47"/>
        <v>7.5214858058558454</v>
      </c>
      <c r="AX17">
        <f t="shared" si="48"/>
        <v>9.4669705355572891</v>
      </c>
      <c r="AY17">
        <f t="shared" si="49"/>
        <v>2.5667746748577813E-2</v>
      </c>
      <c r="AZ17">
        <f t="shared" si="50"/>
        <v>2.0782539182528412E-2</v>
      </c>
      <c r="BA17">
        <f t="shared" si="51"/>
        <v>1.2916225266546229E-2</v>
      </c>
      <c r="BB17">
        <f t="shared" si="52"/>
        <v>0.22554067591393134</v>
      </c>
      <c r="BC17">
        <f t="shared" si="53"/>
        <v>3.2467190137501413E-2</v>
      </c>
      <c r="BD17">
        <f t="shared" si="54"/>
        <v>7.0976729123977194</v>
      </c>
      <c r="BE17">
        <f t="shared" si="55"/>
        <v>4.5951198501345898</v>
      </c>
      <c r="BF17">
        <f t="shared" si="56"/>
        <v>4.619073091157083</v>
      </c>
      <c r="BG17">
        <f t="shared" si="57"/>
        <v>4.560904769690076</v>
      </c>
      <c r="BH17">
        <f t="shared" si="58"/>
        <v>6.5793596141390812E-2</v>
      </c>
      <c r="BI17">
        <f t="shared" si="59"/>
        <v>4.9740325714116074E-2</v>
      </c>
      <c r="BJ17">
        <f t="shared" si="60"/>
        <v>4.1268439882636579E-2</v>
      </c>
      <c r="BL17" s="1">
        <v>42004</v>
      </c>
      <c r="BM17">
        <f t="shared" si="7"/>
        <v>6.2974799161388387E-2</v>
      </c>
      <c r="BN17">
        <f t="shared" ref="BN17:BN45" si="94">X19</f>
        <v>3.2467190137501413E-2</v>
      </c>
      <c r="BO17">
        <f t="shared" ref="BO17:BO45" si="95">Y19</f>
        <v>3.4884401853501883E-2</v>
      </c>
      <c r="BP17">
        <f t="shared" ref="BP17:BP45" si="96">Z19</f>
        <v>1.4377001491797907</v>
      </c>
      <c r="BQ17">
        <f t="shared" si="61"/>
        <v>2.7615167032973391E-2</v>
      </c>
      <c r="BR17">
        <f t="shared" si="62"/>
        <v>7.5409985154750432</v>
      </c>
      <c r="BS17">
        <f t="shared" si="63"/>
        <v>9.476603947317054</v>
      </c>
      <c r="BT17">
        <f t="shared" si="64"/>
        <v>8.2501221511743772E-2</v>
      </c>
      <c r="BU17">
        <f t="shared" si="65"/>
        <v>4.3059489460447013E-2</v>
      </c>
      <c r="BV17">
        <f t="shared" si="66"/>
        <v>6.6723632042908126E-2</v>
      </c>
      <c r="BW17">
        <f t="shared" si="67"/>
        <v>0.16211884947643512</v>
      </c>
      <c r="BX17">
        <f t="shared" si="68"/>
        <v>2.9558802241544429E-2</v>
      </c>
      <c r="BY17">
        <f t="shared" si="69"/>
        <v>7.1916777931427687</v>
      </c>
      <c r="BZ17">
        <f t="shared" si="70"/>
        <v>4.6161101260264257</v>
      </c>
      <c r="CA17">
        <f t="shared" si="71"/>
        <v>4.604169685654508</v>
      </c>
      <c r="CB17">
        <f t="shared" si="72"/>
        <v>4.730568595382425</v>
      </c>
      <c r="CC17">
        <f t="shared" si="73"/>
        <v>6.3134350299600864E-2</v>
      </c>
      <c r="CD17">
        <f t="shared" si="74"/>
        <v>-1.4097207481747062E-3</v>
      </c>
      <c r="CE17">
        <f t="shared" si="75"/>
        <v>5.7320750624542942E-2</v>
      </c>
      <c r="CG17" s="1">
        <v>42004</v>
      </c>
      <c r="CH17">
        <f t="shared" si="8"/>
        <v>6.1095099359810827E-2</v>
      </c>
      <c r="CI17">
        <f t="shared" ref="CI17:CI45" si="97">X18</f>
        <v>3.4401426717332317E-2</v>
      </c>
      <c r="CJ17">
        <f t="shared" ref="CJ17:CJ45" si="98">Y18</f>
        <v>3.275756423817229E-2</v>
      </c>
      <c r="CK17">
        <f t="shared" ref="CK17:CK45" si="99">Z18</f>
        <v>1.4505594073666122</v>
      </c>
      <c r="CL17">
        <f t="shared" si="76"/>
        <v>2.9558802241544429E-2</v>
      </c>
      <c r="CM17">
        <f t="shared" si="77"/>
        <v>7.5230544251437124</v>
      </c>
      <c r="CN17">
        <f t="shared" si="78"/>
        <v>9.457094194262778</v>
      </c>
      <c r="CO17">
        <f t="shared" si="79"/>
        <v>7.5107472486805479E-2</v>
      </c>
      <c r="CP17">
        <f t="shared" si="80"/>
        <v>7.2320661579626078E-2</v>
      </c>
      <c r="CQ17">
        <f t="shared" si="81"/>
        <v>6.4850972319616271E-2</v>
      </c>
      <c r="CR17">
        <f t="shared" si="82"/>
        <v>0.1380212978973748</v>
      </c>
      <c r="CS17">
        <f t="shared" si="83"/>
        <v>2.9558802241544429E-2</v>
      </c>
      <c r="CT17">
        <f t="shared" si="84"/>
        <v>7.158521779400207</v>
      </c>
      <c r="CU17">
        <f t="shared" si="85"/>
        <v>4.5829245770407718</v>
      </c>
      <c r="CV17">
        <f t="shared" si="86"/>
        <v>4.5971380142908274</v>
      </c>
      <c r="CW17">
        <f t="shared" si="87"/>
        <v>4.6891436197642697</v>
      </c>
      <c r="CX17">
        <f t="shared" si="88"/>
        <v>6.7167100426306733E-2</v>
      </c>
      <c r="CY17">
        <f t="shared" si="89"/>
        <v>0.11289505264178708</v>
      </c>
      <c r="CZ17">
        <f t="shared" si="90"/>
        <v>4.6096997979495687E-2</v>
      </c>
      <c r="DB17" s="1">
        <v>42004</v>
      </c>
      <c r="DC17">
        <f t="shared" si="9"/>
        <v>4.8790164169432049E-2</v>
      </c>
      <c r="DD17">
        <f t="shared" si="10"/>
        <v>3.1498667059371016E-2</v>
      </c>
      <c r="DE17">
        <f t="shared" si="11"/>
        <v>3.2660782239548276E-2</v>
      </c>
      <c r="DF17">
        <f t="shared" si="12"/>
        <v>1.452901054613873</v>
      </c>
      <c r="DG17">
        <f t="shared" si="13"/>
        <v>2.9558802241544429E-2</v>
      </c>
      <c r="DH17">
        <f t="shared" si="14"/>
        <v>7.5326022052832888</v>
      </c>
      <c r="DI17">
        <f t="shared" si="15"/>
        <v>9.4614593367108899</v>
      </c>
      <c r="DJ17">
        <f t="shared" si="16"/>
        <v>4.974209189481401E-2</v>
      </c>
      <c r="DK17">
        <f t="shared" si="17"/>
        <v>6.6723632042908126E-2</v>
      </c>
      <c r="DL17">
        <f t="shared" si="18"/>
        <v>5.9211859631846032E-2</v>
      </c>
      <c r="DM17">
        <f t="shared" si="19"/>
        <v>0.1275133202989597</v>
      </c>
      <c r="DN17">
        <f t="shared" si="20"/>
        <v>2.9558802241544429E-2</v>
      </c>
      <c r="DO17">
        <f t="shared" si="21"/>
        <v>7.0922744193195788</v>
      </c>
      <c r="DP17">
        <f t="shared" si="22"/>
        <v>4.423648309364701</v>
      </c>
      <c r="DQ17">
        <f t="shared" si="23"/>
        <v>4.5930976047538223</v>
      </c>
      <c r="DR17">
        <f t="shared" si="24"/>
        <v>4.7167115607209986</v>
      </c>
      <c r="DS17">
        <f t="shared" si="25"/>
        <v>7.3105891957360045E-2</v>
      </c>
      <c r="DT17">
        <f t="shared" si="26"/>
        <v>5.29695015597378E-2</v>
      </c>
      <c r="DU17">
        <f t="shared" si="27"/>
        <v>2.9068414736411023E-2</v>
      </c>
    </row>
    <row r="18" spans="1:125" x14ac:dyDescent="0.35">
      <c r="A18" s="1">
        <v>41729</v>
      </c>
      <c r="B18">
        <f>'Sorting Q'!C18/100</f>
        <v>6.3E-2</v>
      </c>
      <c r="C18">
        <f>'Sorting Q'!D18/100</f>
        <v>3.5000000000000003E-2</v>
      </c>
      <c r="D18">
        <f>'Sorting Q'!E18/100</f>
        <v>3.3300000000000003E-2</v>
      </c>
      <c r="E18">
        <f>'Sorting Q'!F18</f>
        <v>3.2654999999999998</v>
      </c>
      <c r="F18">
        <f>'Sorting Q'!G18/100</f>
        <v>0.03</v>
      </c>
      <c r="G18">
        <f>'Sorting Q'!H18</f>
        <v>1849.21</v>
      </c>
      <c r="H18">
        <f>'Sorting Q'!I18</f>
        <v>12797.64</v>
      </c>
      <c r="I18">
        <f>'Sorting Q'!J18/100</f>
        <v>7.8E-2</v>
      </c>
      <c r="J18">
        <f>'Sorting Q'!K18/100</f>
        <v>7.4999999999999997E-2</v>
      </c>
      <c r="K18">
        <f>'Sorting Q'!L18/100</f>
        <v>6.7000000000000004E-2</v>
      </c>
      <c r="L18">
        <f>'Sorting Q'!M18/100</f>
        <v>0.14800000000000002</v>
      </c>
      <c r="M18">
        <f>'Sorting Q'!N18/100</f>
        <v>0.03</v>
      </c>
      <c r="N18">
        <f>'Sorting Q'!O18</f>
        <v>1284.01</v>
      </c>
      <c r="O18">
        <f>'Sorting Q'!P18</f>
        <v>96.8</v>
      </c>
      <c r="P18">
        <f>'Sorting Q'!Q18</f>
        <v>98.2</v>
      </c>
      <c r="Q18">
        <f>'Sorting Q'!R18</f>
        <v>107.76</v>
      </c>
      <c r="R18">
        <f>'Sorting Q'!S18/100</f>
        <v>6.9474172834412151E-2</v>
      </c>
      <c r="S18">
        <f>'Sorting Q'!T18/100</f>
        <v>0.11951443670062044</v>
      </c>
      <c r="T18">
        <f>'Sorting Q'!U18/100</f>
        <v>4.7175979985097261E-2</v>
      </c>
      <c r="V18" s="1">
        <v>41729</v>
      </c>
      <c r="W18">
        <f t="shared" si="5"/>
        <v>6.1095099359810827E-2</v>
      </c>
      <c r="X18">
        <f t="shared" si="31"/>
        <v>3.4401426717332317E-2</v>
      </c>
      <c r="Y18">
        <f t="shared" si="32"/>
        <v>3.275756423817229E-2</v>
      </c>
      <c r="Z18">
        <f t="shared" si="33"/>
        <v>1.4505594073666122</v>
      </c>
      <c r="AA18">
        <f t="shared" si="34"/>
        <v>2.9558802241544429E-2</v>
      </c>
      <c r="AB18">
        <f t="shared" si="35"/>
        <v>7.5230544251437124</v>
      </c>
      <c r="AC18">
        <f t="shared" si="36"/>
        <v>9.457094194262778</v>
      </c>
      <c r="AD18">
        <f t="shared" si="37"/>
        <v>7.5107472486805479E-2</v>
      </c>
      <c r="AE18">
        <f t="shared" si="38"/>
        <v>7.2320661579626078E-2</v>
      </c>
      <c r="AF18">
        <f t="shared" si="39"/>
        <v>6.4850972319616271E-2</v>
      </c>
      <c r="AG18">
        <f t="shared" si="40"/>
        <v>0.1380212978973748</v>
      </c>
      <c r="AH18">
        <f t="shared" si="41"/>
        <v>2.9558802241544429E-2</v>
      </c>
      <c r="AI18">
        <f t="shared" si="42"/>
        <v>7.158521779400207</v>
      </c>
      <c r="AJ18">
        <f t="shared" si="43"/>
        <v>4.5829245770407718</v>
      </c>
      <c r="AK18">
        <f t="shared" si="44"/>
        <v>4.5971380142908274</v>
      </c>
      <c r="AL18">
        <f t="shared" si="45"/>
        <v>4.6891436197642697</v>
      </c>
      <c r="AM18">
        <f t="shared" si="28"/>
        <v>6.7167100426306733E-2</v>
      </c>
      <c r="AN18">
        <f t="shared" si="29"/>
        <v>0.11289505264178708</v>
      </c>
      <c r="AO18">
        <f t="shared" si="30"/>
        <v>4.6096997979495687E-2</v>
      </c>
      <c r="AQ18" s="1">
        <v>42094</v>
      </c>
      <c r="AR18">
        <f t="shared" si="6"/>
        <v>5.5434706888100524E-2</v>
      </c>
      <c r="AS18">
        <f t="shared" si="91"/>
        <v>2.6641930946421092E-2</v>
      </c>
      <c r="AT18">
        <f t="shared" si="92"/>
        <v>3.7873652428081488E-2</v>
      </c>
      <c r="AU18">
        <f t="shared" si="93"/>
        <v>1.5032993163724331</v>
      </c>
      <c r="AV18">
        <f t="shared" si="46"/>
        <v>2.9558802241544429E-2</v>
      </c>
      <c r="AW18">
        <f t="shared" si="47"/>
        <v>7.4743466806539853</v>
      </c>
      <c r="AX18">
        <f t="shared" si="48"/>
        <v>9.3982529365832992</v>
      </c>
      <c r="AY18">
        <f t="shared" si="49"/>
        <v>1.5873349156290163E-2</v>
      </c>
      <c r="AZ18">
        <f t="shared" si="50"/>
        <v>2.2739486969489339E-2</v>
      </c>
      <c r="BA18">
        <f t="shared" si="51"/>
        <v>4.2101176018635326E-2</v>
      </c>
      <c r="BB18">
        <f t="shared" si="52"/>
        <v>0.13714983814723367</v>
      </c>
      <c r="BC18">
        <f t="shared" si="53"/>
        <v>3.2467190137501413E-2</v>
      </c>
      <c r="BD18">
        <f t="shared" si="54"/>
        <v>7.0778102411205461</v>
      </c>
      <c r="BE18">
        <f t="shared" si="55"/>
        <v>4.4308167988433134</v>
      </c>
      <c r="BF18">
        <f t="shared" si="56"/>
        <v>4.6249728132842707</v>
      </c>
      <c r="BG18">
        <f t="shared" si="57"/>
        <v>4.0661165407655462</v>
      </c>
      <c r="BH18">
        <f t="shared" si="58"/>
        <v>7.3445375913564703E-2</v>
      </c>
      <c r="BI18">
        <f t="shared" si="59"/>
        <v>2.4433869694035389E-2</v>
      </c>
      <c r="BJ18">
        <f t="shared" si="60"/>
        <v>5.7097266375885809E-2</v>
      </c>
      <c r="BL18" s="1">
        <v>42094</v>
      </c>
      <c r="BM18">
        <f t="shared" si="7"/>
        <v>5.4488185284069776E-2</v>
      </c>
      <c r="BN18">
        <f t="shared" si="94"/>
        <v>2.5667746748577813E-2</v>
      </c>
      <c r="BO18">
        <f t="shared" si="95"/>
        <v>3.6717582935162862E-2</v>
      </c>
      <c r="BP18">
        <f t="shared" si="96"/>
        <v>1.4540698252004034</v>
      </c>
      <c r="BQ18">
        <f t="shared" si="61"/>
        <v>2.6641930946421092E-2</v>
      </c>
      <c r="BR18">
        <f t="shared" si="62"/>
        <v>7.5214858058558454</v>
      </c>
      <c r="BS18">
        <f t="shared" si="63"/>
        <v>9.4669705355572891</v>
      </c>
      <c r="BT18">
        <f t="shared" si="64"/>
        <v>2.5667746748577813E-2</v>
      </c>
      <c r="BU18">
        <f t="shared" si="65"/>
        <v>2.0782539182528412E-2</v>
      </c>
      <c r="BV18">
        <f t="shared" si="66"/>
        <v>1.2916225266546229E-2</v>
      </c>
      <c r="BW18">
        <f t="shared" si="67"/>
        <v>0.22554067591393134</v>
      </c>
      <c r="BX18">
        <f t="shared" si="68"/>
        <v>3.2467190137501413E-2</v>
      </c>
      <c r="BY18">
        <f t="shared" si="69"/>
        <v>7.0976729123977194</v>
      </c>
      <c r="BZ18">
        <f t="shared" si="70"/>
        <v>4.5951198501345898</v>
      </c>
      <c r="CA18">
        <f t="shared" si="71"/>
        <v>4.619073091157083</v>
      </c>
      <c r="CB18">
        <f t="shared" si="72"/>
        <v>4.560904769690076</v>
      </c>
      <c r="CC18">
        <f t="shared" si="73"/>
        <v>6.5793596141390812E-2</v>
      </c>
      <c r="CD18">
        <f t="shared" si="74"/>
        <v>4.9740325714116074E-2</v>
      </c>
      <c r="CE18">
        <f t="shared" si="75"/>
        <v>4.1268439882636579E-2</v>
      </c>
      <c r="CG18" s="1">
        <v>42094</v>
      </c>
      <c r="CH18">
        <f t="shared" si="8"/>
        <v>6.2974799161388387E-2</v>
      </c>
      <c r="CI18">
        <f t="shared" si="97"/>
        <v>3.2467190137501413E-2</v>
      </c>
      <c r="CJ18">
        <f t="shared" si="98"/>
        <v>3.4884401853501883E-2</v>
      </c>
      <c r="CK18">
        <f t="shared" si="99"/>
        <v>1.4377001491797907</v>
      </c>
      <c r="CL18">
        <f t="shared" si="76"/>
        <v>2.7615167032973391E-2</v>
      </c>
      <c r="CM18">
        <f t="shared" si="77"/>
        <v>7.5409985154750432</v>
      </c>
      <c r="CN18">
        <f t="shared" si="78"/>
        <v>9.476603947317054</v>
      </c>
      <c r="CO18">
        <f t="shared" si="79"/>
        <v>8.2501221511743772E-2</v>
      </c>
      <c r="CP18">
        <f t="shared" si="80"/>
        <v>4.3059489460447013E-2</v>
      </c>
      <c r="CQ18">
        <f t="shared" si="81"/>
        <v>6.6723632042908126E-2</v>
      </c>
      <c r="CR18">
        <f t="shared" si="82"/>
        <v>0.16211884947643512</v>
      </c>
      <c r="CS18">
        <f t="shared" si="83"/>
        <v>2.9558802241544429E-2</v>
      </c>
      <c r="CT18">
        <f t="shared" si="84"/>
        <v>7.1916777931427687</v>
      </c>
      <c r="CU18">
        <f t="shared" si="85"/>
        <v>4.6161101260264257</v>
      </c>
      <c r="CV18">
        <f t="shared" si="86"/>
        <v>4.604169685654508</v>
      </c>
      <c r="CW18">
        <f t="shared" si="87"/>
        <v>4.730568595382425</v>
      </c>
      <c r="CX18">
        <f t="shared" si="88"/>
        <v>6.3134350299600864E-2</v>
      </c>
      <c r="CY18">
        <f t="shared" si="89"/>
        <v>-1.4097207481747062E-3</v>
      </c>
      <c r="CZ18">
        <f t="shared" si="90"/>
        <v>5.7320750624542942E-2</v>
      </c>
      <c r="DB18" s="1">
        <v>42094</v>
      </c>
      <c r="DC18">
        <f t="shared" si="9"/>
        <v>6.1095099359810827E-2</v>
      </c>
      <c r="DD18">
        <f t="shared" si="10"/>
        <v>3.4401426717332317E-2</v>
      </c>
      <c r="DE18">
        <f t="shared" si="11"/>
        <v>3.275756423817229E-2</v>
      </c>
      <c r="DF18">
        <f t="shared" si="12"/>
        <v>1.4505594073666122</v>
      </c>
      <c r="DG18">
        <f t="shared" si="13"/>
        <v>2.9558802241544429E-2</v>
      </c>
      <c r="DH18">
        <f t="shared" si="14"/>
        <v>7.5230544251437124</v>
      </c>
      <c r="DI18">
        <f t="shared" si="15"/>
        <v>9.457094194262778</v>
      </c>
      <c r="DJ18">
        <f t="shared" si="16"/>
        <v>7.5107472486805479E-2</v>
      </c>
      <c r="DK18">
        <f t="shared" si="17"/>
        <v>7.2320661579626078E-2</v>
      </c>
      <c r="DL18">
        <f t="shared" si="18"/>
        <v>6.4850972319616271E-2</v>
      </c>
      <c r="DM18">
        <f t="shared" si="19"/>
        <v>0.1380212978973748</v>
      </c>
      <c r="DN18">
        <f t="shared" si="20"/>
        <v>2.9558802241544429E-2</v>
      </c>
      <c r="DO18">
        <f t="shared" si="21"/>
        <v>7.158521779400207</v>
      </c>
      <c r="DP18">
        <f t="shared" si="22"/>
        <v>4.5829245770407718</v>
      </c>
      <c r="DQ18">
        <f t="shared" si="23"/>
        <v>4.5971380142908274</v>
      </c>
      <c r="DR18">
        <f t="shared" si="24"/>
        <v>4.6891436197642697</v>
      </c>
      <c r="DS18">
        <f t="shared" si="25"/>
        <v>6.7167100426306733E-2</v>
      </c>
      <c r="DT18">
        <f t="shared" si="26"/>
        <v>0.11289505264178708</v>
      </c>
      <c r="DU18">
        <f t="shared" si="27"/>
        <v>4.6096997979495687E-2</v>
      </c>
    </row>
    <row r="19" spans="1:125" x14ac:dyDescent="0.35">
      <c r="A19" s="1">
        <v>41820</v>
      </c>
      <c r="B19">
        <f>'Sorting Q'!C19/100</f>
        <v>6.5000000000000002E-2</v>
      </c>
      <c r="C19">
        <f>'Sorting Q'!D19/100</f>
        <v>3.3000000000000002E-2</v>
      </c>
      <c r="D19">
        <f>'Sorting Q'!E19/100</f>
        <v>3.5499999999999997E-2</v>
      </c>
      <c r="E19">
        <f>'Sorting Q'!F19</f>
        <v>3.2109999999999999</v>
      </c>
      <c r="F19">
        <f>'Sorting Q'!G19/100</f>
        <v>2.7999999999999997E-2</v>
      </c>
      <c r="G19">
        <f>'Sorting Q'!H19</f>
        <v>1882.71</v>
      </c>
      <c r="H19">
        <f>'Sorting Q'!I19</f>
        <v>13049.79</v>
      </c>
      <c r="I19">
        <f>'Sorting Q'!J19/100</f>
        <v>8.5999999999999993E-2</v>
      </c>
      <c r="J19">
        <f>'Sorting Q'!K19/100</f>
        <v>4.4000000000000004E-2</v>
      </c>
      <c r="K19">
        <f>'Sorting Q'!L19/100</f>
        <v>6.9000000000000006E-2</v>
      </c>
      <c r="L19">
        <f>'Sorting Q'!M19/100</f>
        <v>0.17600000000000002</v>
      </c>
      <c r="M19">
        <f>'Sorting Q'!N19/100</f>
        <v>0.03</v>
      </c>
      <c r="N19">
        <f>'Sorting Q'!O19</f>
        <v>1327.33</v>
      </c>
      <c r="O19">
        <f>'Sorting Q'!P19</f>
        <v>100.1</v>
      </c>
      <c r="P19">
        <f>'Sorting Q'!Q19</f>
        <v>98.9</v>
      </c>
      <c r="Q19">
        <f>'Sorting Q'!R19</f>
        <v>112.36</v>
      </c>
      <c r="R19">
        <f>'Sorting Q'!S19/100</f>
        <v>6.5169935518538447E-2</v>
      </c>
      <c r="S19">
        <f>'Sorting Q'!T19/100</f>
        <v>-1.4107148715593043E-3</v>
      </c>
      <c r="T19">
        <f>'Sorting Q'!U19/100</f>
        <v>5.8995429371448083E-2</v>
      </c>
      <c r="V19" s="1">
        <v>41820</v>
      </c>
      <c r="W19">
        <f t="shared" si="5"/>
        <v>6.2974799161388387E-2</v>
      </c>
      <c r="X19">
        <f t="shared" si="31"/>
        <v>3.2467190137501413E-2</v>
      </c>
      <c r="Y19">
        <f t="shared" si="32"/>
        <v>3.4884401853501883E-2</v>
      </c>
      <c r="Z19">
        <f t="shared" si="33"/>
        <v>1.4377001491797907</v>
      </c>
      <c r="AA19">
        <f t="shared" si="34"/>
        <v>2.7615167032973391E-2</v>
      </c>
      <c r="AB19">
        <f t="shared" si="35"/>
        <v>7.5409985154750432</v>
      </c>
      <c r="AC19">
        <f t="shared" si="36"/>
        <v>9.476603947317054</v>
      </c>
      <c r="AD19">
        <f t="shared" si="37"/>
        <v>8.2501221511743772E-2</v>
      </c>
      <c r="AE19">
        <f t="shared" si="38"/>
        <v>4.3059489460447013E-2</v>
      </c>
      <c r="AF19">
        <f t="shared" si="39"/>
        <v>6.6723632042908126E-2</v>
      </c>
      <c r="AG19">
        <f t="shared" si="40"/>
        <v>0.16211884947643512</v>
      </c>
      <c r="AH19">
        <f t="shared" si="41"/>
        <v>2.9558802241544429E-2</v>
      </c>
      <c r="AI19">
        <f t="shared" si="42"/>
        <v>7.1916777931427687</v>
      </c>
      <c r="AJ19">
        <f t="shared" si="43"/>
        <v>4.6161101260264257</v>
      </c>
      <c r="AK19">
        <f t="shared" si="44"/>
        <v>4.604169685654508</v>
      </c>
      <c r="AL19">
        <f t="shared" si="45"/>
        <v>4.730568595382425</v>
      </c>
      <c r="AM19">
        <f t="shared" si="28"/>
        <v>6.3134350299600864E-2</v>
      </c>
      <c r="AN19">
        <f t="shared" si="29"/>
        <v>-1.4097207481747062E-3</v>
      </c>
      <c r="AO19">
        <f t="shared" si="30"/>
        <v>5.7320750624542942E-2</v>
      </c>
      <c r="AQ19" s="1">
        <v>42185</v>
      </c>
      <c r="AR19">
        <f t="shared" si="6"/>
        <v>5.7325066619269352E-2</v>
      </c>
      <c r="AS19">
        <f t="shared" si="91"/>
        <v>8.9597413714718015E-3</v>
      </c>
      <c r="AT19">
        <f t="shared" si="92"/>
        <v>3.6621183455645412E-2</v>
      </c>
      <c r="AU19">
        <f t="shared" si="93"/>
        <v>1.5483069124298692</v>
      </c>
      <c r="AV19">
        <f t="shared" si="46"/>
        <v>2.9558802241544429E-2</v>
      </c>
      <c r="AW19">
        <f t="shared" si="47"/>
        <v>7.5130434506867694</v>
      </c>
      <c r="AX19">
        <f t="shared" si="48"/>
        <v>9.4386211053460194</v>
      </c>
      <c r="AY19">
        <f t="shared" si="49"/>
        <v>-1.6857117066422806E-2</v>
      </c>
      <c r="AZ19">
        <f t="shared" si="50"/>
        <v>-1.9980026626730579E-3</v>
      </c>
      <c r="BA19">
        <f t="shared" si="51"/>
        <v>7.5107472486805479E-2</v>
      </c>
      <c r="BB19">
        <f t="shared" si="52"/>
        <v>0.20294084399669038</v>
      </c>
      <c r="BC19">
        <f t="shared" si="53"/>
        <v>3.2467190137501413E-2</v>
      </c>
      <c r="BD19">
        <f t="shared" si="54"/>
        <v>7.077135118517961</v>
      </c>
      <c r="BE19">
        <f t="shared" si="55"/>
        <v>4.2986450257348308</v>
      </c>
      <c r="BF19">
        <f t="shared" si="56"/>
        <v>4.6259527251706194</v>
      </c>
      <c r="BG19">
        <f t="shared" si="57"/>
        <v>4.0273140497628805</v>
      </c>
      <c r="BH19">
        <f t="shared" si="58"/>
        <v>8.5121391770172916E-2</v>
      </c>
      <c r="BI19">
        <f t="shared" si="59"/>
        <v>4.2753427230429339E-2</v>
      </c>
      <c r="BJ19">
        <f t="shared" si="60"/>
        <v>6.6532589243277582E-2</v>
      </c>
      <c r="BL19" s="1">
        <v>42185</v>
      </c>
      <c r="BM19">
        <f t="shared" si="7"/>
        <v>5.5434706888100524E-2</v>
      </c>
      <c r="BN19">
        <f t="shared" si="94"/>
        <v>2.6641930946421092E-2</v>
      </c>
      <c r="BO19">
        <f t="shared" si="95"/>
        <v>3.7873652428081488E-2</v>
      </c>
      <c r="BP19">
        <f t="shared" si="96"/>
        <v>1.5032993163724331</v>
      </c>
      <c r="BQ19">
        <f t="shared" si="61"/>
        <v>2.9558802241544429E-2</v>
      </c>
      <c r="BR19">
        <f t="shared" si="62"/>
        <v>7.4743466806539853</v>
      </c>
      <c r="BS19">
        <f t="shared" si="63"/>
        <v>9.3982529365832992</v>
      </c>
      <c r="BT19">
        <f t="shared" si="64"/>
        <v>1.5873349156290163E-2</v>
      </c>
      <c r="BU19">
        <f t="shared" si="65"/>
        <v>2.2739486969489339E-2</v>
      </c>
      <c r="BV19">
        <f t="shared" si="66"/>
        <v>4.2101176018635326E-2</v>
      </c>
      <c r="BW19">
        <f t="shared" si="67"/>
        <v>0.13714983814723367</v>
      </c>
      <c r="BX19">
        <f t="shared" si="68"/>
        <v>3.2467190137501413E-2</v>
      </c>
      <c r="BY19">
        <f t="shared" si="69"/>
        <v>7.0778102411205461</v>
      </c>
      <c r="BZ19">
        <f t="shared" si="70"/>
        <v>4.4308167988433134</v>
      </c>
      <c r="CA19">
        <f t="shared" si="71"/>
        <v>4.6249728132842707</v>
      </c>
      <c r="CB19">
        <f t="shared" si="72"/>
        <v>4.0661165407655462</v>
      </c>
      <c r="CC19">
        <f t="shared" si="73"/>
        <v>7.3445375913564703E-2</v>
      </c>
      <c r="CD19">
        <f t="shared" si="74"/>
        <v>2.4433869694035389E-2</v>
      </c>
      <c r="CE19">
        <f t="shared" si="75"/>
        <v>5.7097266375885809E-2</v>
      </c>
      <c r="CG19" s="1">
        <v>42185</v>
      </c>
      <c r="CH19">
        <f t="shared" si="8"/>
        <v>5.4488185284069776E-2</v>
      </c>
      <c r="CI19">
        <f t="shared" si="97"/>
        <v>2.5667746748577813E-2</v>
      </c>
      <c r="CJ19">
        <f t="shared" si="98"/>
        <v>3.6717582935162862E-2</v>
      </c>
      <c r="CK19">
        <f t="shared" si="99"/>
        <v>1.4540698252004034</v>
      </c>
      <c r="CL19">
        <f t="shared" si="76"/>
        <v>2.6641930946421092E-2</v>
      </c>
      <c r="CM19">
        <f t="shared" si="77"/>
        <v>7.5214858058558454</v>
      </c>
      <c r="CN19">
        <f t="shared" si="78"/>
        <v>9.4669705355572891</v>
      </c>
      <c r="CO19">
        <f t="shared" si="79"/>
        <v>2.5667746748577813E-2</v>
      </c>
      <c r="CP19">
        <f t="shared" si="80"/>
        <v>2.0782539182528412E-2</v>
      </c>
      <c r="CQ19">
        <f t="shared" si="81"/>
        <v>1.2916225266546229E-2</v>
      </c>
      <c r="CR19">
        <f t="shared" si="82"/>
        <v>0.22554067591393134</v>
      </c>
      <c r="CS19">
        <f t="shared" si="83"/>
        <v>3.2467190137501413E-2</v>
      </c>
      <c r="CT19">
        <f t="shared" si="84"/>
        <v>7.0976729123977194</v>
      </c>
      <c r="CU19">
        <f t="shared" si="85"/>
        <v>4.5951198501345898</v>
      </c>
      <c r="CV19">
        <f t="shared" si="86"/>
        <v>4.619073091157083</v>
      </c>
      <c r="CW19">
        <f t="shared" si="87"/>
        <v>4.560904769690076</v>
      </c>
      <c r="CX19">
        <f t="shared" si="88"/>
        <v>6.5793596141390812E-2</v>
      </c>
      <c r="CY19">
        <f t="shared" si="89"/>
        <v>4.9740325714116074E-2</v>
      </c>
      <c r="CZ19">
        <f t="shared" si="90"/>
        <v>4.1268439882636579E-2</v>
      </c>
      <c r="DB19" s="1">
        <v>42185</v>
      </c>
      <c r="DC19">
        <f t="shared" si="9"/>
        <v>6.2974799161388387E-2</v>
      </c>
      <c r="DD19">
        <f t="shared" si="10"/>
        <v>3.2467190137501413E-2</v>
      </c>
      <c r="DE19">
        <f t="shared" si="11"/>
        <v>3.4884401853501883E-2</v>
      </c>
      <c r="DF19">
        <f t="shared" si="12"/>
        <v>1.4377001491797907</v>
      </c>
      <c r="DG19">
        <f t="shared" si="13"/>
        <v>2.7615167032973391E-2</v>
      </c>
      <c r="DH19">
        <f t="shared" si="14"/>
        <v>7.5409985154750432</v>
      </c>
      <c r="DI19">
        <f t="shared" si="15"/>
        <v>9.476603947317054</v>
      </c>
      <c r="DJ19">
        <f t="shared" si="16"/>
        <v>8.2501221511743772E-2</v>
      </c>
      <c r="DK19">
        <f t="shared" si="17"/>
        <v>4.3059489460447013E-2</v>
      </c>
      <c r="DL19">
        <f t="shared" si="18"/>
        <v>6.6723632042908126E-2</v>
      </c>
      <c r="DM19">
        <f t="shared" si="19"/>
        <v>0.16211884947643512</v>
      </c>
      <c r="DN19">
        <f t="shared" si="20"/>
        <v>2.9558802241544429E-2</v>
      </c>
      <c r="DO19">
        <f t="shared" si="21"/>
        <v>7.1916777931427687</v>
      </c>
      <c r="DP19">
        <f t="shared" si="22"/>
        <v>4.6161101260264257</v>
      </c>
      <c r="DQ19">
        <f t="shared" si="23"/>
        <v>4.604169685654508</v>
      </c>
      <c r="DR19">
        <f t="shared" si="24"/>
        <v>4.730568595382425</v>
      </c>
      <c r="DS19">
        <f t="shared" si="25"/>
        <v>6.3134350299600864E-2</v>
      </c>
      <c r="DT19">
        <f t="shared" si="26"/>
        <v>-1.4097207481747062E-3</v>
      </c>
      <c r="DU19">
        <f t="shared" si="27"/>
        <v>5.7320750624542942E-2</v>
      </c>
    </row>
    <row r="20" spans="1:125" x14ac:dyDescent="0.35">
      <c r="A20" s="1">
        <v>41912</v>
      </c>
      <c r="B20">
        <f>'Sorting Q'!C20/100</f>
        <v>5.5999999999999994E-2</v>
      </c>
      <c r="C20">
        <f>'Sorting Q'!D20/100</f>
        <v>2.6000000000000002E-2</v>
      </c>
      <c r="D20">
        <f>'Sorting Q'!E20/100</f>
        <v>3.7400000000000003E-2</v>
      </c>
      <c r="E20">
        <f>'Sorting Q'!F20</f>
        <v>3.2805</v>
      </c>
      <c r="F20">
        <f>'Sorting Q'!G20/100</f>
        <v>2.7000000000000003E-2</v>
      </c>
      <c r="G20">
        <f>'Sorting Q'!H20</f>
        <v>1846.31</v>
      </c>
      <c r="H20">
        <f>'Sorting Q'!I20</f>
        <v>12924.67</v>
      </c>
      <c r="I20">
        <f>'Sorting Q'!J20/100</f>
        <v>2.6000000000000002E-2</v>
      </c>
      <c r="J20">
        <f>'Sorting Q'!K20/100</f>
        <v>2.1000000000000001E-2</v>
      </c>
      <c r="K20">
        <f>'Sorting Q'!L20/100</f>
        <v>1.3000000000000001E-2</v>
      </c>
      <c r="L20">
        <f>'Sorting Q'!M20/100</f>
        <v>0.253</v>
      </c>
      <c r="M20">
        <f>'Sorting Q'!N20/100</f>
        <v>3.3000000000000002E-2</v>
      </c>
      <c r="N20">
        <f>'Sorting Q'!O20</f>
        <v>1208.1500000000001</v>
      </c>
      <c r="O20">
        <f>'Sorting Q'!P20</f>
        <v>98</v>
      </c>
      <c r="P20">
        <f>'Sorting Q'!Q20</f>
        <v>100.4</v>
      </c>
      <c r="Q20">
        <f>'Sorting Q'!R20</f>
        <v>94.67</v>
      </c>
      <c r="R20">
        <f>'Sorting Q'!S20/100</f>
        <v>6.8006253802727956E-2</v>
      </c>
      <c r="S20">
        <f>'Sorting Q'!T20/100</f>
        <v>5.0998143745725644E-2</v>
      </c>
      <c r="T20">
        <f>'Sorting Q'!U20/100</f>
        <v>4.2131817743692013E-2</v>
      </c>
      <c r="V20" s="1">
        <v>41912</v>
      </c>
      <c r="W20">
        <f t="shared" si="5"/>
        <v>5.4488185284069776E-2</v>
      </c>
      <c r="X20">
        <f t="shared" si="31"/>
        <v>2.5667746748577813E-2</v>
      </c>
      <c r="Y20">
        <f t="shared" si="32"/>
        <v>3.6717582935162862E-2</v>
      </c>
      <c r="Z20">
        <f t="shared" si="33"/>
        <v>1.4540698252004034</v>
      </c>
      <c r="AA20">
        <f t="shared" si="34"/>
        <v>2.6641930946421092E-2</v>
      </c>
      <c r="AB20">
        <f t="shared" si="35"/>
        <v>7.5214858058558454</v>
      </c>
      <c r="AC20">
        <f t="shared" si="36"/>
        <v>9.4669705355572891</v>
      </c>
      <c r="AD20">
        <f t="shared" si="37"/>
        <v>2.5667746748577813E-2</v>
      </c>
      <c r="AE20">
        <f t="shared" si="38"/>
        <v>2.0782539182528412E-2</v>
      </c>
      <c r="AF20">
        <f t="shared" si="39"/>
        <v>1.2916225266546229E-2</v>
      </c>
      <c r="AG20">
        <f t="shared" si="40"/>
        <v>0.22554067591393134</v>
      </c>
      <c r="AH20">
        <f t="shared" si="41"/>
        <v>3.2467190137501413E-2</v>
      </c>
      <c r="AI20">
        <f t="shared" si="42"/>
        <v>7.0976729123977194</v>
      </c>
      <c r="AJ20">
        <f t="shared" si="43"/>
        <v>4.5951198501345898</v>
      </c>
      <c r="AK20">
        <f t="shared" si="44"/>
        <v>4.619073091157083</v>
      </c>
      <c r="AL20">
        <f t="shared" si="45"/>
        <v>4.560904769690076</v>
      </c>
      <c r="AM20">
        <f t="shared" si="28"/>
        <v>6.5793596141390812E-2</v>
      </c>
      <c r="AN20">
        <f t="shared" si="29"/>
        <v>4.9740325714116074E-2</v>
      </c>
      <c r="AO20">
        <f t="shared" si="30"/>
        <v>4.1268439882636579E-2</v>
      </c>
      <c r="AQ20" s="1">
        <v>42277</v>
      </c>
      <c r="AR20">
        <f t="shared" si="6"/>
        <v>4.8790164169432049E-2</v>
      </c>
      <c r="AS20">
        <f t="shared" si="91"/>
        <v>2.4692612590371414E-2</v>
      </c>
      <c r="AT20">
        <f t="shared" si="92"/>
        <v>3.6235492582095359E-2</v>
      </c>
      <c r="AU20">
        <f t="shared" si="93"/>
        <v>1.5629750380237595</v>
      </c>
      <c r="AV20">
        <f t="shared" si="46"/>
        <v>3.0529205034822791E-2</v>
      </c>
      <c r="AW20">
        <f t="shared" si="47"/>
        <v>7.4428675792990759</v>
      </c>
      <c r="AX20">
        <f t="shared" si="48"/>
        <v>9.3735589566581776</v>
      </c>
      <c r="AY20">
        <f t="shared" si="49"/>
        <v>-4.2101176018635326E-2</v>
      </c>
      <c r="AZ20">
        <f t="shared" si="50"/>
        <v>-3.2467190137501413E-2</v>
      </c>
      <c r="BA20">
        <f t="shared" si="51"/>
        <v>2.9955089797983709E-3</v>
      </c>
      <c r="BB20">
        <f t="shared" si="52"/>
        <v>0.19144646457095527</v>
      </c>
      <c r="BC20">
        <f t="shared" si="53"/>
        <v>3.2467190137501413E-2</v>
      </c>
      <c r="BD20">
        <f t="shared" si="54"/>
        <v>7.0676181843686043</v>
      </c>
      <c r="BE20">
        <f t="shared" si="55"/>
        <v>4.2863413845394733</v>
      </c>
      <c r="BF20">
        <f t="shared" si="56"/>
        <v>4.6131383556372683</v>
      </c>
      <c r="BG20">
        <f t="shared" si="57"/>
        <v>4.1680596000443817</v>
      </c>
      <c r="BH20">
        <f t="shared" si="58"/>
        <v>6.2484049820841284E-2</v>
      </c>
      <c r="BI20">
        <f t="shared" si="59"/>
        <v>6.8497753645365325E-2</v>
      </c>
      <c r="BJ20">
        <f t="shared" si="60"/>
        <v>4.2658381189479642E-2</v>
      </c>
      <c r="BL20" s="1">
        <v>42277</v>
      </c>
      <c r="BM20">
        <f t="shared" si="7"/>
        <v>5.7325066619269352E-2</v>
      </c>
      <c r="BN20">
        <f t="shared" si="94"/>
        <v>8.9597413714718015E-3</v>
      </c>
      <c r="BO20">
        <f t="shared" si="95"/>
        <v>3.6621183455645412E-2</v>
      </c>
      <c r="BP20">
        <f t="shared" si="96"/>
        <v>1.5483069124298692</v>
      </c>
      <c r="BQ20">
        <f t="shared" si="61"/>
        <v>2.9558802241544429E-2</v>
      </c>
      <c r="BR20">
        <f t="shared" si="62"/>
        <v>7.5130434506867694</v>
      </c>
      <c r="BS20">
        <f t="shared" si="63"/>
        <v>9.4386211053460194</v>
      </c>
      <c r="BT20">
        <f t="shared" si="64"/>
        <v>-1.6857117066422806E-2</v>
      </c>
      <c r="BU20">
        <f t="shared" si="65"/>
        <v>-1.9980026626730579E-3</v>
      </c>
      <c r="BV20">
        <f t="shared" si="66"/>
        <v>7.5107472486805479E-2</v>
      </c>
      <c r="BW20">
        <f t="shared" si="67"/>
        <v>0.20294084399669038</v>
      </c>
      <c r="BX20">
        <f t="shared" si="68"/>
        <v>3.2467190137501413E-2</v>
      </c>
      <c r="BY20">
        <f t="shared" si="69"/>
        <v>7.077135118517961</v>
      </c>
      <c r="BZ20">
        <f t="shared" si="70"/>
        <v>4.2986450257348308</v>
      </c>
      <c r="CA20">
        <f t="shared" si="71"/>
        <v>4.6259527251706194</v>
      </c>
      <c r="CB20">
        <f t="shared" si="72"/>
        <v>4.0273140497628805</v>
      </c>
      <c r="CC20">
        <f t="shared" si="73"/>
        <v>8.5121391770172916E-2</v>
      </c>
      <c r="CD20">
        <f t="shared" si="74"/>
        <v>4.2753427230429339E-2</v>
      </c>
      <c r="CE20">
        <f t="shared" si="75"/>
        <v>6.6532589243277582E-2</v>
      </c>
      <c r="CG20" s="1">
        <v>42277</v>
      </c>
      <c r="CH20">
        <f t="shared" si="8"/>
        <v>5.5434706888100524E-2</v>
      </c>
      <c r="CI20">
        <f t="shared" si="97"/>
        <v>2.6641930946421092E-2</v>
      </c>
      <c r="CJ20">
        <f t="shared" si="98"/>
        <v>3.7873652428081488E-2</v>
      </c>
      <c r="CK20">
        <f t="shared" si="99"/>
        <v>1.5032993163724331</v>
      </c>
      <c r="CL20">
        <f t="shared" si="76"/>
        <v>2.9558802241544429E-2</v>
      </c>
      <c r="CM20">
        <f t="shared" si="77"/>
        <v>7.4743466806539853</v>
      </c>
      <c r="CN20">
        <f t="shared" si="78"/>
        <v>9.3982529365832992</v>
      </c>
      <c r="CO20">
        <f t="shared" si="79"/>
        <v>1.5873349156290163E-2</v>
      </c>
      <c r="CP20">
        <f t="shared" si="80"/>
        <v>2.2739486969489339E-2</v>
      </c>
      <c r="CQ20">
        <f t="shared" si="81"/>
        <v>4.2101176018635326E-2</v>
      </c>
      <c r="CR20">
        <f t="shared" si="82"/>
        <v>0.13714983814723367</v>
      </c>
      <c r="CS20">
        <f t="shared" si="83"/>
        <v>3.2467190137501413E-2</v>
      </c>
      <c r="CT20">
        <f t="shared" si="84"/>
        <v>7.0778102411205461</v>
      </c>
      <c r="CU20">
        <f t="shared" si="85"/>
        <v>4.4308167988433134</v>
      </c>
      <c r="CV20">
        <f t="shared" si="86"/>
        <v>4.6249728132842707</v>
      </c>
      <c r="CW20">
        <f t="shared" si="87"/>
        <v>4.0661165407655462</v>
      </c>
      <c r="CX20">
        <f t="shared" si="88"/>
        <v>7.3445375913564703E-2</v>
      </c>
      <c r="CY20">
        <f t="shared" si="89"/>
        <v>2.4433869694035389E-2</v>
      </c>
      <c r="CZ20">
        <f t="shared" si="90"/>
        <v>5.7097266375885809E-2</v>
      </c>
      <c r="DB20" s="1">
        <v>42277</v>
      </c>
      <c r="DC20">
        <f t="shared" si="9"/>
        <v>5.4488185284069776E-2</v>
      </c>
      <c r="DD20">
        <f t="shared" si="10"/>
        <v>2.5667746748577813E-2</v>
      </c>
      <c r="DE20">
        <f t="shared" si="11"/>
        <v>3.6717582935162862E-2</v>
      </c>
      <c r="DF20">
        <f t="shared" si="12"/>
        <v>1.4540698252004034</v>
      </c>
      <c r="DG20">
        <f t="shared" si="13"/>
        <v>2.6641930946421092E-2</v>
      </c>
      <c r="DH20">
        <f t="shared" si="14"/>
        <v>7.5214858058558454</v>
      </c>
      <c r="DI20">
        <f t="shared" si="15"/>
        <v>9.4669705355572891</v>
      </c>
      <c r="DJ20">
        <f t="shared" si="16"/>
        <v>2.5667746748577813E-2</v>
      </c>
      <c r="DK20">
        <f t="shared" si="17"/>
        <v>2.0782539182528412E-2</v>
      </c>
      <c r="DL20">
        <f t="shared" si="18"/>
        <v>1.2916225266546229E-2</v>
      </c>
      <c r="DM20">
        <f t="shared" si="19"/>
        <v>0.22554067591393134</v>
      </c>
      <c r="DN20">
        <f t="shared" si="20"/>
        <v>3.2467190137501413E-2</v>
      </c>
      <c r="DO20">
        <f t="shared" si="21"/>
        <v>7.0976729123977194</v>
      </c>
      <c r="DP20">
        <f t="shared" si="22"/>
        <v>4.5951198501345898</v>
      </c>
      <c r="DQ20">
        <f t="shared" si="23"/>
        <v>4.619073091157083</v>
      </c>
      <c r="DR20">
        <f t="shared" si="24"/>
        <v>4.560904769690076</v>
      </c>
      <c r="DS20">
        <f t="shared" si="25"/>
        <v>6.5793596141390812E-2</v>
      </c>
      <c r="DT20">
        <f t="shared" si="26"/>
        <v>4.9740325714116074E-2</v>
      </c>
      <c r="DU20">
        <f t="shared" si="27"/>
        <v>4.1268439882636579E-2</v>
      </c>
    </row>
    <row r="21" spans="1:125" x14ac:dyDescent="0.35">
      <c r="A21" s="1">
        <v>42004</v>
      </c>
      <c r="B21">
        <f>'Sorting Q'!C21/100</f>
        <v>5.7000000000000002E-2</v>
      </c>
      <c r="C21">
        <f>'Sorting Q'!D21/100</f>
        <v>2.7000000000000003E-2</v>
      </c>
      <c r="D21">
        <f>'Sorting Q'!E21/100</f>
        <v>3.8599999999999995E-2</v>
      </c>
      <c r="E21">
        <f>'Sorting Q'!F21</f>
        <v>3.4965000000000002</v>
      </c>
      <c r="F21">
        <f>'Sorting Q'!G21/100</f>
        <v>0.03</v>
      </c>
      <c r="G21">
        <f>'Sorting Q'!H21</f>
        <v>1761.25</v>
      </c>
      <c r="H21">
        <f>'Sorting Q'!I21</f>
        <v>12066.28</v>
      </c>
      <c r="I21">
        <f>'Sorting Q'!J21/100</f>
        <v>1.6E-2</v>
      </c>
      <c r="J21">
        <f>'Sorting Q'!K21/100</f>
        <v>2.3E-2</v>
      </c>
      <c r="K21">
        <f>'Sorting Q'!L21/100</f>
        <v>4.2999999999999997E-2</v>
      </c>
      <c r="L21">
        <f>'Sorting Q'!M21/100</f>
        <v>0.14699999999999999</v>
      </c>
      <c r="M21">
        <f>'Sorting Q'!N21/100</f>
        <v>3.3000000000000002E-2</v>
      </c>
      <c r="N21">
        <f>'Sorting Q'!O21</f>
        <v>1184.3699999999999</v>
      </c>
      <c r="O21">
        <f>'Sorting Q'!P21</f>
        <v>83</v>
      </c>
      <c r="P21">
        <f>'Sorting Q'!Q21</f>
        <v>101</v>
      </c>
      <c r="Q21">
        <f>'Sorting Q'!R21</f>
        <v>57.33</v>
      </c>
      <c r="R21">
        <f>'Sorting Q'!S21/100</f>
        <v>7.6209748091967899E-2</v>
      </c>
      <c r="S21">
        <f>'Sorting Q'!T21/100</f>
        <v>2.4734822839088233E-2</v>
      </c>
      <c r="T21">
        <f>'Sorting Q'!U21/100</f>
        <v>5.8758787017487935E-2</v>
      </c>
      <c r="V21" s="1">
        <v>42004</v>
      </c>
      <c r="W21">
        <f t="shared" si="5"/>
        <v>5.5434706888100524E-2</v>
      </c>
      <c r="X21">
        <f t="shared" si="31"/>
        <v>2.6641930946421092E-2</v>
      </c>
      <c r="Y21">
        <f t="shared" si="32"/>
        <v>3.7873652428081488E-2</v>
      </c>
      <c r="Z21">
        <f t="shared" si="33"/>
        <v>1.5032993163724331</v>
      </c>
      <c r="AA21">
        <f t="shared" si="34"/>
        <v>2.9558802241544429E-2</v>
      </c>
      <c r="AB21">
        <f t="shared" si="35"/>
        <v>7.4743466806539853</v>
      </c>
      <c r="AC21">
        <f t="shared" si="36"/>
        <v>9.3982529365832992</v>
      </c>
      <c r="AD21">
        <f t="shared" si="37"/>
        <v>1.5873349156290163E-2</v>
      </c>
      <c r="AE21">
        <f t="shared" si="38"/>
        <v>2.2739486969489339E-2</v>
      </c>
      <c r="AF21">
        <f t="shared" si="39"/>
        <v>4.2101176018635326E-2</v>
      </c>
      <c r="AG21">
        <f t="shared" si="40"/>
        <v>0.13714983814723367</v>
      </c>
      <c r="AH21">
        <f t="shared" si="41"/>
        <v>3.2467190137501413E-2</v>
      </c>
      <c r="AI21">
        <f t="shared" si="42"/>
        <v>7.0778102411205461</v>
      </c>
      <c r="AJ21">
        <f t="shared" si="43"/>
        <v>4.4308167988433134</v>
      </c>
      <c r="AK21">
        <f t="shared" si="44"/>
        <v>4.6249728132842707</v>
      </c>
      <c r="AL21">
        <f t="shared" si="45"/>
        <v>4.0661165407655462</v>
      </c>
      <c r="AM21">
        <f t="shared" si="28"/>
        <v>7.3445375913564703E-2</v>
      </c>
      <c r="AN21">
        <f t="shared" si="29"/>
        <v>2.4433869694035389E-2</v>
      </c>
      <c r="AO21">
        <f t="shared" si="30"/>
        <v>5.7097266375885809E-2</v>
      </c>
      <c r="AQ21" s="1">
        <v>42369</v>
      </c>
      <c r="AR21">
        <f t="shared" si="6"/>
        <v>4.6883585898850458E-2</v>
      </c>
      <c r="AS21">
        <f t="shared" si="91"/>
        <v>2.5667746748577813E-2</v>
      </c>
      <c r="AT21">
        <f t="shared" si="92"/>
        <v>3.6717582935162862E-2</v>
      </c>
      <c r="AU21">
        <f t="shared" si="93"/>
        <v>1.6855652728216513</v>
      </c>
      <c r="AV21">
        <f t="shared" si="46"/>
        <v>3.1498667059371016E-2</v>
      </c>
      <c r="AW21">
        <f t="shared" si="47"/>
        <v>7.391439895283737</v>
      </c>
      <c r="AX21">
        <f t="shared" si="48"/>
        <v>9.3239038511455217</v>
      </c>
      <c r="AY21">
        <f t="shared" si="49"/>
        <v>3.1498667059371016E-2</v>
      </c>
      <c r="AZ21">
        <f t="shared" si="50"/>
        <v>2.8587456851912472E-2</v>
      </c>
      <c r="BA21">
        <f t="shared" si="51"/>
        <v>4.0181789632831762E-2</v>
      </c>
      <c r="BB21">
        <f t="shared" si="52"/>
        <v>0.23507212217948364</v>
      </c>
      <c r="BC21">
        <f t="shared" si="53"/>
        <v>3.2467190137501413E-2</v>
      </c>
      <c r="BD21">
        <f t="shared" si="54"/>
        <v>7.0175867848509004</v>
      </c>
      <c r="BE21">
        <f t="shared" si="55"/>
        <v>4.2654928184179299</v>
      </c>
      <c r="BF21">
        <f t="shared" si="56"/>
        <v>4.6151205168412597</v>
      </c>
      <c r="BG21">
        <f t="shared" si="57"/>
        <v>3.8993429522707714</v>
      </c>
      <c r="BH21">
        <f t="shared" si="58"/>
        <v>4.0635348319701572E-2</v>
      </c>
      <c r="BI21">
        <f t="shared" si="59"/>
        <v>3.6567924231672592E-2</v>
      </c>
      <c r="BJ21">
        <f t="shared" si="60"/>
        <v>4.502682230858418E-2</v>
      </c>
      <c r="BL21" s="1">
        <v>42369</v>
      </c>
      <c r="BM21">
        <f t="shared" si="7"/>
        <v>4.8790164169432049E-2</v>
      </c>
      <c r="BN21">
        <f t="shared" si="94"/>
        <v>2.4692612590371414E-2</v>
      </c>
      <c r="BO21">
        <f t="shared" si="95"/>
        <v>3.6235492582095359E-2</v>
      </c>
      <c r="BP21">
        <f t="shared" si="96"/>
        <v>1.5629750380237595</v>
      </c>
      <c r="BQ21">
        <f t="shared" si="61"/>
        <v>3.0529205034822791E-2</v>
      </c>
      <c r="BR21">
        <f t="shared" si="62"/>
        <v>7.4428675792990759</v>
      </c>
      <c r="BS21">
        <f t="shared" si="63"/>
        <v>9.3735589566581776</v>
      </c>
      <c r="BT21">
        <f t="shared" si="64"/>
        <v>-4.2101176018635326E-2</v>
      </c>
      <c r="BU21">
        <f t="shared" si="65"/>
        <v>-3.2467190137501413E-2</v>
      </c>
      <c r="BV21">
        <f t="shared" si="66"/>
        <v>2.9955089797983709E-3</v>
      </c>
      <c r="BW21">
        <f t="shared" si="67"/>
        <v>0.19144646457095527</v>
      </c>
      <c r="BX21">
        <f t="shared" si="68"/>
        <v>3.2467190137501413E-2</v>
      </c>
      <c r="BY21">
        <f t="shared" si="69"/>
        <v>7.0676181843686043</v>
      </c>
      <c r="BZ21">
        <f t="shared" si="70"/>
        <v>4.2863413845394733</v>
      </c>
      <c r="CA21">
        <f t="shared" si="71"/>
        <v>4.6131383556372683</v>
      </c>
      <c r="CB21">
        <f t="shared" si="72"/>
        <v>4.1680596000443817</v>
      </c>
      <c r="CC21">
        <f t="shared" si="73"/>
        <v>6.2484049820841284E-2</v>
      </c>
      <c r="CD21">
        <f t="shared" si="74"/>
        <v>6.8497753645365325E-2</v>
      </c>
      <c r="CE21">
        <f t="shared" si="75"/>
        <v>4.2658381189479642E-2</v>
      </c>
      <c r="CG21" s="1">
        <v>42369</v>
      </c>
      <c r="CH21">
        <f t="shared" si="8"/>
        <v>5.7325066619269352E-2</v>
      </c>
      <c r="CI21">
        <f t="shared" si="97"/>
        <v>8.9597413714718015E-3</v>
      </c>
      <c r="CJ21">
        <f t="shared" si="98"/>
        <v>3.6621183455645412E-2</v>
      </c>
      <c r="CK21">
        <f t="shared" si="99"/>
        <v>1.5483069124298692</v>
      </c>
      <c r="CL21">
        <f t="shared" si="76"/>
        <v>2.9558802241544429E-2</v>
      </c>
      <c r="CM21">
        <f t="shared" si="77"/>
        <v>7.5130434506867694</v>
      </c>
      <c r="CN21">
        <f t="shared" si="78"/>
        <v>9.4386211053460194</v>
      </c>
      <c r="CO21">
        <f t="shared" si="79"/>
        <v>-1.6857117066422806E-2</v>
      </c>
      <c r="CP21">
        <f t="shared" si="80"/>
        <v>-1.9980026626730579E-3</v>
      </c>
      <c r="CQ21">
        <f t="shared" si="81"/>
        <v>7.5107472486805479E-2</v>
      </c>
      <c r="CR21">
        <f t="shared" si="82"/>
        <v>0.20294084399669038</v>
      </c>
      <c r="CS21">
        <f t="shared" si="83"/>
        <v>3.2467190137501413E-2</v>
      </c>
      <c r="CT21">
        <f t="shared" si="84"/>
        <v>7.077135118517961</v>
      </c>
      <c r="CU21">
        <f t="shared" si="85"/>
        <v>4.2986450257348308</v>
      </c>
      <c r="CV21">
        <f t="shared" si="86"/>
        <v>4.6259527251706194</v>
      </c>
      <c r="CW21">
        <f t="shared" si="87"/>
        <v>4.0273140497628805</v>
      </c>
      <c r="CX21">
        <f t="shared" si="88"/>
        <v>8.5121391770172916E-2</v>
      </c>
      <c r="CY21">
        <f t="shared" si="89"/>
        <v>4.2753427230429339E-2</v>
      </c>
      <c r="CZ21">
        <f t="shared" si="90"/>
        <v>6.6532589243277582E-2</v>
      </c>
      <c r="DB21" s="1">
        <v>42369</v>
      </c>
      <c r="DC21">
        <f t="shared" si="9"/>
        <v>5.5434706888100524E-2</v>
      </c>
      <c r="DD21">
        <f t="shared" si="10"/>
        <v>2.6641930946421092E-2</v>
      </c>
      <c r="DE21">
        <f t="shared" si="11"/>
        <v>3.7873652428081488E-2</v>
      </c>
      <c r="DF21">
        <f t="shared" si="12"/>
        <v>1.5032993163724331</v>
      </c>
      <c r="DG21">
        <f t="shared" si="13"/>
        <v>2.9558802241544429E-2</v>
      </c>
      <c r="DH21">
        <f t="shared" si="14"/>
        <v>7.4743466806539853</v>
      </c>
      <c r="DI21">
        <f t="shared" si="15"/>
        <v>9.3982529365832992</v>
      </c>
      <c r="DJ21">
        <f t="shared" si="16"/>
        <v>1.5873349156290163E-2</v>
      </c>
      <c r="DK21">
        <f t="shared" si="17"/>
        <v>2.2739486969489339E-2</v>
      </c>
      <c r="DL21">
        <f t="shared" si="18"/>
        <v>4.2101176018635326E-2</v>
      </c>
      <c r="DM21">
        <f t="shared" si="19"/>
        <v>0.13714983814723367</v>
      </c>
      <c r="DN21">
        <f t="shared" si="20"/>
        <v>3.2467190137501413E-2</v>
      </c>
      <c r="DO21">
        <f t="shared" si="21"/>
        <v>7.0778102411205461</v>
      </c>
      <c r="DP21">
        <f t="shared" si="22"/>
        <v>4.4308167988433134</v>
      </c>
      <c r="DQ21">
        <f t="shared" si="23"/>
        <v>4.6249728132842707</v>
      </c>
      <c r="DR21">
        <f t="shared" si="24"/>
        <v>4.0661165407655462</v>
      </c>
      <c r="DS21">
        <f t="shared" si="25"/>
        <v>7.3445375913564703E-2</v>
      </c>
      <c r="DT21">
        <f t="shared" si="26"/>
        <v>2.4433869694035389E-2</v>
      </c>
      <c r="DU21">
        <f t="shared" si="27"/>
        <v>5.7097266375885809E-2</v>
      </c>
    </row>
    <row r="22" spans="1:125" x14ac:dyDescent="0.35">
      <c r="A22" s="1">
        <v>42094</v>
      </c>
      <c r="B22">
        <f>'Sorting Q'!C22/100</f>
        <v>5.9000000000000004E-2</v>
      </c>
      <c r="C22">
        <f>'Sorting Q'!D22/100</f>
        <v>9.0000000000000011E-3</v>
      </c>
      <c r="D22">
        <f>'Sorting Q'!E22/100</f>
        <v>3.73E-2</v>
      </c>
      <c r="E22">
        <f>'Sorting Q'!F22</f>
        <v>3.7035</v>
      </c>
      <c r="F22">
        <f>'Sorting Q'!G22/100</f>
        <v>0.03</v>
      </c>
      <c r="G22">
        <f>'Sorting Q'!H22</f>
        <v>1830.78</v>
      </c>
      <c r="H22">
        <f>'Sorting Q'!I22</f>
        <v>12563.38</v>
      </c>
      <c r="I22">
        <f>'Sorting Q'!J22/100</f>
        <v>-1.7000000000000001E-2</v>
      </c>
      <c r="J22">
        <f>'Sorting Q'!K22/100</f>
        <v>-2E-3</v>
      </c>
      <c r="K22">
        <f>'Sorting Q'!L22/100</f>
        <v>7.8E-2</v>
      </c>
      <c r="L22">
        <f>'Sorting Q'!M22/100</f>
        <v>0.22500000000000001</v>
      </c>
      <c r="M22">
        <f>'Sorting Q'!N22/100</f>
        <v>3.3000000000000002E-2</v>
      </c>
      <c r="N22">
        <f>'Sorting Q'!O22</f>
        <v>1183.57</v>
      </c>
      <c r="O22">
        <f>'Sorting Q'!P22</f>
        <v>72.599999999999994</v>
      </c>
      <c r="P22">
        <f>'Sorting Q'!Q22</f>
        <v>101.1</v>
      </c>
      <c r="Q22">
        <f>'Sorting Q'!R22</f>
        <v>55.11</v>
      </c>
      <c r="R22">
        <f>'Sorting Q'!S22/100</f>
        <v>8.884923601231387E-2</v>
      </c>
      <c r="S22">
        <f>'Sorting Q'!T22/100</f>
        <v>4.3680519924747641E-2</v>
      </c>
      <c r="T22">
        <f>'Sorting Q'!U22/100</f>
        <v>6.8795794753786943E-2</v>
      </c>
      <c r="V22" s="1">
        <v>42094</v>
      </c>
      <c r="W22">
        <f t="shared" si="5"/>
        <v>5.7325066619269352E-2</v>
      </c>
      <c r="X22">
        <f t="shared" si="31"/>
        <v>8.9597413714718015E-3</v>
      </c>
      <c r="Y22">
        <f t="shared" si="32"/>
        <v>3.6621183455645412E-2</v>
      </c>
      <c r="Z22">
        <f t="shared" si="33"/>
        <v>1.5483069124298692</v>
      </c>
      <c r="AA22">
        <f t="shared" si="34"/>
        <v>2.9558802241544429E-2</v>
      </c>
      <c r="AB22">
        <f t="shared" si="35"/>
        <v>7.5130434506867694</v>
      </c>
      <c r="AC22">
        <f t="shared" si="36"/>
        <v>9.4386211053460194</v>
      </c>
      <c r="AD22">
        <f t="shared" si="37"/>
        <v>-1.6857117066422806E-2</v>
      </c>
      <c r="AE22">
        <f t="shared" si="38"/>
        <v>-1.9980026626730579E-3</v>
      </c>
      <c r="AF22">
        <f t="shared" si="39"/>
        <v>7.5107472486805479E-2</v>
      </c>
      <c r="AG22">
        <f t="shared" si="40"/>
        <v>0.20294084399669038</v>
      </c>
      <c r="AH22">
        <f t="shared" si="41"/>
        <v>3.2467190137501413E-2</v>
      </c>
      <c r="AI22">
        <f t="shared" si="42"/>
        <v>7.077135118517961</v>
      </c>
      <c r="AJ22">
        <f t="shared" si="43"/>
        <v>4.2986450257348308</v>
      </c>
      <c r="AK22">
        <f t="shared" si="44"/>
        <v>4.6259527251706194</v>
      </c>
      <c r="AL22">
        <f t="shared" si="45"/>
        <v>4.0273140497628805</v>
      </c>
      <c r="AM22">
        <f t="shared" si="28"/>
        <v>8.5121391770172916E-2</v>
      </c>
      <c r="AN22">
        <f t="shared" si="29"/>
        <v>4.2753427230429339E-2</v>
      </c>
      <c r="AO22">
        <f t="shared" si="30"/>
        <v>6.6532589243277582E-2</v>
      </c>
      <c r="AQ22" s="1">
        <v>42460</v>
      </c>
      <c r="AR22">
        <f t="shared" si="6"/>
        <v>4.5928931888399735E-2</v>
      </c>
      <c r="AS22">
        <f t="shared" si="91"/>
        <v>2.6641930946421092E-2</v>
      </c>
      <c r="AT22">
        <f t="shared" si="92"/>
        <v>3.7681066967688484E-2</v>
      </c>
      <c r="AU22">
        <f t="shared" si="93"/>
        <v>1.6662907240268832</v>
      </c>
      <c r="AV22">
        <f t="shared" si="46"/>
        <v>3.3434776086237419E-2</v>
      </c>
      <c r="AW22">
        <f t="shared" si="47"/>
        <v>7.4345585771710097</v>
      </c>
      <c r="AX22">
        <f t="shared" si="48"/>
        <v>9.3754013178110007</v>
      </c>
      <c r="AY22">
        <f t="shared" si="49"/>
        <v>3.7295784743696929E-2</v>
      </c>
      <c r="AZ22">
        <f t="shared" si="50"/>
        <v>3.6331929247390204E-2</v>
      </c>
      <c r="BA22">
        <f t="shared" si="51"/>
        <v>2.5667746748577813E-2</v>
      </c>
      <c r="BB22">
        <f t="shared" si="52"/>
        <v>0.18564934688662926</v>
      </c>
      <c r="BC22">
        <f t="shared" si="53"/>
        <v>3.2467190137501413E-2</v>
      </c>
      <c r="BD22">
        <f t="shared" si="54"/>
        <v>6.9680033593274935</v>
      </c>
      <c r="BE22">
        <f t="shared" si="55"/>
        <v>4.1713056033582285</v>
      </c>
      <c r="BF22">
        <f t="shared" si="56"/>
        <v>4.6131383556372683</v>
      </c>
      <c r="BG22">
        <f t="shared" si="57"/>
        <v>3.6449275665847534</v>
      </c>
      <c r="BH22">
        <f t="shared" si="58"/>
        <v>4.7771614343841771E-2</v>
      </c>
      <c r="BI22">
        <f t="shared" si="59"/>
        <v>3.4375679080979965E-2</v>
      </c>
      <c r="BJ22">
        <f t="shared" si="60"/>
        <v>3.0944414427305621E-2</v>
      </c>
      <c r="BL22" s="1">
        <v>42460</v>
      </c>
      <c r="BM22">
        <f t="shared" si="7"/>
        <v>4.6883585898850458E-2</v>
      </c>
      <c r="BN22">
        <f t="shared" si="94"/>
        <v>2.5667746748577813E-2</v>
      </c>
      <c r="BO22">
        <f t="shared" si="95"/>
        <v>3.6717582935162862E-2</v>
      </c>
      <c r="BP22">
        <f t="shared" si="96"/>
        <v>1.6855652728216513</v>
      </c>
      <c r="BQ22">
        <f t="shared" si="61"/>
        <v>3.1498667059371016E-2</v>
      </c>
      <c r="BR22">
        <f t="shared" si="62"/>
        <v>7.391439895283737</v>
      </c>
      <c r="BS22">
        <f t="shared" si="63"/>
        <v>9.3239038511455217</v>
      </c>
      <c r="BT22">
        <f t="shared" si="64"/>
        <v>3.1498667059371016E-2</v>
      </c>
      <c r="BU22">
        <f t="shared" si="65"/>
        <v>2.8587456851912472E-2</v>
      </c>
      <c r="BV22">
        <f t="shared" si="66"/>
        <v>4.0181789632831762E-2</v>
      </c>
      <c r="BW22">
        <f t="shared" si="67"/>
        <v>0.23507212217948364</v>
      </c>
      <c r="BX22">
        <f t="shared" si="68"/>
        <v>3.2467190137501413E-2</v>
      </c>
      <c r="BY22">
        <f t="shared" si="69"/>
        <v>7.0175867848509004</v>
      </c>
      <c r="BZ22">
        <f t="shared" si="70"/>
        <v>4.2654928184179299</v>
      </c>
      <c r="CA22">
        <f t="shared" si="71"/>
        <v>4.6151205168412597</v>
      </c>
      <c r="CB22">
        <f t="shared" si="72"/>
        <v>3.8993429522707714</v>
      </c>
      <c r="CC22">
        <f t="shared" si="73"/>
        <v>4.0635348319701572E-2</v>
      </c>
      <c r="CD22">
        <f t="shared" si="74"/>
        <v>3.6567924231672592E-2</v>
      </c>
      <c r="CE22">
        <f t="shared" si="75"/>
        <v>4.502682230858418E-2</v>
      </c>
      <c r="CG22" s="1">
        <v>42460</v>
      </c>
      <c r="CH22">
        <f t="shared" si="8"/>
        <v>4.8790164169432049E-2</v>
      </c>
      <c r="CI22">
        <f t="shared" si="97"/>
        <v>2.4692612590371414E-2</v>
      </c>
      <c r="CJ22">
        <f t="shared" si="98"/>
        <v>3.6235492582095359E-2</v>
      </c>
      <c r="CK22">
        <f t="shared" si="99"/>
        <v>1.5629750380237595</v>
      </c>
      <c r="CL22">
        <f t="shared" si="76"/>
        <v>3.0529205034822791E-2</v>
      </c>
      <c r="CM22">
        <f t="shared" si="77"/>
        <v>7.4428675792990759</v>
      </c>
      <c r="CN22">
        <f t="shared" si="78"/>
        <v>9.3735589566581776</v>
      </c>
      <c r="CO22">
        <f t="shared" si="79"/>
        <v>-4.2101176018635326E-2</v>
      </c>
      <c r="CP22">
        <f t="shared" si="80"/>
        <v>-3.2467190137501413E-2</v>
      </c>
      <c r="CQ22">
        <f t="shared" si="81"/>
        <v>2.9955089797983709E-3</v>
      </c>
      <c r="CR22">
        <f t="shared" si="82"/>
        <v>0.19144646457095527</v>
      </c>
      <c r="CS22">
        <f t="shared" si="83"/>
        <v>3.2467190137501413E-2</v>
      </c>
      <c r="CT22">
        <f t="shared" si="84"/>
        <v>7.0676181843686043</v>
      </c>
      <c r="CU22">
        <f t="shared" si="85"/>
        <v>4.2863413845394733</v>
      </c>
      <c r="CV22">
        <f t="shared" si="86"/>
        <v>4.6131383556372683</v>
      </c>
      <c r="CW22">
        <f t="shared" si="87"/>
        <v>4.1680596000443817</v>
      </c>
      <c r="CX22">
        <f t="shared" si="88"/>
        <v>6.2484049820841284E-2</v>
      </c>
      <c r="CY22">
        <f t="shared" si="89"/>
        <v>6.8497753645365325E-2</v>
      </c>
      <c r="CZ22">
        <f t="shared" si="90"/>
        <v>4.2658381189479642E-2</v>
      </c>
      <c r="DB22" s="1">
        <v>42460</v>
      </c>
      <c r="DC22">
        <f t="shared" si="9"/>
        <v>5.7325066619269352E-2</v>
      </c>
      <c r="DD22">
        <f t="shared" si="10"/>
        <v>8.9597413714718015E-3</v>
      </c>
      <c r="DE22">
        <f t="shared" si="11"/>
        <v>3.6621183455645412E-2</v>
      </c>
      <c r="DF22">
        <f t="shared" si="12"/>
        <v>1.5483069124298692</v>
      </c>
      <c r="DG22">
        <f t="shared" si="13"/>
        <v>2.9558802241544429E-2</v>
      </c>
      <c r="DH22">
        <f t="shared" si="14"/>
        <v>7.5130434506867694</v>
      </c>
      <c r="DI22">
        <f t="shared" si="15"/>
        <v>9.4386211053460194</v>
      </c>
      <c r="DJ22">
        <f t="shared" si="16"/>
        <v>-1.6857117066422806E-2</v>
      </c>
      <c r="DK22">
        <f t="shared" si="17"/>
        <v>-1.9980026626730579E-3</v>
      </c>
      <c r="DL22">
        <f t="shared" si="18"/>
        <v>7.5107472486805479E-2</v>
      </c>
      <c r="DM22">
        <f t="shared" si="19"/>
        <v>0.20294084399669038</v>
      </c>
      <c r="DN22">
        <f t="shared" si="20"/>
        <v>3.2467190137501413E-2</v>
      </c>
      <c r="DO22">
        <f t="shared" si="21"/>
        <v>7.077135118517961</v>
      </c>
      <c r="DP22">
        <f t="shared" si="22"/>
        <v>4.2986450257348308</v>
      </c>
      <c r="DQ22">
        <f t="shared" si="23"/>
        <v>4.6259527251706194</v>
      </c>
      <c r="DR22">
        <f t="shared" si="24"/>
        <v>4.0273140497628805</v>
      </c>
      <c r="DS22">
        <f t="shared" si="25"/>
        <v>8.5121391770172916E-2</v>
      </c>
      <c r="DT22">
        <f t="shared" si="26"/>
        <v>4.2753427230429339E-2</v>
      </c>
      <c r="DU22">
        <f t="shared" si="27"/>
        <v>6.6532589243277582E-2</v>
      </c>
    </row>
    <row r="23" spans="1:125" x14ac:dyDescent="0.35">
      <c r="A23" s="1">
        <v>42185</v>
      </c>
      <c r="B23">
        <f>'Sorting Q'!C23/100</f>
        <v>0.05</v>
      </c>
      <c r="C23">
        <f>'Sorting Q'!D23/100</f>
        <v>2.5000000000000001E-2</v>
      </c>
      <c r="D23">
        <f>'Sorting Q'!E23/100</f>
        <v>3.6900000000000002E-2</v>
      </c>
      <c r="E23">
        <f>'Sorting Q'!F23</f>
        <v>3.7730000000000001</v>
      </c>
      <c r="F23">
        <f>'Sorting Q'!G23/100</f>
        <v>3.1E-2</v>
      </c>
      <c r="G23">
        <f>'Sorting Q'!H23</f>
        <v>1706.64</v>
      </c>
      <c r="H23">
        <f>'Sorting Q'!I23</f>
        <v>11771.94</v>
      </c>
      <c r="I23">
        <f>'Sorting Q'!J23/100</f>
        <v>-4.2999999999999997E-2</v>
      </c>
      <c r="J23">
        <f>'Sorting Q'!K23/100</f>
        <v>-3.3000000000000002E-2</v>
      </c>
      <c r="K23">
        <f>'Sorting Q'!L23/100</f>
        <v>3.0000000000000001E-3</v>
      </c>
      <c r="L23">
        <f>'Sorting Q'!M23/100</f>
        <v>0.21100000000000002</v>
      </c>
      <c r="M23">
        <f>'Sorting Q'!N23/100</f>
        <v>3.3000000000000002E-2</v>
      </c>
      <c r="N23">
        <f>'Sorting Q'!O23</f>
        <v>1172.3499999999999</v>
      </c>
      <c r="O23">
        <f>'Sorting Q'!P23</f>
        <v>71.7</v>
      </c>
      <c r="P23">
        <f>'Sorting Q'!Q23</f>
        <v>99.8</v>
      </c>
      <c r="Q23">
        <f>'Sorting Q'!R23</f>
        <v>63.59</v>
      </c>
      <c r="R23">
        <f>'Sorting Q'!S23/100</f>
        <v>6.4477480175933577E-2</v>
      </c>
      <c r="S23">
        <f>'Sorting Q'!T23/100</f>
        <v>7.0898219331099188E-2</v>
      </c>
      <c r="T23">
        <f>'Sorting Q'!U23/100</f>
        <v>4.3581326937337517E-2</v>
      </c>
      <c r="V23" s="1">
        <v>42185</v>
      </c>
      <c r="W23">
        <f t="shared" si="5"/>
        <v>4.8790164169432049E-2</v>
      </c>
      <c r="X23">
        <f t="shared" si="31"/>
        <v>2.4692612590371414E-2</v>
      </c>
      <c r="Y23">
        <f t="shared" si="32"/>
        <v>3.6235492582095359E-2</v>
      </c>
      <c r="Z23">
        <f t="shared" si="33"/>
        <v>1.5629750380237595</v>
      </c>
      <c r="AA23">
        <f t="shared" si="34"/>
        <v>3.0529205034822791E-2</v>
      </c>
      <c r="AB23">
        <f t="shared" si="35"/>
        <v>7.4428675792990759</v>
      </c>
      <c r="AC23">
        <f t="shared" si="36"/>
        <v>9.3735589566581776</v>
      </c>
      <c r="AD23">
        <f t="shared" si="37"/>
        <v>-4.2101176018635326E-2</v>
      </c>
      <c r="AE23">
        <f t="shared" si="38"/>
        <v>-3.2467190137501413E-2</v>
      </c>
      <c r="AF23">
        <f t="shared" si="39"/>
        <v>2.9955089797983709E-3</v>
      </c>
      <c r="AG23">
        <f t="shared" si="40"/>
        <v>0.19144646457095527</v>
      </c>
      <c r="AH23">
        <f t="shared" si="41"/>
        <v>3.2467190137501413E-2</v>
      </c>
      <c r="AI23">
        <f t="shared" si="42"/>
        <v>7.0676181843686043</v>
      </c>
      <c r="AJ23">
        <f t="shared" si="43"/>
        <v>4.2863413845394733</v>
      </c>
      <c r="AK23">
        <f t="shared" si="44"/>
        <v>4.6131383556372683</v>
      </c>
      <c r="AL23">
        <f t="shared" si="45"/>
        <v>4.1680596000443817</v>
      </c>
      <c r="AM23">
        <f t="shared" si="28"/>
        <v>6.2484049820841284E-2</v>
      </c>
      <c r="AN23">
        <f t="shared" si="29"/>
        <v>6.8497753645365325E-2</v>
      </c>
      <c r="AO23">
        <f t="shared" si="30"/>
        <v>4.2658381189479642E-2</v>
      </c>
      <c r="AQ23" s="1">
        <v>42551</v>
      </c>
      <c r="AR23">
        <f t="shared" si="6"/>
        <v>4.2101176018635326E-2</v>
      </c>
      <c r="AS23">
        <f t="shared" si="91"/>
        <v>2.5667746748577813E-2</v>
      </c>
      <c r="AT23">
        <f t="shared" si="92"/>
        <v>3.6428356613551406E-2</v>
      </c>
      <c r="AU23">
        <f t="shared" si="93"/>
        <v>1.5891331590937361</v>
      </c>
      <c r="AV23">
        <f t="shared" si="46"/>
        <v>3.4401426717332317E-2</v>
      </c>
      <c r="AW23">
        <f t="shared" si="47"/>
        <v>7.4492536474321458</v>
      </c>
      <c r="AX23">
        <f t="shared" si="48"/>
        <v>9.3861222583299568</v>
      </c>
      <c r="AY23">
        <f t="shared" si="49"/>
        <v>9.950330853168092E-3</v>
      </c>
      <c r="AZ23">
        <f t="shared" si="50"/>
        <v>2.3716526617316065E-2</v>
      </c>
      <c r="BA23">
        <f t="shared" si="51"/>
        <v>9.9950033308342321E-4</v>
      </c>
      <c r="BB23">
        <f t="shared" si="52"/>
        <v>0.20212418409013433</v>
      </c>
      <c r="BC23">
        <f t="shared" si="53"/>
        <v>3.2467190137501413E-2</v>
      </c>
      <c r="BD23">
        <f t="shared" si="54"/>
        <v>7.1178135907476916</v>
      </c>
      <c r="BE23">
        <f t="shared" si="55"/>
        <v>4.3027128279541564</v>
      </c>
      <c r="BF23">
        <f t="shared" si="56"/>
        <v>4.6051701859880918</v>
      </c>
      <c r="BG23">
        <f t="shared" si="57"/>
        <v>3.7037680666076871</v>
      </c>
      <c r="BH23">
        <f t="shared" si="58"/>
        <v>4.942420020869602E-2</v>
      </c>
      <c r="BI23">
        <f t="shared" si="59"/>
        <v>2.7335952529660305E-2</v>
      </c>
      <c r="BJ23">
        <f t="shared" si="60"/>
        <v>3.2584403545202513E-2</v>
      </c>
      <c r="BL23" s="1">
        <v>42551</v>
      </c>
      <c r="BM23">
        <f t="shared" si="7"/>
        <v>4.5928931888399735E-2</v>
      </c>
      <c r="BN23">
        <f t="shared" si="94"/>
        <v>2.6641930946421092E-2</v>
      </c>
      <c r="BO23">
        <f t="shared" si="95"/>
        <v>3.7681066967688484E-2</v>
      </c>
      <c r="BP23">
        <f t="shared" si="96"/>
        <v>1.6662907240268832</v>
      </c>
      <c r="BQ23">
        <f t="shared" si="61"/>
        <v>3.3434776086237419E-2</v>
      </c>
      <c r="BR23">
        <f t="shared" si="62"/>
        <v>7.4345585771710097</v>
      </c>
      <c r="BS23">
        <f t="shared" si="63"/>
        <v>9.3754013178110007</v>
      </c>
      <c r="BT23">
        <f t="shared" si="64"/>
        <v>3.7295784743696929E-2</v>
      </c>
      <c r="BU23">
        <f t="shared" si="65"/>
        <v>3.6331929247390204E-2</v>
      </c>
      <c r="BV23">
        <f t="shared" si="66"/>
        <v>2.5667746748577813E-2</v>
      </c>
      <c r="BW23">
        <f t="shared" si="67"/>
        <v>0.18564934688662926</v>
      </c>
      <c r="BX23">
        <f t="shared" si="68"/>
        <v>3.2467190137501413E-2</v>
      </c>
      <c r="BY23">
        <f t="shared" si="69"/>
        <v>6.9680033593274935</v>
      </c>
      <c r="BZ23">
        <f t="shared" si="70"/>
        <v>4.1713056033582285</v>
      </c>
      <c r="CA23">
        <f t="shared" si="71"/>
        <v>4.6131383556372683</v>
      </c>
      <c r="CB23">
        <f t="shared" si="72"/>
        <v>3.6449275665847534</v>
      </c>
      <c r="CC23">
        <f t="shared" si="73"/>
        <v>4.7771614343841771E-2</v>
      </c>
      <c r="CD23">
        <f t="shared" si="74"/>
        <v>3.4375679080979965E-2</v>
      </c>
      <c r="CE23">
        <f t="shared" si="75"/>
        <v>3.0944414427305621E-2</v>
      </c>
      <c r="CG23" s="1">
        <v>42551</v>
      </c>
      <c r="CH23">
        <f t="shared" si="8"/>
        <v>4.6883585898850458E-2</v>
      </c>
      <c r="CI23">
        <f t="shared" si="97"/>
        <v>2.5667746748577813E-2</v>
      </c>
      <c r="CJ23">
        <f t="shared" si="98"/>
        <v>3.6717582935162862E-2</v>
      </c>
      <c r="CK23">
        <f t="shared" si="99"/>
        <v>1.6855652728216513</v>
      </c>
      <c r="CL23">
        <f t="shared" si="76"/>
        <v>3.1498667059371016E-2</v>
      </c>
      <c r="CM23">
        <f t="shared" si="77"/>
        <v>7.391439895283737</v>
      </c>
      <c r="CN23">
        <f t="shared" si="78"/>
        <v>9.3239038511455217</v>
      </c>
      <c r="CO23">
        <f t="shared" si="79"/>
        <v>3.1498667059371016E-2</v>
      </c>
      <c r="CP23">
        <f t="shared" si="80"/>
        <v>2.8587456851912472E-2</v>
      </c>
      <c r="CQ23">
        <f t="shared" si="81"/>
        <v>4.0181789632831762E-2</v>
      </c>
      <c r="CR23">
        <f t="shared" si="82"/>
        <v>0.23507212217948364</v>
      </c>
      <c r="CS23">
        <f t="shared" si="83"/>
        <v>3.2467190137501413E-2</v>
      </c>
      <c r="CT23">
        <f t="shared" si="84"/>
        <v>7.0175867848509004</v>
      </c>
      <c r="CU23">
        <f t="shared" si="85"/>
        <v>4.2654928184179299</v>
      </c>
      <c r="CV23">
        <f t="shared" si="86"/>
        <v>4.6151205168412597</v>
      </c>
      <c r="CW23">
        <f t="shared" si="87"/>
        <v>3.8993429522707714</v>
      </c>
      <c r="CX23">
        <f t="shared" si="88"/>
        <v>4.0635348319701572E-2</v>
      </c>
      <c r="CY23">
        <f t="shared" si="89"/>
        <v>3.6567924231672592E-2</v>
      </c>
      <c r="CZ23">
        <f t="shared" si="90"/>
        <v>4.502682230858418E-2</v>
      </c>
      <c r="DB23" s="1">
        <v>42551</v>
      </c>
      <c r="DC23">
        <f t="shared" si="9"/>
        <v>4.8790164169432049E-2</v>
      </c>
      <c r="DD23">
        <f t="shared" si="10"/>
        <v>2.4692612590371414E-2</v>
      </c>
      <c r="DE23">
        <f t="shared" si="11"/>
        <v>3.6235492582095359E-2</v>
      </c>
      <c r="DF23">
        <f t="shared" si="12"/>
        <v>1.5629750380237595</v>
      </c>
      <c r="DG23">
        <f t="shared" si="13"/>
        <v>3.0529205034822791E-2</v>
      </c>
      <c r="DH23">
        <f t="shared" si="14"/>
        <v>7.4428675792990759</v>
      </c>
      <c r="DI23">
        <f t="shared" si="15"/>
        <v>9.3735589566581776</v>
      </c>
      <c r="DJ23">
        <f t="shared" si="16"/>
        <v>-4.2101176018635326E-2</v>
      </c>
      <c r="DK23">
        <f t="shared" si="17"/>
        <v>-3.2467190137501413E-2</v>
      </c>
      <c r="DL23">
        <f t="shared" si="18"/>
        <v>2.9955089797983709E-3</v>
      </c>
      <c r="DM23">
        <f t="shared" si="19"/>
        <v>0.19144646457095527</v>
      </c>
      <c r="DN23">
        <f t="shared" si="20"/>
        <v>3.2467190137501413E-2</v>
      </c>
      <c r="DO23">
        <f t="shared" si="21"/>
        <v>7.0676181843686043</v>
      </c>
      <c r="DP23">
        <f t="shared" si="22"/>
        <v>4.2863413845394733</v>
      </c>
      <c r="DQ23">
        <f t="shared" si="23"/>
        <v>4.6131383556372683</v>
      </c>
      <c r="DR23">
        <f t="shared" si="24"/>
        <v>4.1680596000443817</v>
      </c>
      <c r="DS23">
        <f t="shared" si="25"/>
        <v>6.2484049820841284E-2</v>
      </c>
      <c r="DT23">
        <f t="shared" si="26"/>
        <v>6.8497753645365325E-2</v>
      </c>
      <c r="DU23">
        <f t="shared" si="27"/>
        <v>4.2658381189479642E-2</v>
      </c>
    </row>
    <row r="24" spans="1:125" x14ac:dyDescent="0.35">
      <c r="A24" s="1">
        <v>42277</v>
      </c>
      <c r="B24">
        <f>'Sorting Q'!C24/100</f>
        <v>4.8000000000000001E-2</v>
      </c>
      <c r="C24">
        <f>'Sorting Q'!D24/100</f>
        <v>2.6000000000000002E-2</v>
      </c>
      <c r="D24">
        <f>'Sorting Q'!E24/100</f>
        <v>3.7400000000000003E-2</v>
      </c>
      <c r="E24">
        <f>'Sorting Q'!F24</f>
        <v>4.3955000000000002</v>
      </c>
      <c r="F24">
        <f>'Sorting Q'!G24/100</f>
        <v>3.2000000000000001E-2</v>
      </c>
      <c r="G24">
        <f>'Sorting Q'!H24</f>
        <v>1621.04</v>
      </c>
      <c r="H24">
        <f>'Sorting Q'!I24</f>
        <v>11201.63</v>
      </c>
      <c r="I24">
        <f>'Sorting Q'!J24/100</f>
        <v>3.2000000000000001E-2</v>
      </c>
      <c r="J24">
        <f>'Sorting Q'!K24/100</f>
        <v>2.8999999999999998E-2</v>
      </c>
      <c r="K24">
        <f>'Sorting Q'!L24/100</f>
        <v>4.0999999999999995E-2</v>
      </c>
      <c r="L24">
        <f>'Sorting Q'!M24/100</f>
        <v>0.26500000000000001</v>
      </c>
      <c r="M24">
        <f>'Sorting Q'!N24/100</f>
        <v>3.3000000000000002E-2</v>
      </c>
      <c r="N24">
        <f>'Sorting Q'!O24</f>
        <v>1115.0899999999999</v>
      </c>
      <c r="O24">
        <f>'Sorting Q'!P24</f>
        <v>70.2</v>
      </c>
      <c r="P24">
        <f>'Sorting Q'!Q24</f>
        <v>100</v>
      </c>
      <c r="Q24">
        <f>'Sorting Q'!R24</f>
        <v>48.37</v>
      </c>
      <c r="R24">
        <f>'Sorting Q'!S24/100</f>
        <v>4.1472261684130096E-2</v>
      </c>
      <c r="S24">
        <f>'Sorting Q'!T24/100</f>
        <v>3.7244755678121022E-2</v>
      </c>
      <c r="T24">
        <f>'Sorting Q'!U24/100</f>
        <v>4.6055917167041605E-2</v>
      </c>
      <c r="V24" s="1">
        <v>42277</v>
      </c>
      <c r="W24">
        <f t="shared" si="5"/>
        <v>4.6883585898850458E-2</v>
      </c>
      <c r="X24">
        <f t="shared" si="31"/>
        <v>2.5667746748577813E-2</v>
      </c>
      <c r="Y24">
        <f t="shared" si="32"/>
        <v>3.6717582935162862E-2</v>
      </c>
      <c r="Z24">
        <f t="shared" si="33"/>
        <v>1.6855652728216513</v>
      </c>
      <c r="AA24">
        <f t="shared" si="34"/>
        <v>3.1498667059371016E-2</v>
      </c>
      <c r="AB24">
        <f t="shared" si="35"/>
        <v>7.391439895283737</v>
      </c>
      <c r="AC24">
        <f t="shared" si="36"/>
        <v>9.3239038511455217</v>
      </c>
      <c r="AD24">
        <f t="shared" si="37"/>
        <v>3.1498667059371016E-2</v>
      </c>
      <c r="AE24">
        <f t="shared" si="38"/>
        <v>2.8587456851912472E-2</v>
      </c>
      <c r="AF24">
        <f t="shared" si="39"/>
        <v>4.0181789632831762E-2</v>
      </c>
      <c r="AG24">
        <f t="shared" si="40"/>
        <v>0.23507212217948364</v>
      </c>
      <c r="AH24">
        <f t="shared" si="41"/>
        <v>3.2467190137501413E-2</v>
      </c>
      <c r="AI24">
        <f t="shared" si="42"/>
        <v>7.0175867848509004</v>
      </c>
      <c r="AJ24">
        <f t="shared" si="43"/>
        <v>4.2654928184179299</v>
      </c>
      <c r="AK24">
        <f t="shared" si="44"/>
        <v>4.6151205168412597</v>
      </c>
      <c r="AL24">
        <f t="shared" si="45"/>
        <v>3.8993429522707714</v>
      </c>
      <c r="AM24">
        <f t="shared" si="28"/>
        <v>4.0635348319701572E-2</v>
      </c>
      <c r="AN24">
        <f t="shared" si="29"/>
        <v>3.6567924231672592E-2</v>
      </c>
      <c r="AO24">
        <f t="shared" si="30"/>
        <v>4.502682230858418E-2</v>
      </c>
      <c r="AQ24" s="1">
        <v>42643</v>
      </c>
      <c r="AR24">
        <f t="shared" si="6"/>
        <v>4.1141943331175213E-2</v>
      </c>
      <c r="AS24">
        <f t="shared" si="91"/>
        <v>1.5873349156290163E-2</v>
      </c>
      <c r="AT24">
        <f t="shared" si="92"/>
        <v>3.5849652893697202E-2</v>
      </c>
      <c r="AU24">
        <f t="shared" si="93"/>
        <v>1.615718150391251</v>
      </c>
      <c r="AV24">
        <f t="shared" si="46"/>
        <v>3.3434776086237419E-2</v>
      </c>
      <c r="AW24">
        <f t="shared" si="47"/>
        <v>7.4116046250114822</v>
      </c>
      <c r="AX24">
        <f t="shared" si="48"/>
        <v>9.3528125513822324</v>
      </c>
      <c r="AY24">
        <f t="shared" si="49"/>
        <v>2.0782539182528412E-2</v>
      </c>
      <c r="AZ24">
        <f t="shared" si="50"/>
        <v>2.7615167032973391E-2</v>
      </c>
      <c r="BA24">
        <f t="shared" si="51"/>
        <v>5.9211859631846032E-2</v>
      </c>
      <c r="BB24">
        <f t="shared" si="52"/>
        <v>0.16041672140590466</v>
      </c>
      <c r="BC24">
        <f t="shared" si="53"/>
        <v>3.2467190137501413E-2</v>
      </c>
      <c r="BD24">
        <f t="shared" si="54"/>
        <v>7.1875815754683341</v>
      </c>
      <c r="BE24">
        <f t="shared" si="55"/>
        <v>4.3757570216602861</v>
      </c>
      <c r="BF24">
        <f t="shared" si="56"/>
        <v>4.6101577274991303</v>
      </c>
      <c r="BG24">
        <f t="shared" si="57"/>
        <v>3.9255313554529381</v>
      </c>
      <c r="BH24">
        <f t="shared" si="58"/>
        <v>5.9573322014261777E-2</v>
      </c>
      <c r="BI24">
        <f t="shared" si="59"/>
        <v>5.4243376323720484E-2</v>
      </c>
      <c r="BJ24">
        <f t="shared" si="60"/>
        <v>3.6310234440483764E-2</v>
      </c>
      <c r="BL24" s="1">
        <v>42643</v>
      </c>
      <c r="BM24">
        <f t="shared" si="7"/>
        <v>4.2101176018635326E-2</v>
      </c>
      <c r="BN24">
        <f t="shared" si="94"/>
        <v>2.5667746748577813E-2</v>
      </c>
      <c r="BO24">
        <f t="shared" si="95"/>
        <v>3.6428356613551406E-2</v>
      </c>
      <c r="BP24">
        <f t="shared" si="96"/>
        <v>1.5891331590937361</v>
      </c>
      <c r="BQ24">
        <f t="shared" si="61"/>
        <v>3.4401426717332317E-2</v>
      </c>
      <c r="BR24">
        <f t="shared" si="62"/>
        <v>7.4492536474321458</v>
      </c>
      <c r="BS24">
        <f t="shared" si="63"/>
        <v>9.3861222583299568</v>
      </c>
      <c r="BT24">
        <f t="shared" si="64"/>
        <v>9.950330853168092E-3</v>
      </c>
      <c r="BU24">
        <f t="shared" si="65"/>
        <v>2.3716526617316065E-2</v>
      </c>
      <c r="BV24">
        <f t="shared" si="66"/>
        <v>9.9950033308342321E-4</v>
      </c>
      <c r="BW24">
        <f t="shared" si="67"/>
        <v>0.20212418409013433</v>
      </c>
      <c r="BX24">
        <f t="shared" si="68"/>
        <v>3.2467190137501413E-2</v>
      </c>
      <c r="BY24">
        <f t="shared" si="69"/>
        <v>7.1178135907476916</v>
      </c>
      <c r="BZ24">
        <f t="shared" si="70"/>
        <v>4.3027128279541564</v>
      </c>
      <c r="CA24">
        <f t="shared" si="71"/>
        <v>4.6051701859880918</v>
      </c>
      <c r="CB24">
        <f t="shared" si="72"/>
        <v>3.7037680666076871</v>
      </c>
      <c r="CC24">
        <f t="shared" si="73"/>
        <v>4.942420020869602E-2</v>
      </c>
      <c r="CD24">
        <f t="shared" si="74"/>
        <v>2.7335952529660305E-2</v>
      </c>
      <c r="CE24">
        <f t="shared" si="75"/>
        <v>3.2584403545202513E-2</v>
      </c>
      <c r="CG24" s="1">
        <v>42643</v>
      </c>
      <c r="CH24">
        <f t="shared" si="8"/>
        <v>4.5928931888399735E-2</v>
      </c>
      <c r="CI24">
        <f t="shared" si="97"/>
        <v>2.6641930946421092E-2</v>
      </c>
      <c r="CJ24">
        <f t="shared" si="98"/>
        <v>3.7681066967688484E-2</v>
      </c>
      <c r="CK24">
        <f t="shared" si="99"/>
        <v>1.6662907240268832</v>
      </c>
      <c r="CL24">
        <f t="shared" si="76"/>
        <v>3.3434776086237419E-2</v>
      </c>
      <c r="CM24">
        <f t="shared" si="77"/>
        <v>7.4345585771710097</v>
      </c>
      <c r="CN24">
        <f t="shared" si="78"/>
        <v>9.3754013178110007</v>
      </c>
      <c r="CO24">
        <f t="shared" si="79"/>
        <v>3.7295784743696929E-2</v>
      </c>
      <c r="CP24">
        <f t="shared" si="80"/>
        <v>3.6331929247390204E-2</v>
      </c>
      <c r="CQ24">
        <f t="shared" si="81"/>
        <v>2.5667746748577813E-2</v>
      </c>
      <c r="CR24">
        <f t="shared" si="82"/>
        <v>0.18564934688662926</v>
      </c>
      <c r="CS24">
        <f t="shared" si="83"/>
        <v>3.2467190137501413E-2</v>
      </c>
      <c r="CT24">
        <f t="shared" si="84"/>
        <v>6.9680033593274935</v>
      </c>
      <c r="CU24">
        <f t="shared" si="85"/>
        <v>4.1713056033582285</v>
      </c>
      <c r="CV24">
        <f t="shared" si="86"/>
        <v>4.6131383556372683</v>
      </c>
      <c r="CW24">
        <f t="shared" si="87"/>
        <v>3.6449275665847534</v>
      </c>
      <c r="CX24">
        <f t="shared" si="88"/>
        <v>4.7771614343841771E-2</v>
      </c>
      <c r="CY24">
        <f t="shared" si="89"/>
        <v>3.4375679080979965E-2</v>
      </c>
      <c r="CZ24">
        <f t="shared" si="90"/>
        <v>3.0944414427305621E-2</v>
      </c>
      <c r="DB24" s="1">
        <v>42643</v>
      </c>
      <c r="DC24">
        <f t="shared" si="9"/>
        <v>4.6883585898850458E-2</v>
      </c>
      <c r="DD24">
        <f t="shared" si="10"/>
        <v>2.5667746748577813E-2</v>
      </c>
      <c r="DE24">
        <f t="shared" si="11"/>
        <v>3.6717582935162862E-2</v>
      </c>
      <c r="DF24">
        <f t="shared" si="12"/>
        <v>1.6855652728216513</v>
      </c>
      <c r="DG24">
        <f t="shared" si="13"/>
        <v>3.1498667059371016E-2</v>
      </c>
      <c r="DH24">
        <f t="shared" si="14"/>
        <v>7.391439895283737</v>
      </c>
      <c r="DI24">
        <f t="shared" si="15"/>
        <v>9.3239038511455217</v>
      </c>
      <c r="DJ24">
        <f t="shared" si="16"/>
        <v>3.1498667059371016E-2</v>
      </c>
      <c r="DK24">
        <f t="shared" si="17"/>
        <v>2.8587456851912472E-2</v>
      </c>
      <c r="DL24">
        <f t="shared" si="18"/>
        <v>4.0181789632831762E-2</v>
      </c>
      <c r="DM24">
        <f t="shared" si="19"/>
        <v>0.23507212217948364</v>
      </c>
      <c r="DN24">
        <f t="shared" si="20"/>
        <v>3.2467190137501413E-2</v>
      </c>
      <c r="DO24">
        <f t="shared" si="21"/>
        <v>7.0175867848509004</v>
      </c>
      <c r="DP24">
        <f t="shared" si="22"/>
        <v>4.2654928184179299</v>
      </c>
      <c r="DQ24">
        <f t="shared" si="23"/>
        <v>4.6151205168412597</v>
      </c>
      <c r="DR24">
        <f t="shared" si="24"/>
        <v>3.8993429522707714</v>
      </c>
      <c r="DS24">
        <f t="shared" si="25"/>
        <v>4.0635348319701572E-2</v>
      </c>
      <c r="DT24">
        <f t="shared" si="26"/>
        <v>3.6567924231672592E-2</v>
      </c>
      <c r="DU24">
        <f t="shared" si="27"/>
        <v>4.502682230858418E-2</v>
      </c>
    </row>
    <row r="25" spans="1:125" x14ac:dyDescent="0.35">
      <c r="A25" s="1">
        <v>42369</v>
      </c>
      <c r="B25">
        <f>'Sorting Q'!C25/100</f>
        <v>4.7E-2</v>
      </c>
      <c r="C25">
        <f>'Sorting Q'!D25/100</f>
        <v>2.7000000000000003E-2</v>
      </c>
      <c r="D25">
        <f>'Sorting Q'!E25/100</f>
        <v>3.8399999999999997E-2</v>
      </c>
      <c r="E25">
        <f>'Sorting Q'!F25</f>
        <v>4.2925000000000004</v>
      </c>
      <c r="F25">
        <f>'Sorting Q'!G25/100</f>
        <v>3.4000000000000002E-2</v>
      </c>
      <c r="G25">
        <f>'Sorting Q'!H25</f>
        <v>1692.51</v>
      </c>
      <c r="H25">
        <f>'Sorting Q'!I25</f>
        <v>11793.65</v>
      </c>
      <c r="I25">
        <f>'Sorting Q'!J25/100</f>
        <v>3.7999999999999999E-2</v>
      </c>
      <c r="J25">
        <f>'Sorting Q'!K25/100</f>
        <v>3.7000000000000005E-2</v>
      </c>
      <c r="K25">
        <f>'Sorting Q'!L25/100</f>
        <v>2.6000000000000002E-2</v>
      </c>
      <c r="L25">
        <f>'Sorting Q'!M25/100</f>
        <v>0.20399999999999999</v>
      </c>
      <c r="M25">
        <f>'Sorting Q'!N25/100</f>
        <v>3.3000000000000002E-2</v>
      </c>
      <c r="N25">
        <f>'Sorting Q'!O25</f>
        <v>1061.0999999999999</v>
      </c>
      <c r="O25">
        <f>'Sorting Q'!P25</f>
        <v>63.8</v>
      </c>
      <c r="P25">
        <f>'Sorting Q'!Q25</f>
        <v>99.8</v>
      </c>
      <c r="Q25">
        <f>'Sorting Q'!R25</f>
        <v>37.28</v>
      </c>
      <c r="R25">
        <f>'Sorting Q'!S25/100</f>
        <v>4.8931067156224195E-2</v>
      </c>
      <c r="S25">
        <f>'Sorting Q'!T25/100</f>
        <v>3.4973351539444142E-2</v>
      </c>
      <c r="T25">
        <f>'Sorting Q'!U25/100</f>
        <v>3.1428169767552916E-2</v>
      </c>
      <c r="V25" s="1">
        <v>42369</v>
      </c>
      <c r="W25">
        <f t="shared" si="5"/>
        <v>4.5928931888399735E-2</v>
      </c>
      <c r="X25">
        <f t="shared" si="31"/>
        <v>2.6641930946421092E-2</v>
      </c>
      <c r="Y25">
        <f t="shared" si="32"/>
        <v>3.7681066967688484E-2</v>
      </c>
      <c r="Z25">
        <f t="shared" si="33"/>
        <v>1.6662907240268832</v>
      </c>
      <c r="AA25">
        <f t="shared" si="34"/>
        <v>3.3434776086237419E-2</v>
      </c>
      <c r="AB25">
        <f t="shared" si="35"/>
        <v>7.4345585771710097</v>
      </c>
      <c r="AC25">
        <f t="shared" si="36"/>
        <v>9.3754013178110007</v>
      </c>
      <c r="AD25">
        <f t="shared" si="37"/>
        <v>3.7295784743696929E-2</v>
      </c>
      <c r="AE25">
        <f t="shared" si="38"/>
        <v>3.6331929247390204E-2</v>
      </c>
      <c r="AF25">
        <f t="shared" si="39"/>
        <v>2.5667746748577813E-2</v>
      </c>
      <c r="AG25">
        <f t="shared" si="40"/>
        <v>0.18564934688662926</v>
      </c>
      <c r="AH25">
        <f t="shared" si="41"/>
        <v>3.2467190137501413E-2</v>
      </c>
      <c r="AI25">
        <f t="shared" si="42"/>
        <v>6.9680033593274935</v>
      </c>
      <c r="AJ25">
        <f t="shared" si="43"/>
        <v>4.1713056033582285</v>
      </c>
      <c r="AK25">
        <f t="shared" si="44"/>
        <v>4.6131383556372683</v>
      </c>
      <c r="AL25">
        <f t="shared" si="45"/>
        <v>3.6449275665847534</v>
      </c>
      <c r="AM25">
        <f t="shared" si="28"/>
        <v>4.7771614343841771E-2</v>
      </c>
      <c r="AN25">
        <f t="shared" si="29"/>
        <v>3.4375679080979965E-2</v>
      </c>
      <c r="AO25">
        <f t="shared" si="30"/>
        <v>3.0944414427305621E-2</v>
      </c>
      <c r="AQ25" s="1">
        <v>42735</v>
      </c>
      <c r="AR25">
        <f t="shared" si="6"/>
        <v>4.401688541677426E-2</v>
      </c>
      <c r="AS25">
        <f t="shared" si="91"/>
        <v>1.4888612493750559E-2</v>
      </c>
      <c r="AT25">
        <f t="shared" si="92"/>
        <v>3.3434776086237419E-2</v>
      </c>
      <c r="AU25">
        <f t="shared" si="93"/>
        <v>1.6362161534667052</v>
      </c>
      <c r="AV25">
        <f t="shared" si="46"/>
        <v>3.4401426717332317E-2</v>
      </c>
      <c r="AW25">
        <f t="shared" si="47"/>
        <v>7.4106797708518704</v>
      </c>
      <c r="AX25">
        <f t="shared" si="48"/>
        <v>9.3663675757448441</v>
      </c>
      <c r="AY25">
        <f t="shared" si="49"/>
        <v>-1.9980026626730579E-3</v>
      </c>
      <c r="AZ25">
        <f t="shared" si="50"/>
        <v>-1.3902905168991434E-2</v>
      </c>
      <c r="BA25">
        <f t="shared" si="51"/>
        <v>1.8821754240587667E-2</v>
      </c>
      <c r="BB25">
        <f t="shared" si="52"/>
        <v>0.26849925303500699</v>
      </c>
      <c r="BC25">
        <f t="shared" si="53"/>
        <v>2.9558802241544429E-2</v>
      </c>
      <c r="BD25">
        <f t="shared" si="54"/>
        <v>7.1830129876836608</v>
      </c>
      <c r="BE25">
        <f t="shared" si="55"/>
        <v>4.3121405072097154</v>
      </c>
      <c r="BF25">
        <f t="shared" si="56"/>
        <v>4.60816569496789</v>
      </c>
      <c r="BG25">
        <f t="shared" si="57"/>
        <v>3.9132222860036281</v>
      </c>
      <c r="BH25">
        <f t="shared" si="58"/>
        <v>5.9765191764622479E-2</v>
      </c>
      <c r="BI25">
        <f t="shared" si="59"/>
        <v>2.2252418061686222E-2</v>
      </c>
      <c r="BJ25">
        <f t="shared" si="60"/>
        <v>3.8640454132811239E-2</v>
      </c>
      <c r="BL25" s="1">
        <v>42735</v>
      </c>
      <c r="BM25">
        <f t="shared" si="7"/>
        <v>4.1141943331175213E-2</v>
      </c>
      <c r="BN25">
        <f t="shared" si="94"/>
        <v>1.5873349156290163E-2</v>
      </c>
      <c r="BO25">
        <f t="shared" si="95"/>
        <v>3.5849652893697202E-2</v>
      </c>
      <c r="BP25">
        <f t="shared" si="96"/>
        <v>1.615718150391251</v>
      </c>
      <c r="BQ25">
        <f t="shared" si="61"/>
        <v>3.3434776086237419E-2</v>
      </c>
      <c r="BR25">
        <f t="shared" si="62"/>
        <v>7.4116046250114822</v>
      </c>
      <c r="BS25">
        <f t="shared" si="63"/>
        <v>9.3528125513822324</v>
      </c>
      <c r="BT25">
        <f t="shared" si="64"/>
        <v>2.0782539182528412E-2</v>
      </c>
      <c r="BU25">
        <f t="shared" si="65"/>
        <v>2.7615167032973391E-2</v>
      </c>
      <c r="BV25">
        <f t="shared" si="66"/>
        <v>5.9211859631846032E-2</v>
      </c>
      <c r="BW25">
        <f t="shared" si="67"/>
        <v>0.16041672140590466</v>
      </c>
      <c r="BX25">
        <f t="shared" si="68"/>
        <v>3.2467190137501413E-2</v>
      </c>
      <c r="BY25">
        <f t="shared" si="69"/>
        <v>7.1875815754683341</v>
      </c>
      <c r="BZ25">
        <f t="shared" si="70"/>
        <v>4.3757570216602861</v>
      </c>
      <c r="CA25">
        <f t="shared" si="71"/>
        <v>4.6101577274991303</v>
      </c>
      <c r="CB25">
        <f t="shared" si="72"/>
        <v>3.9255313554529381</v>
      </c>
      <c r="CC25">
        <f t="shared" si="73"/>
        <v>5.9573322014261777E-2</v>
      </c>
      <c r="CD25">
        <f t="shared" si="74"/>
        <v>5.4243376323720484E-2</v>
      </c>
      <c r="CE25">
        <f t="shared" si="75"/>
        <v>3.6310234440483764E-2</v>
      </c>
      <c r="CG25" s="1">
        <v>42735</v>
      </c>
      <c r="CH25">
        <f t="shared" si="8"/>
        <v>4.2101176018635326E-2</v>
      </c>
      <c r="CI25">
        <f t="shared" si="97"/>
        <v>2.5667746748577813E-2</v>
      </c>
      <c r="CJ25">
        <f t="shared" si="98"/>
        <v>3.6428356613551406E-2</v>
      </c>
      <c r="CK25">
        <f t="shared" si="99"/>
        <v>1.5891331590937361</v>
      </c>
      <c r="CL25">
        <f t="shared" si="76"/>
        <v>3.4401426717332317E-2</v>
      </c>
      <c r="CM25">
        <f t="shared" si="77"/>
        <v>7.4492536474321458</v>
      </c>
      <c r="CN25">
        <f t="shared" si="78"/>
        <v>9.3861222583299568</v>
      </c>
      <c r="CO25">
        <f t="shared" si="79"/>
        <v>9.950330853168092E-3</v>
      </c>
      <c r="CP25">
        <f t="shared" si="80"/>
        <v>2.3716526617316065E-2</v>
      </c>
      <c r="CQ25">
        <f t="shared" si="81"/>
        <v>9.9950033308342321E-4</v>
      </c>
      <c r="CR25">
        <f t="shared" si="82"/>
        <v>0.20212418409013433</v>
      </c>
      <c r="CS25">
        <f t="shared" si="83"/>
        <v>3.2467190137501413E-2</v>
      </c>
      <c r="CT25">
        <f t="shared" si="84"/>
        <v>7.1178135907476916</v>
      </c>
      <c r="CU25">
        <f t="shared" si="85"/>
        <v>4.3027128279541564</v>
      </c>
      <c r="CV25">
        <f t="shared" si="86"/>
        <v>4.6051701859880918</v>
      </c>
      <c r="CW25">
        <f t="shared" si="87"/>
        <v>3.7037680666076871</v>
      </c>
      <c r="CX25">
        <f t="shared" si="88"/>
        <v>4.942420020869602E-2</v>
      </c>
      <c r="CY25">
        <f t="shared" si="89"/>
        <v>2.7335952529660305E-2</v>
      </c>
      <c r="CZ25">
        <f t="shared" si="90"/>
        <v>3.2584403545202513E-2</v>
      </c>
      <c r="DB25" s="1">
        <v>42735</v>
      </c>
      <c r="DC25">
        <f t="shared" si="9"/>
        <v>4.5928931888399735E-2</v>
      </c>
      <c r="DD25">
        <f t="shared" si="10"/>
        <v>2.6641930946421092E-2</v>
      </c>
      <c r="DE25">
        <f t="shared" si="11"/>
        <v>3.7681066967688484E-2</v>
      </c>
      <c r="DF25">
        <f t="shared" si="12"/>
        <v>1.6662907240268832</v>
      </c>
      <c r="DG25">
        <f t="shared" si="13"/>
        <v>3.3434776086237419E-2</v>
      </c>
      <c r="DH25">
        <f t="shared" si="14"/>
        <v>7.4345585771710097</v>
      </c>
      <c r="DI25">
        <f t="shared" si="15"/>
        <v>9.3754013178110007</v>
      </c>
      <c r="DJ25">
        <f t="shared" si="16"/>
        <v>3.7295784743696929E-2</v>
      </c>
      <c r="DK25">
        <f t="shared" si="17"/>
        <v>3.6331929247390204E-2</v>
      </c>
      <c r="DL25">
        <f t="shared" si="18"/>
        <v>2.5667746748577813E-2</v>
      </c>
      <c r="DM25">
        <f t="shared" si="19"/>
        <v>0.18564934688662926</v>
      </c>
      <c r="DN25">
        <f t="shared" si="20"/>
        <v>3.2467190137501413E-2</v>
      </c>
      <c r="DO25">
        <f t="shared" si="21"/>
        <v>6.9680033593274935</v>
      </c>
      <c r="DP25">
        <f t="shared" si="22"/>
        <v>4.1713056033582285</v>
      </c>
      <c r="DQ25">
        <f t="shared" si="23"/>
        <v>4.6131383556372683</v>
      </c>
      <c r="DR25">
        <f t="shared" si="24"/>
        <v>3.6449275665847534</v>
      </c>
      <c r="DS25">
        <f t="shared" si="25"/>
        <v>4.7771614343841771E-2</v>
      </c>
      <c r="DT25">
        <f t="shared" si="26"/>
        <v>3.4375679080979965E-2</v>
      </c>
      <c r="DU25">
        <f t="shared" si="27"/>
        <v>3.0944414427305621E-2</v>
      </c>
    </row>
    <row r="26" spans="1:125" x14ac:dyDescent="0.35">
      <c r="A26" s="1">
        <v>42460</v>
      </c>
      <c r="B26">
        <f>'Sorting Q'!C26/100</f>
        <v>4.2999999999999997E-2</v>
      </c>
      <c r="C26">
        <f>'Sorting Q'!D26/100</f>
        <v>2.6000000000000002E-2</v>
      </c>
      <c r="D26">
        <f>'Sorting Q'!E26/100</f>
        <v>3.7100000000000001E-2</v>
      </c>
      <c r="E26">
        <f>'Sorting Q'!F26</f>
        <v>3.8995000000000002</v>
      </c>
      <c r="F26">
        <f>'Sorting Q'!G26/100</f>
        <v>3.5000000000000003E-2</v>
      </c>
      <c r="G26">
        <f>'Sorting Q'!H26</f>
        <v>1717.58</v>
      </c>
      <c r="H26">
        <f>'Sorting Q'!I26</f>
        <v>11920.78</v>
      </c>
      <c r="I26">
        <f>'Sorting Q'!J26/100</f>
        <v>0.01</v>
      </c>
      <c r="J26">
        <f>'Sorting Q'!K26/100</f>
        <v>2.4E-2</v>
      </c>
      <c r="K26">
        <f>'Sorting Q'!L26/100</f>
        <v>1E-3</v>
      </c>
      <c r="L26">
        <f>'Sorting Q'!M26/100</f>
        <v>0.22399999999999998</v>
      </c>
      <c r="M26">
        <f>'Sorting Q'!N26/100</f>
        <v>3.3000000000000002E-2</v>
      </c>
      <c r="N26">
        <f>'Sorting Q'!O26</f>
        <v>1232.75</v>
      </c>
      <c r="O26">
        <f>'Sorting Q'!P26</f>
        <v>72.900000000000006</v>
      </c>
      <c r="P26">
        <f>'Sorting Q'!Q26</f>
        <v>99</v>
      </c>
      <c r="Q26">
        <f>'Sorting Q'!R26</f>
        <v>39.6</v>
      </c>
      <c r="R26">
        <f>'Sorting Q'!S26/100</f>
        <v>5.0665948936730931E-2</v>
      </c>
      <c r="S26">
        <f>'Sorting Q'!T26/100</f>
        <v>2.7713007558684666E-2</v>
      </c>
      <c r="T26">
        <f>'Sorting Q'!U26/100</f>
        <v>3.3121088546617106E-2</v>
      </c>
      <c r="V26" s="1">
        <v>42460</v>
      </c>
      <c r="W26">
        <f t="shared" si="5"/>
        <v>4.2101176018635326E-2</v>
      </c>
      <c r="X26">
        <f t="shared" si="31"/>
        <v>2.5667746748577813E-2</v>
      </c>
      <c r="Y26">
        <f t="shared" si="32"/>
        <v>3.6428356613551406E-2</v>
      </c>
      <c r="Z26">
        <f t="shared" si="33"/>
        <v>1.5891331590937361</v>
      </c>
      <c r="AA26">
        <f t="shared" si="34"/>
        <v>3.4401426717332317E-2</v>
      </c>
      <c r="AB26">
        <f t="shared" si="35"/>
        <v>7.4492536474321458</v>
      </c>
      <c r="AC26">
        <f t="shared" si="36"/>
        <v>9.3861222583299568</v>
      </c>
      <c r="AD26">
        <f t="shared" si="37"/>
        <v>9.950330853168092E-3</v>
      </c>
      <c r="AE26">
        <f t="shared" si="38"/>
        <v>2.3716526617316065E-2</v>
      </c>
      <c r="AF26">
        <f t="shared" si="39"/>
        <v>9.9950033308342321E-4</v>
      </c>
      <c r="AG26">
        <f t="shared" si="40"/>
        <v>0.20212418409013433</v>
      </c>
      <c r="AH26">
        <f t="shared" si="41"/>
        <v>3.2467190137501413E-2</v>
      </c>
      <c r="AI26">
        <f t="shared" si="42"/>
        <v>7.1178135907476916</v>
      </c>
      <c r="AJ26">
        <f t="shared" si="43"/>
        <v>4.3027128279541564</v>
      </c>
      <c r="AK26">
        <f t="shared" si="44"/>
        <v>4.6051701859880918</v>
      </c>
      <c r="AL26">
        <f t="shared" si="45"/>
        <v>3.7037680666076871</v>
      </c>
      <c r="AM26">
        <f t="shared" si="28"/>
        <v>4.942420020869602E-2</v>
      </c>
      <c r="AN26">
        <f t="shared" si="29"/>
        <v>2.7335952529660305E-2</v>
      </c>
      <c r="AO26">
        <f t="shared" si="30"/>
        <v>3.2584403545202513E-2</v>
      </c>
      <c r="AQ26" s="1">
        <v>42825</v>
      </c>
      <c r="AR26">
        <f t="shared" si="6"/>
        <v>4.6883585898850458E-2</v>
      </c>
      <c r="AS26">
        <f t="shared" si="91"/>
        <v>1.6857117066422806E-2</v>
      </c>
      <c r="AT26">
        <f t="shared" si="92"/>
        <v>3.3531483208792345E-2</v>
      </c>
      <c r="AU26">
        <f t="shared" si="93"/>
        <v>1.7022358482854525</v>
      </c>
      <c r="AV26">
        <f t="shared" si="46"/>
        <v>3.4401426717332317E-2</v>
      </c>
      <c r="AW26">
        <f t="shared" si="47"/>
        <v>7.4041147709968191</v>
      </c>
      <c r="AX26">
        <f t="shared" si="48"/>
        <v>9.347275714583839</v>
      </c>
      <c r="AY26">
        <f t="shared" si="49"/>
        <v>2.3716526617316065E-2</v>
      </c>
      <c r="AZ26">
        <f t="shared" si="50"/>
        <v>2.0782539182528412E-2</v>
      </c>
      <c r="BA26">
        <f t="shared" si="51"/>
        <v>2.0782539182528412E-2</v>
      </c>
      <c r="BB26">
        <f t="shared" si="52"/>
        <v>0.17814618538347404</v>
      </c>
      <c r="BC26">
        <f t="shared" si="53"/>
        <v>2.9558802241544429E-2</v>
      </c>
      <c r="BD26">
        <f t="shared" si="54"/>
        <v>7.0462120221291533</v>
      </c>
      <c r="BE26">
        <f t="shared" si="55"/>
        <v>4.2598590006996737</v>
      </c>
      <c r="BF26">
        <f t="shared" si="56"/>
        <v>4.6101577274991303</v>
      </c>
      <c r="BG26">
        <f t="shared" si="57"/>
        <v>4.0573347365882002</v>
      </c>
      <c r="BH26">
        <f t="shared" si="58"/>
        <v>5.841532852401151E-2</v>
      </c>
      <c r="BI26">
        <f t="shared" si="59"/>
        <v>-3.9778092849648977E-2</v>
      </c>
      <c r="BJ26">
        <f t="shared" si="60"/>
        <v>5.3168657363312694E-2</v>
      </c>
      <c r="BL26" s="1">
        <v>42825</v>
      </c>
      <c r="BM26">
        <f t="shared" si="7"/>
        <v>4.401688541677426E-2</v>
      </c>
      <c r="BN26">
        <f t="shared" si="94"/>
        <v>1.4888612493750559E-2</v>
      </c>
      <c r="BO26">
        <f t="shared" si="95"/>
        <v>3.3434776086237419E-2</v>
      </c>
      <c r="BP26">
        <f t="shared" si="96"/>
        <v>1.6362161534667052</v>
      </c>
      <c r="BQ26">
        <f t="shared" si="61"/>
        <v>3.4401426717332317E-2</v>
      </c>
      <c r="BR26">
        <f t="shared" si="62"/>
        <v>7.4106797708518704</v>
      </c>
      <c r="BS26">
        <f t="shared" si="63"/>
        <v>9.3663675757448441</v>
      </c>
      <c r="BT26">
        <f t="shared" si="64"/>
        <v>-1.9980026626730579E-3</v>
      </c>
      <c r="BU26">
        <f t="shared" si="65"/>
        <v>-1.3902905168991434E-2</v>
      </c>
      <c r="BV26">
        <f t="shared" si="66"/>
        <v>1.8821754240587667E-2</v>
      </c>
      <c r="BW26">
        <f t="shared" si="67"/>
        <v>0.26849925303500699</v>
      </c>
      <c r="BX26">
        <f t="shared" si="68"/>
        <v>2.9558802241544429E-2</v>
      </c>
      <c r="BY26">
        <f t="shared" si="69"/>
        <v>7.1830129876836608</v>
      </c>
      <c r="BZ26">
        <f t="shared" si="70"/>
        <v>4.3121405072097154</v>
      </c>
      <c r="CA26">
        <f t="shared" si="71"/>
        <v>4.60816569496789</v>
      </c>
      <c r="CB26">
        <f t="shared" si="72"/>
        <v>3.9132222860036281</v>
      </c>
      <c r="CC26">
        <f t="shared" si="73"/>
        <v>5.9765191764622479E-2</v>
      </c>
      <c r="CD26">
        <f t="shared" si="74"/>
        <v>2.2252418061686222E-2</v>
      </c>
      <c r="CE26">
        <f t="shared" si="75"/>
        <v>3.8640454132811239E-2</v>
      </c>
      <c r="CG26" s="1">
        <v>42825</v>
      </c>
      <c r="CH26">
        <f t="shared" si="8"/>
        <v>4.1141943331175213E-2</v>
      </c>
      <c r="CI26">
        <f t="shared" si="97"/>
        <v>1.5873349156290163E-2</v>
      </c>
      <c r="CJ26">
        <f t="shared" si="98"/>
        <v>3.5849652893697202E-2</v>
      </c>
      <c r="CK26">
        <f t="shared" si="99"/>
        <v>1.615718150391251</v>
      </c>
      <c r="CL26">
        <f t="shared" si="76"/>
        <v>3.3434776086237419E-2</v>
      </c>
      <c r="CM26">
        <f t="shared" si="77"/>
        <v>7.4116046250114822</v>
      </c>
      <c r="CN26">
        <f t="shared" si="78"/>
        <v>9.3528125513822324</v>
      </c>
      <c r="CO26">
        <f t="shared" si="79"/>
        <v>2.0782539182528412E-2</v>
      </c>
      <c r="CP26">
        <f t="shared" si="80"/>
        <v>2.7615167032973391E-2</v>
      </c>
      <c r="CQ26">
        <f t="shared" si="81"/>
        <v>5.9211859631846032E-2</v>
      </c>
      <c r="CR26">
        <f t="shared" si="82"/>
        <v>0.16041672140590466</v>
      </c>
      <c r="CS26">
        <f t="shared" si="83"/>
        <v>3.2467190137501413E-2</v>
      </c>
      <c r="CT26">
        <f t="shared" si="84"/>
        <v>7.1875815754683341</v>
      </c>
      <c r="CU26">
        <f t="shared" si="85"/>
        <v>4.3757570216602861</v>
      </c>
      <c r="CV26">
        <f t="shared" si="86"/>
        <v>4.6101577274991303</v>
      </c>
      <c r="CW26">
        <f t="shared" si="87"/>
        <v>3.9255313554529381</v>
      </c>
      <c r="CX26">
        <f t="shared" si="88"/>
        <v>5.9573322014261777E-2</v>
      </c>
      <c r="CY26">
        <f t="shared" si="89"/>
        <v>5.4243376323720484E-2</v>
      </c>
      <c r="CZ26">
        <f t="shared" si="90"/>
        <v>3.6310234440483764E-2</v>
      </c>
      <c r="DB26" s="1">
        <v>42825</v>
      </c>
      <c r="DC26">
        <f t="shared" si="9"/>
        <v>4.2101176018635326E-2</v>
      </c>
      <c r="DD26">
        <f t="shared" si="10"/>
        <v>2.5667746748577813E-2</v>
      </c>
      <c r="DE26">
        <f t="shared" si="11"/>
        <v>3.6428356613551406E-2</v>
      </c>
      <c r="DF26">
        <f t="shared" si="12"/>
        <v>1.5891331590937361</v>
      </c>
      <c r="DG26">
        <f t="shared" si="13"/>
        <v>3.4401426717332317E-2</v>
      </c>
      <c r="DH26">
        <f t="shared" si="14"/>
        <v>7.4492536474321458</v>
      </c>
      <c r="DI26">
        <f t="shared" si="15"/>
        <v>9.3861222583299568</v>
      </c>
      <c r="DJ26">
        <f t="shared" si="16"/>
        <v>9.950330853168092E-3</v>
      </c>
      <c r="DK26">
        <f t="shared" si="17"/>
        <v>2.3716526617316065E-2</v>
      </c>
      <c r="DL26">
        <f t="shared" si="18"/>
        <v>9.9950033308342321E-4</v>
      </c>
      <c r="DM26">
        <f t="shared" si="19"/>
        <v>0.20212418409013433</v>
      </c>
      <c r="DN26">
        <f t="shared" si="20"/>
        <v>3.2467190137501413E-2</v>
      </c>
      <c r="DO26">
        <f t="shared" si="21"/>
        <v>7.1178135907476916</v>
      </c>
      <c r="DP26">
        <f t="shared" si="22"/>
        <v>4.3027128279541564</v>
      </c>
      <c r="DQ26">
        <f t="shared" si="23"/>
        <v>4.6051701859880918</v>
      </c>
      <c r="DR26">
        <f t="shared" si="24"/>
        <v>3.7037680666076871</v>
      </c>
      <c r="DS26">
        <f t="shared" si="25"/>
        <v>4.942420020869602E-2</v>
      </c>
      <c r="DT26">
        <f t="shared" si="26"/>
        <v>2.7335952529660305E-2</v>
      </c>
      <c r="DU26">
        <f t="shared" si="27"/>
        <v>3.2584403545202513E-2</v>
      </c>
    </row>
    <row r="27" spans="1:125" x14ac:dyDescent="0.35">
      <c r="A27" s="1">
        <v>42551</v>
      </c>
      <c r="B27">
        <f>'Sorting Q'!C27/100</f>
        <v>4.2000000000000003E-2</v>
      </c>
      <c r="C27">
        <f>'Sorting Q'!D27/100</f>
        <v>1.6E-2</v>
      </c>
      <c r="D27">
        <f>'Sorting Q'!E27/100</f>
        <v>3.6499999999999998E-2</v>
      </c>
      <c r="E27">
        <f>'Sorting Q'!F27</f>
        <v>4.0315000000000003</v>
      </c>
      <c r="F27">
        <f>'Sorting Q'!G27/100</f>
        <v>3.4000000000000002E-2</v>
      </c>
      <c r="G27">
        <f>'Sorting Q'!H27</f>
        <v>1654.08</v>
      </c>
      <c r="H27">
        <f>'Sorting Q'!I27</f>
        <v>11530.21</v>
      </c>
      <c r="I27">
        <f>'Sorting Q'!J27/100</f>
        <v>2.1000000000000001E-2</v>
      </c>
      <c r="J27">
        <f>'Sorting Q'!K27/100</f>
        <v>2.7999999999999997E-2</v>
      </c>
      <c r="K27">
        <f>'Sorting Q'!L27/100</f>
        <v>6.0999999999999999E-2</v>
      </c>
      <c r="L27">
        <f>'Sorting Q'!M27/100</f>
        <v>0.17399999999999999</v>
      </c>
      <c r="M27">
        <f>'Sorting Q'!N27/100</f>
        <v>3.3000000000000002E-2</v>
      </c>
      <c r="N27">
        <f>'Sorting Q'!O27</f>
        <v>1321.9</v>
      </c>
      <c r="O27">
        <f>'Sorting Q'!P27</f>
        <v>78.5</v>
      </c>
      <c r="P27">
        <f>'Sorting Q'!Q27</f>
        <v>99.5</v>
      </c>
      <c r="Q27">
        <f>'Sorting Q'!R27</f>
        <v>49.68</v>
      </c>
      <c r="R27">
        <f>'Sorting Q'!S27/100</f>
        <v>6.1383580908601187E-2</v>
      </c>
      <c r="S27">
        <f>'Sorting Q'!T27/100</f>
        <v>5.5741513379082619E-2</v>
      </c>
      <c r="T27">
        <f>'Sorting Q'!U27/100</f>
        <v>3.6977502729275802E-2</v>
      </c>
      <c r="V27" s="1">
        <v>42551</v>
      </c>
      <c r="W27">
        <f t="shared" si="5"/>
        <v>4.1141943331175213E-2</v>
      </c>
      <c r="X27">
        <f t="shared" si="31"/>
        <v>1.5873349156290163E-2</v>
      </c>
      <c r="Y27">
        <f t="shared" si="32"/>
        <v>3.5849652893697202E-2</v>
      </c>
      <c r="Z27">
        <f t="shared" si="33"/>
        <v>1.615718150391251</v>
      </c>
      <c r="AA27">
        <f t="shared" si="34"/>
        <v>3.3434776086237419E-2</v>
      </c>
      <c r="AB27">
        <f t="shared" si="35"/>
        <v>7.4116046250114822</v>
      </c>
      <c r="AC27">
        <f t="shared" si="36"/>
        <v>9.3528125513822324</v>
      </c>
      <c r="AD27">
        <f t="shared" si="37"/>
        <v>2.0782539182528412E-2</v>
      </c>
      <c r="AE27">
        <f t="shared" si="38"/>
        <v>2.7615167032973391E-2</v>
      </c>
      <c r="AF27">
        <f t="shared" si="39"/>
        <v>5.9211859631846032E-2</v>
      </c>
      <c r="AG27">
        <f t="shared" si="40"/>
        <v>0.16041672140590466</v>
      </c>
      <c r="AH27">
        <f t="shared" si="41"/>
        <v>3.2467190137501413E-2</v>
      </c>
      <c r="AI27">
        <f t="shared" si="42"/>
        <v>7.1875815754683341</v>
      </c>
      <c r="AJ27">
        <f t="shared" si="43"/>
        <v>4.3757570216602861</v>
      </c>
      <c r="AK27">
        <f t="shared" si="44"/>
        <v>4.6101577274991303</v>
      </c>
      <c r="AL27">
        <f t="shared" si="45"/>
        <v>3.9255313554529381</v>
      </c>
      <c r="AM27">
        <f t="shared" si="28"/>
        <v>5.9573322014261777E-2</v>
      </c>
      <c r="AN27">
        <f t="shared" si="29"/>
        <v>5.4243376323720484E-2</v>
      </c>
      <c r="AO27">
        <f t="shared" si="30"/>
        <v>3.6310234440483764E-2</v>
      </c>
      <c r="AQ27" s="1">
        <v>42916</v>
      </c>
      <c r="AR27">
        <f t="shared" si="6"/>
        <v>5.4488185284069776E-2</v>
      </c>
      <c r="AS27">
        <f t="shared" si="91"/>
        <v>4.7837329414160058E-2</v>
      </c>
      <c r="AT27">
        <f t="shared" si="92"/>
        <v>3.3724869401620894E-2</v>
      </c>
      <c r="AU27">
        <f t="shared" si="93"/>
        <v>1.6911100610781253</v>
      </c>
      <c r="AV27">
        <f t="shared" si="46"/>
        <v>3.3434776086237419E-2</v>
      </c>
      <c r="AW27">
        <f t="shared" si="47"/>
        <v>7.4622666328605671</v>
      </c>
      <c r="AX27">
        <f t="shared" si="48"/>
        <v>9.4224383448725213</v>
      </c>
      <c r="AY27">
        <f t="shared" si="49"/>
        <v>9.4400675421484295E-2</v>
      </c>
      <c r="AZ27">
        <f t="shared" si="50"/>
        <v>0.12221763272424911</v>
      </c>
      <c r="BA27">
        <f t="shared" si="51"/>
        <v>9.0754363268464117E-2</v>
      </c>
      <c r="BB27">
        <f t="shared" si="52"/>
        <v>0.1292723357041391</v>
      </c>
      <c r="BC27">
        <f t="shared" si="53"/>
        <v>2.9558802241544429E-2</v>
      </c>
      <c r="BD27">
        <f t="shared" si="54"/>
        <v>7.1310588174977116</v>
      </c>
      <c r="BE27">
        <f t="shared" si="55"/>
        <v>4.3515674271891731</v>
      </c>
      <c r="BF27">
        <f t="shared" si="56"/>
        <v>4.6239919402286791</v>
      </c>
      <c r="BG27">
        <f t="shared" si="57"/>
        <v>3.985830932572866</v>
      </c>
      <c r="BH27">
        <f t="shared" si="58"/>
        <v>6.3837021418943651E-2</v>
      </c>
      <c r="BI27">
        <f t="shared" si="59"/>
        <v>7.4642795377746415E-2</v>
      </c>
      <c r="BJ27">
        <f t="shared" si="60"/>
        <v>4.3877098499366822E-2</v>
      </c>
      <c r="BL27" s="1">
        <v>42916</v>
      </c>
      <c r="BM27">
        <f t="shared" si="7"/>
        <v>4.6883585898850458E-2</v>
      </c>
      <c r="BN27">
        <f t="shared" si="94"/>
        <v>1.6857117066422806E-2</v>
      </c>
      <c r="BO27">
        <f t="shared" si="95"/>
        <v>3.3531483208792345E-2</v>
      </c>
      <c r="BP27">
        <f t="shared" si="96"/>
        <v>1.7022358482854525</v>
      </c>
      <c r="BQ27">
        <f t="shared" si="61"/>
        <v>3.4401426717332317E-2</v>
      </c>
      <c r="BR27">
        <f t="shared" si="62"/>
        <v>7.4041147709968191</v>
      </c>
      <c r="BS27">
        <f t="shared" si="63"/>
        <v>9.347275714583839</v>
      </c>
      <c r="BT27">
        <f t="shared" si="64"/>
        <v>2.3716526617316065E-2</v>
      </c>
      <c r="BU27">
        <f t="shared" si="65"/>
        <v>2.0782539182528412E-2</v>
      </c>
      <c r="BV27">
        <f t="shared" si="66"/>
        <v>2.0782539182528412E-2</v>
      </c>
      <c r="BW27">
        <f t="shared" si="67"/>
        <v>0.17814618538347404</v>
      </c>
      <c r="BX27">
        <f t="shared" si="68"/>
        <v>2.9558802241544429E-2</v>
      </c>
      <c r="BY27">
        <f t="shared" si="69"/>
        <v>7.0462120221291533</v>
      </c>
      <c r="BZ27">
        <f t="shared" si="70"/>
        <v>4.2598590006996737</v>
      </c>
      <c r="CA27">
        <f t="shared" si="71"/>
        <v>4.6101577274991303</v>
      </c>
      <c r="CB27">
        <f t="shared" si="72"/>
        <v>4.0573347365882002</v>
      </c>
      <c r="CC27">
        <f t="shared" si="73"/>
        <v>5.841532852401151E-2</v>
      </c>
      <c r="CD27">
        <f t="shared" si="74"/>
        <v>-3.9778092849648977E-2</v>
      </c>
      <c r="CE27">
        <f t="shared" si="75"/>
        <v>5.3168657363312694E-2</v>
      </c>
      <c r="CG27" s="1">
        <v>42916</v>
      </c>
      <c r="CH27">
        <f t="shared" si="8"/>
        <v>4.401688541677426E-2</v>
      </c>
      <c r="CI27">
        <f t="shared" si="97"/>
        <v>1.4888612493750559E-2</v>
      </c>
      <c r="CJ27">
        <f t="shared" si="98"/>
        <v>3.3434776086237419E-2</v>
      </c>
      <c r="CK27">
        <f t="shared" si="99"/>
        <v>1.6362161534667052</v>
      </c>
      <c r="CL27">
        <f t="shared" si="76"/>
        <v>3.4401426717332317E-2</v>
      </c>
      <c r="CM27">
        <f t="shared" si="77"/>
        <v>7.4106797708518704</v>
      </c>
      <c r="CN27">
        <f t="shared" si="78"/>
        <v>9.3663675757448441</v>
      </c>
      <c r="CO27">
        <f t="shared" si="79"/>
        <v>-1.9980026626730579E-3</v>
      </c>
      <c r="CP27">
        <f t="shared" si="80"/>
        <v>-1.3902905168991434E-2</v>
      </c>
      <c r="CQ27">
        <f t="shared" si="81"/>
        <v>1.8821754240587667E-2</v>
      </c>
      <c r="CR27">
        <f t="shared" si="82"/>
        <v>0.26849925303500699</v>
      </c>
      <c r="CS27">
        <f t="shared" si="83"/>
        <v>2.9558802241544429E-2</v>
      </c>
      <c r="CT27">
        <f t="shared" si="84"/>
        <v>7.1830129876836608</v>
      </c>
      <c r="CU27">
        <f t="shared" si="85"/>
        <v>4.3121405072097154</v>
      </c>
      <c r="CV27">
        <f t="shared" si="86"/>
        <v>4.60816569496789</v>
      </c>
      <c r="CW27">
        <f t="shared" si="87"/>
        <v>3.9132222860036281</v>
      </c>
      <c r="CX27">
        <f t="shared" si="88"/>
        <v>5.9765191764622479E-2</v>
      </c>
      <c r="CY27">
        <f t="shared" si="89"/>
        <v>2.2252418061686222E-2</v>
      </c>
      <c r="CZ27">
        <f t="shared" si="90"/>
        <v>3.8640454132811239E-2</v>
      </c>
      <c r="DB27" s="1">
        <v>42916</v>
      </c>
      <c r="DC27">
        <f t="shared" si="9"/>
        <v>4.1141943331175213E-2</v>
      </c>
      <c r="DD27">
        <f t="shared" si="10"/>
        <v>1.5873349156290163E-2</v>
      </c>
      <c r="DE27">
        <f t="shared" si="11"/>
        <v>3.5849652893697202E-2</v>
      </c>
      <c r="DF27">
        <f t="shared" si="12"/>
        <v>1.615718150391251</v>
      </c>
      <c r="DG27">
        <f t="shared" si="13"/>
        <v>3.3434776086237419E-2</v>
      </c>
      <c r="DH27">
        <f t="shared" si="14"/>
        <v>7.4116046250114822</v>
      </c>
      <c r="DI27">
        <f t="shared" si="15"/>
        <v>9.3528125513822324</v>
      </c>
      <c r="DJ27">
        <f t="shared" si="16"/>
        <v>2.0782539182528412E-2</v>
      </c>
      <c r="DK27">
        <f t="shared" si="17"/>
        <v>2.7615167032973391E-2</v>
      </c>
      <c r="DL27">
        <f t="shared" si="18"/>
        <v>5.9211859631846032E-2</v>
      </c>
      <c r="DM27">
        <f t="shared" si="19"/>
        <v>0.16041672140590466</v>
      </c>
      <c r="DN27">
        <f t="shared" si="20"/>
        <v>3.2467190137501413E-2</v>
      </c>
      <c r="DO27">
        <f t="shared" si="21"/>
        <v>7.1875815754683341</v>
      </c>
      <c r="DP27">
        <f t="shared" si="22"/>
        <v>4.3757570216602861</v>
      </c>
      <c r="DQ27">
        <f t="shared" si="23"/>
        <v>4.6101577274991303</v>
      </c>
      <c r="DR27">
        <f t="shared" si="24"/>
        <v>3.9255313554529381</v>
      </c>
      <c r="DS27">
        <f t="shared" si="25"/>
        <v>5.9573322014261777E-2</v>
      </c>
      <c r="DT27">
        <f t="shared" si="26"/>
        <v>5.4243376323720484E-2</v>
      </c>
      <c r="DU27">
        <f t="shared" si="27"/>
        <v>3.6310234440483764E-2</v>
      </c>
    </row>
    <row r="28" spans="1:125" x14ac:dyDescent="0.35">
      <c r="A28" s="1">
        <v>42643</v>
      </c>
      <c r="B28">
        <f>'Sorting Q'!C28/100</f>
        <v>4.4999999999999998E-2</v>
      </c>
      <c r="C28">
        <f>'Sorting Q'!D28/100</f>
        <v>1.4999999999999999E-2</v>
      </c>
      <c r="D28">
        <f>'Sorting Q'!E28/100</f>
        <v>3.4000000000000002E-2</v>
      </c>
      <c r="E28">
        <f>'Sorting Q'!F28</f>
        <v>4.1356999999999999</v>
      </c>
      <c r="F28">
        <f>'Sorting Q'!G28/100</f>
        <v>3.5000000000000003E-2</v>
      </c>
      <c r="G28">
        <f>'Sorting Q'!H28</f>
        <v>1652.55</v>
      </c>
      <c r="H28">
        <f>'Sorting Q'!I28</f>
        <v>11687.58</v>
      </c>
      <c r="I28">
        <f>'Sorting Q'!J28/100</f>
        <v>-2E-3</v>
      </c>
      <c r="J28">
        <f>'Sorting Q'!K28/100</f>
        <v>-1.3999999999999999E-2</v>
      </c>
      <c r="K28">
        <f>'Sorting Q'!L28/100</f>
        <v>1.9E-2</v>
      </c>
      <c r="L28">
        <f>'Sorting Q'!M28/100</f>
        <v>0.308</v>
      </c>
      <c r="M28">
        <f>'Sorting Q'!N28/100</f>
        <v>0.03</v>
      </c>
      <c r="N28">
        <f>'Sorting Q'!O28</f>
        <v>1315.87</v>
      </c>
      <c r="O28">
        <f>'Sorting Q'!P28</f>
        <v>73.599999999999994</v>
      </c>
      <c r="P28">
        <f>'Sorting Q'!Q28</f>
        <v>99.3</v>
      </c>
      <c r="Q28">
        <f>'Sorting Q'!R28</f>
        <v>49.06</v>
      </c>
      <c r="R28">
        <f>'Sorting Q'!S28/100</f>
        <v>6.1587247849444804E-2</v>
      </c>
      <c r="S28">
        <f>'Sorting Q'!T28/100</f>
        <v>2.250184983389425E-2</v>
      </c>
      <c r="T28">
        <f>'Sorting Q'!U28/100</f>
        <v>3.9396705669127341E-2</v>
      </c>
      <c r="V28" s="1">
        <v>42643</v>
      </c>
      <c r="W28">
        <f t="shared" si="5"/>
        <v>4.401688541677426E-2</v>
      </c>
      <c r="X28">
        <f t="shared" si="31"/>
        <v>1.4888612493750559E-2</v>
      </c>
      <c r="Y28">
        <f t="shared" si="32"/>
        <v>3.3434776086237419E-2</v>
      </c>
      <c r="Z28">
        <f t="shared" si="33"/>
        <v>1.6362161534667052</v>
      </c>
      <c r="AA28">
        <f t="shared" si="34"/>
        <v>3.4401426717332317E-2</v>
      </c>
      <c r="AB28">
        <f t="shared" si="35"/>
        <v>7.4106797708518704</v>
      </c>
      <c r="AC28">
        <f t="shared" si="36"/>
        <v>9.3663675757448441</v>
      </c>
      <c r="AD28">
        <f t="shared" si="37"/>
        <v>-1.9980026626730579E-3</v>
      </c>
      <c r="AE28">
        <f t="shared" si="38"/>
        <v>-1.3902905168991434E-2</v>
      </c>
      <c r="AF28">
        <f t="shared" si="39"/>
        <v>1.8821754240587667E-2</v>
      </c>
      <c r="AG28">
        <f t="shared" si="40"/>
        <v>0.26849925303500699</v>
      </c>
      <c r="AH28">
        <f t="shared" si="41"/>
        <v>2.9558802241544429E-2</v>
      </c>
      <c r="AI28">
        <f t="shared" si="42"/>
        <v>7.1830129876836608</v>
      </c>
      <c r="AJ28">
        <f t="shared" si="43"/>
        <v>4.3121405072097154</v>
      </c>
      <c r="AK28">
        <f t="shared" si="44"/>
        <v>4.60816569496789</v>
      </c>
      <c r="AL28">
        <f t="shared" si="45"/>
        <v>3.9132222860036281</v>
      </c>
      <c r="AM28">
        <f t="shared" si="28"/>
        <v>5.9765191764622479E-2</v>
      </c>
      <c r="AN28">
        <f t="shared" si="29"/>
        <v>2.2252418061686222E-2</v>
      </c>
      <c r="AO28">
        <f t="shared" si="30"/>
        <v>3.8640454132811239E-2</v>
      </c>
      <c r="AQ28" s="1">
        <v>43008</v>
      </c>
      <c r="AR28">
        <f t="shared" si="6"/>
        <v>5.5434706888100524E-2</v>
      </c>
      <c r="AS28">
        <f t="shared" si="91"/>
        <v>3.3434776086237419E-2</v>
      </c>
      <c r="AT28">
        <f t="shared" si="92"/>
        <v>3.3724869401620894E-2</v>
      </c>
      <c r="AU28">
        <f t="shared" si="93"/>
        <v>1.6664418699018333</v>
      </c>
      <c r="AV28">
        <f t="shared" si="46"/>
        <v>3.3434776086237419E-2</v>
      </c>
      <c r="AW28">
        <f t="shared" si="47"/>
        <v>7.4757189830480177</v>
      </c>
      <c r="AX28">
        <f t="shared" si="48"/>
        <v>9.4414473310234701</v>
      </c>
      <c r="AY28">
        <f t="shared" si="49"/>
        <v>8.8926209194401487E-2</v>
      </c>
      <c r="AZ28">
        <f t="shared" si="50"/>
        <v>9.1667188525823867E-2</v>
      </c>
      <c r="BA28">
        <f t="shared" si="51"/>
        <v>3.8258712117090268E-2</v>
      </c>
      <c r="BB28">
        <f t="shared" si="52"/>
        <v>9.1667188525823867E-2</v>
      </c>
      <c r="BC28">
        <f t="shared" si="53"/>
        <v>2.9558802241544429E-2</v>
      </c>
      <c r="BD28">
        <f t="shared" si="54"/>
        <v>7.1249692852392519</v>
      </c>
      <c r="BE28">
        <f t="shared" si="55"/>
        <v>4.4030540018659572</v>
      </c>
      <c r="BF28">
        <f t="shared" si="56"/>
        <v>4.6170987568533652</v>
      </c>
      <c r="BG28">
        <f t="shared" si="57"/>
        <v>3.8901863108189718</v>
      </c>
      <c r="BH28">
        <f t="shared" si="58"/>
        <v>6.7471038473154166E-2</v>
      </c>
      <c r="BI28">
        <f t="shared" si="59"/>
        <v>3.4477420499681562E-2</v>
      </c>
      <c r="BJ28">
        <f t="shared" si="60"/>
        <v>3.6791872956357198E-2</v>
      </c>
      <c r="BL28" s="1">
        <v>43008</v>
      </c>
      <c r="BM28">
        <f t="shared" si="7"/>
        <v>5.4488185284069776E-2</v>
      </c>
      <c r="BN28">
        <f t="shared" si="94"/>
        <v>4.7837329414160058E-2</v>
      </c>
      <c r="BO28">
        <f t="shared" si="95"/>
        <v>3.3724869401620894E-2</v>
      </c>
      <c r="BP28">
        <f t="shared" si="96"/>
        <v>1.6911100610781253</v>
      </c>
      <c r="BQ28">
        <f t="shared" si="61"/>
        <v>3.3434776086237419E-2</v>
      </c>
      <c r="BR28">
        <f t="shared" si="62"/>
        <v>7.4622666328605671</v>
      </c>
      <c r="BS28">
        <f t="shared" si="63"/>
        <v>9.4224383448725213</v>
      </c>
      <c r="BT28">
        <f t="shared" si="64"/>
        <v>9.4400675421484295E-2</v>
      </c>
      <c r="BU28">
        <f t="shared" si="65"/>
        <v>0.12221763272424911</v>
      </c>
      <c r="BV28">
        <f t="shared" si="66"/>
        <v>9.0754363268464117E-2</v>
      </c>
      <c r="BW28">
        <f t="shared" si="67"/>
        <v>0.1292723357041391</v>
      </c>
      <c r="BX28">
        <f t="shared" si="68"/>
        <v>2.9558802241544429E-2</v>
      </c>
      <c r="BY28">
        <f t="shared" si="69"/>
        <v>7.1310588174977116</v>
      </c>
      <c r="BZ28">
        <f t="shared" si="70"/>
        <v>4.3515674271891731</v>
      </c>
      <c r="CA28">
        <f t="shared" si="71"/>
        <v>4.6239919402286791</v>
      </c>
      <c r="CB28">
        <f t="shared" si="72"/>
        <v>3.985830932572866</v>
      </c>
      <c r="CC28">
        <f t="shared" si="73"/>
        <v>6.3837021418943651E-2</v>
      </c>
      <c r="CD28">
        <f t="shared" si="74"/>
        <v>7.4642795377746415E-2</v>
      </c>
      <c r="CE28">
        <f t="shared" si="75"/>
        <v>4.3877098499366822E-2</v>
      </c>
      <c r="CG28" s="1">
        <v>43008</v>
      </c>
      <c r="CH28">
        <f t="shared" si="8"/>
        <v>4.6883585898850458E-2</v>
      </c>
      <c r="CI28">
        <f t="shared" si="97"/>
        <v>1.6857117066422806E-2</v>
      </c>
      <c r="CJ28">
        <f t="shared" si="98"/>
        <v>3.3531483208792345E-2</v>
      </c>
      <c r="CK28">
        <f t="shared" si="99"/>
        <v>1.7022358482854525</v>
      </c>
      <c r="CL28">
        <f t="shared" si="76"/>
        <v>3.4401426717332317E-2</v>
      </c>
      <c r="CM28">
        <f t="shared" si="77"/>
        <v>7.4041147709968191</v>
      </c>
      <c r="CN28">
        <f t="shared" si="78"/>
        <v>9.347275714583839</v>
      </c>
      <c r="CO28">
        <f t="shared" si="79"/>
        <v>2.3716526617316065E-2</v>
      </c>
      <c r="CP28">
        <f t="shared" si="80"/>
        <v>2.0782539182528412E-2</v>
      </c>
      <c r="CQ28">
        <f t="shared" si="81"/>
        <v>2.0782539182528412E-2</v>
      </c>
      <c r="CR28">
        <f t="shared" si="82"/>
        <v>0.17814618538347404</v>
      </c>
      <c r="CS28">
        <f t="shared" si="83"/>
        <v>2.9558802241544429E-2</v>
      </c>
      <c r="CT28">
        <f t="shared" si="84"/>
        <v>7.0462120221291533</v>
      </c>
      <c r="CU28">
        <f t="shared" si="85"/>
        <v>4.2598590006996737</v>
      </c>
      <c r="CV28">
        <f t="shared" si="86"/>
        <v>4.6101577274991303</v>
      </c>
      <c r="CW28">
        <f t="shared" si="87"/>
        <v>4.0573347365882002</v>
      </c>
      <c r="CX28">
        <f t="shared" si="88"/>
        <v>5.841532852401151E-2</v>
      </c>
      <c r="CY28">
        <f t="shared" si="89"/>
        <v>-3.9778092849648977E-2</v>
      </c>
      <c r="CZ28">
        <f t="shared" si="90"/>
        <v>5.3168657363312694E-2</v>
      </c>
      <c r="DB28" s="1">
        <v>43008</v>
      </c>
      <c r="DC28">
        <f t="shared" si="9"/>
        <v>4.401688541677426E-2</v>
      </c>
      <c r="DD28">
        <f t="shared" si="10"/>
        <v>1.4888612493750559E-2</v>
      </c>
      <c r="DE28">
        <f t="shared" si="11"/>
        <v>3.3434776086237419E-2</v>
      </c>
      <c r="DF28">
        <f t="shared" si="12"/>
        <v>1.6362161534667052</v>
      </c>
      <c r="DG28">
        <f t="shared" si="13"/>
        <v>3.4401426717332317E-2</v>
      </c>
      <c r="DH28">
        <f t="shared" si="14"/>
        <v>7.4106797708518704</v>
      </c>
      <c r="DI28">
        <f t="shared" si="15"/>
        <v>9.3663675757448441</v>
      </c>
      <c r="DJ28">
        <f t="shared" si="16"/>
        <v>-1.9980026626730579E-3</v>
      </c>
      <c r="DK28">
        <f t="shared" si="17"/>
        <v>-1.3902905168991434E-2</v>
      </c>
      <c r="DL28">
        <f t="shared" si="18"/>
        <v>1.8821754240587667E-2</v>
      </c>
      <c r="DM28">
        <f t="shared" si="19"/>
        <v>0.26849925303500699</v>
      </c>
      <c r="DN28">
        <f t="shared" si="20"/>
        <v>2.9558802241544429E-2</v>
      </c>
      <c r="DO28">
        <f t="shared" si="21"/>
        <v>7.1830129876836608</v>
      </c>
      <c r="DP28">
        <f t="shared" si="22"/>
        <v>4.3121405072097154</v>
      </c>
      <c r="DQ28">
        <f t="shared" si="23"/>
        <v>4.60816569496789</v>
      </c>
      <c r="DR28">
        <f t="shared" si="24"/>
        <v>3.9132222860036281</v>
      </c>
      <c r="DS28">
        <f t="shared" si="25"/>
        <v>5.9765191764622479E-2</v>
      </c>
      <c r="DT28">
        <f t="shared" si="26"/>
        <v>2.2252418061686222E-2</v>
      </c>
      <c r="DU28">
        <f t="shared" si="27"/>
        <v>3.8640454132811239E-2</v>
      </c>
    </row>
    <row r="29" spans="1:125" x14ac:dyDescent="0.35">
      <c r="A29" s="1">
        <v>42735</v>
      </c>
      <c r="B29">
        <f>'Sorting Q'!C29/100</f>
        <v>4.8000000000000001E-2</v>
      </c>
      <c r="C29">
        <f>'Sorting Q'!D29/100</f>
        <v>1.7000000000000001E-2</v>
      </c>
      <c r="D29">
        <f>'Sorting Q'!E29/100</f>
        <v>3.4099999999999998E-2</v>
      </c>
      <c r="E29">
        <f>'Sorting Q'!F29</f>
        <v>4.4862000000000002</v>
      </c>
      <c r="F29">
        <f>'Sorting Q'!G29/100</f>
        <v>3.5000000000000003E-2</v>
      </c>
      <c r="G29">
        <f>'Sorting Q'!H29</f>
        <v>1641.73</v>
      </c>
      <c r="H29">
        <f>'Sorting Q'!I29</f>
        <v>11466.54</v>
      </c>
      <c r="I29">
        <f>'Sorting Q'!J29/100</f>
        <v>2.4E-2</v>
      </c>
      <c r="J29">
        <f>'Sorting Q'!K29/100</f>
        <v>2.1000000000000001E-2</v>
      </c>
      <c r="K29">
        <f>'Sorting Q'!L29/100</f>
        <v>2.1000000000000001E-2</v>
      </c>
      <c r="L29">
        <f>'Sorting Q'!M29/100</f>
        <v>0.19500000000000001</v>
      </c>
      <c r="M29">
        <f>'Sorting Q'!N29/100</f>
        <v>0.03</v>
      </c>
      <c r="N29">
        <f>'Sorting Q'!O29</f>
        <v>1147.5</v>
      </c>
      <c r="O29">
        <f>'Sorting Q'!P29</f>
        <v>69.8</v>
      </c>
      <c r="P29">
        <f>'Sorting Q'!Q29</f>
        <v>99.5</v>
      </c>
      <c r="Q29">
        <f>'Sorting Q'!R29</f>
        <v>56.82</v>
      </c>
      <c r="R29">
        <f>'Sorting Q'!S29/100</f>
        <v>6.0155216987227256E-2</v>
      </c>
      <c r="S29">
        <f>'Sorting Q'!T29/100</f>
        <v>-4.0579836463746854E-2</v>
      </c>
      <c r="T29">
        <f>'Sorting Q'!U29/100</f>
        <v>5.4607497440730679E-2</v>
      </c>
      <c r="V29" s="1">
        <v>42735</v>
      </c>
      <c r="W29">
        <f t="shared" si="5"/>
        <v>4.6883585898850458E-2</v>
      </c>
      <c r="X29">
        <f t="shared" si="31"/>
        <v>1.6857117066422806E-2</v>
      </c>
      <c r="Y29">
        <f t="shared" si="32"/>
        <v>3.3531483208792345E-2</v>
      </c>
      <c r="Z29">
        <f t="shared" si="33"/>
        <v>1.7022358482854525</v>
      </c>
      <c r="AA29">
        <f t="shared" si="34"/>
        <v>3.4401426717332317E-2</v>
      </c>
      <c r="AB29">
        <f t="shared" si="35"/>
        <v>7.4041147709968191</v>
      </c>
      <c r="AC29">
        <f t="shared" si="36"/>
        <v>9.347275714583839</v>
      </c>
      <c r="AD29">
        <f t="shared" si="37"/>
        <v>2.3716526617316065E-2</v>
      </c>
      <c r="AE29">
        <f t="shared" si="38"/>
        <v>2.0782539182528412E-2</v>
      </c>
      <c r="AF29">
        <f t="shared" si="39"/>
        <v>2.0782539182528412E-2</v>
      </c>
      <c r="AG29">
        <f t="shared" si="40"/>
        <v>0.17814618538347404</v>
      </c>
      <c r="AH29">
        <f t="shared" si="41"/>
        <v>2.9558802241544429E-2</v>
      </c>
      <c r="AI29">
        <f t="shared" si="42"/>
        <v>7.0462120221291533</v>
      </c>
      <c r="AJ29">
        <f t="shared" si="43"/>
        <v>4.2598590006996737</v>
      </c>
      <c r="AK29">
        <f t="shared" si="44"/>
        <v>4.6101577274991303</v>
      </c>
      <c r="AL29">
        <f t="shared" si="45"/>
        <v>4.0573347365882002</v>
      </c>
      <c r="AM29">
        <f t="shared" si="28"/>
        <v>5.841532852401151E-2</v>
      </c>
      <c r="AN29">
        <f t="shared" si="29"/>
        <v>-3.9778092849648977E-2</v>
      </c>
      <c r="AO29">
        <f t="shared" si="30"/>
        <v>5.3168657363312694E-2</v>
      </c>
      <c r="AQ29" s="1">
        <v>43100</v>
      </c>
      <c r="AR29">
        <f t="shared" si="6"/>
        <v>5.9211859631846032E-2</v>
      </c>
      <c r="AS29">
        <f t="shared" si="91"/>
        <v>4.1141943331175213E-2</v>
      </c>
      <c r="AT29">
        <f t="shared" si="92"/>
        <v>3.3724869401620894E-2</v>
      </c>
      <c r="AU29">
        <f t="shared" si="93"/>
        <v>1.652593182748028</v>
      </c>
      <c r="AV29">
        <f t="shared" si="46"/>
        <v>3.3434776086237419E-2</v>
      </c>
      <c r="AW29">
        <f t="shared" si="47"/>
        <v>7.4711240157868666</v>
      </c>
      <c r="AX29">
        <f t="shared" si="48"/>
        <v>9.4360637925639939</v>
      </c>
      <c r="AY29">
        <f t="shared" si="49"/>
        <v>0.10074990310014315</v>
      </c>
      <c r="AZ29">
        <f t="shared" si="50"/>
        <v>0.11511280710050448</v>
      </c>
      <c r="BA29">
        <f t="shared" si="51"/>
        <v>6.3913325743652855E-2</v>
      </c>
      <c r="BB29">
        <f t="shared" si="52"/>
        <v>0.14410034397375687</v>
      </c>
      <c r="BC29">
        <f t="shared" si="53"/>
        <v>2.9558802241544429E-2</v>
      </c>
      <c r="BD29">
        <f t="shared" si="54"/>
        <v>7.155201122819312</v>
      </c>
      <c r="BE29">
        <f t="shared" si="55"/>
        <v>4.3579900568456402</v>
      </c>
      <c r="BF29">
        <f t="shared" si="56"/>
        <v>4.6356993910229143</v>
      </c>
      <c r="BG29">
        <f t="shared" si="57"/>
        <v>4.06971028126374</v>
      </c>
      <c r="BH29">
        <f t="shared" si="58"/>
        <v>6.885497450465479E-2</v>
      </c>
      <c r="BI29">
        <f t="shared" si="59"/>
        <v>4.1055899153650287E-2</v>
      </c>
      <c r="BJ29">
        <f t="shared" si="60"/>
        <v>5.6396493432407963E-2</v>
      </c>
      <c r="BL29" s="1">
        <v>43100</v>
      </c>
      <c r="BM29">
        <f t="shared" si="7"/>
        <v>5.5434706888100524E-2</v>
      </c>
      <c r="BN29">
        <f t="shared" si="94"/>
        <v>3.3434776086237419E-2</v>
      </c>
      <c r="BO29">
        <f t="shared" si="95"/>
        <v>3.3724869401620894E-2</v>
      </c>
      <c r="BP29">
        <f t="shared" si="96"/>
        <v>1.6664418699018333</v>
      </c>
      <c r="BQ29">
        <f t="shared" si="61"/>
        <v>3.3434776086237419E-2</v>
      </c>
      <c r="BR29">
        <f t="shared" si="62"/>
        <v>7.4757189830480177</v>
      </c>
      <c r="BS29">
        <f t="shared" si="63"/>
        <v>9.4414473310234701</v>
      </c>
      <c r="BT29">
        <f t="shared" si="64"/>
        <v>8.8926209194401487E-2</v>
      </c>
      <c r="BU29">
        <f t="shared" si="65"/>
        <v>9.1667188525823867E-2</v>
      </c>
      <c r="BV29">
        <f t="shared" si="66"/>
        <v>3.8258712117090268E-2</v>
      </c>
      <c r="BW29">
        <f t="shared" si="67"/>
        <v>9.1667188525823867E-2</v>
      </c>
      <c r="BX29">
        <f t="shared" si="68"/>
        <v>2.9558802241544429E-2</v>
      </c>
      <c r="BY29">
        <f t="shared" si="69"/>
        <v>7.1249692852392519</v>
      </c>
      <c r="BZ29">
        <f t="shared" si="70"/>
        <v>4.4030540018659572</v>
      </c>
      <c r="CA29">
        <f t="shared" si="71"/>
        <v>4.6170987568533652</v>
      </c>
      <c r="CB29">
        <f t="shared" si="72"/>
        <v>3.8901863108189718</v>
      </c>
      <c r="CC29">
        <f t="shared" si="73"/>
        <v>6.7471038473154166E-2</v>
      </c>
      <c r="CD29">
        <f t="shared" si="74"/>
        <v>3.4477420499681562E-2</v>
      </c>
      <c r="CE29">
        <f t="shared" si="75"/>
        <v>3.6791872956357198E-2</v>
      </c>
      <c r="CG29" s="1">
        <v>43100</v>
      </c>
      <c r="CH29">
        <f t="shared" si="8"/>
        <v>5.4488185284069776E-2</v>
      </c>
      <c r="CI29">
        <f t="shared" si="97"/>
        <v>4.7837329414160058E-2</v>
      </c>
      <c r="CJ29">
        <f t="shared" si="98"/>
        <v>3.3724869401620894E-2</v>
      </c>
      <c r="CK29">
        <f t="shared" si="99"/>
        <v>1.6911100610781253</v>
      </c>
      <c r="CL29">
        <f t="shared" si="76"/>
        <v>3.3434776086237419E-2</v>
      </c>
      <c r="CM29">
        <f t="shared" si="77"/>
        <v>7.4622666328605671</v>
      </c>
      <c r="CN29">
        <f t="shared" si="78"/>
        <v>9.4224383448725213</v>
      </c>
      <c r="CO29">
        <f t="shared" si="79"/>
        <v>9.4400675421484295E-2</v>
      </c>
      <c r="CP29">
        <f t="shared" si="80"/>
        <v>0.12221763272424911</v>
      </c>
      <c r="CQ29">
        <f t="shared" si="81"/>
        <v>9.0754363268464117E-2</v>
      </c>
      <c r="CR29">
        <f t="shared" si="82"/>
        <v>0.1292723357041391</v>
      </c>
      <c r="CS29">
        <f t="shared" si="83"/>
        <v>2.9558802241544429E-2</v>
      </c>
      <c r="CT29">
        <f t="shared" si="84"/>
        <v>7.1310588174977116</v>
      </c>
      <c r="CU29">
        <f t="shared" si="85"/>
        <v>4.3515674271891731</v>
      </c>
      <c r="CV29">
        <f t="shared" si="86"/>
        <v>4.6239919402286791</v>
      </c>
      <c r="CW29">
        <f t="shared" si="87"/>
        <v>3.985830932572866</v>
      </c>
      <c r="CX29">
        <f t="shared" si="88"/>
        <v>6.3837021418943651E-2</v>
      </c>
      <c r="CY29">
        <f t="shared" si="89"/>
        <v>7.4642795377746415E-2</v>
      </c>
      <c r="CZ29">
        <f t="shared" si="90"/>
        <v>4.3877098499366822E-2</v>
      </c>
      <c r="DB29" s="1">
        <v>43100</v>
      </c>
      <c r="DC29">
        <f t="shared" si="9"/>
        <v>4.6883585898850458E-2</v>
      </c>
      <c r="DD29">
        <f t="shared" si="10"/>
        <v>1.6857117066422806E-2</v>
      </c>
      <c r="DE29">
        <f t="shared" si="11"/>
        <v>3.3531483208792345E-2</v>
      </c>
      <c r="DF29">
        <f t="shared" si="12"/>
        <v>1.7022358482854525</v>
      </c>
      <c r="DG29">
        <f t="shared" si="13"/>
        <v>3.4401426717332317E-2</v>
      </c>
      <c r="DH29">
        <f t="shared" si="14"/>
        <v>7.4041147709968191</v>
      </c>
      <c r="DI29">
        <f t="shared" si="15"/>
        <v>9.347275714583839</v>
      </c>
      <c r="DJ29">
        <f t="shared" si="16"/>
        <v>2.3716526617316065E-2</v>
      </c>
      <c r="DK29">
        <f t="shared" si="17"/>
        <v>2.0782539182528412E-2</v>
      </c>
      <c r="DL29">
        <f t="shared" si="18"/>
        <v>2.0782539182528412E-2</v>
      </c>
      <c r="DM29">
        <f t="shared" si="19"/>
        <v>0.17814618538347404</v>
      </c>
      <c r="DN29">
        <f t="shared" si="20"/>
        <v>2.9558802241544429E-2</v>
      </c>
      <c r="DO29">
        <f t="shared" si="21"/>
        <v>7.0462120221291533</v>
      </c>
      <c r="DP29">
        <f t="shared" si="22"/>
        <v>4.2598590006996737</v>
      </c>
      <c r="DQ29">
        <f t="shared" si="23"/>
        <v>4.6101577274991303</v>
      </c>
      <c r="DR29">
        <f t="shared" si="24"/>
        <v>4.0573347365882002</v>
      </c>
      <c r="DS29">
        <f t="shared" si="25"/>
        <v>5.841532852401151E-2</v>
      </c>
      <c r="DT29">
        <f t="shared" si="26"/>
        <v>-3.9778092849648977E-2</v>
      </c>
      <c r="DU29">
        <f t="shared" si="27"/>
        <v>5.3168657363312694E-2</v>
      </c>
    </row>
    <row r="30" spans="1:125" x14ac:dyDescent="0.35">
      <c r="A30" s="1">
        <v>42825</v>
      </c>
      <c r="B30">
        <f>'Sorting Q'!C30/100</f>
        <v>5.5999999999999994E-2</v>
      </c>
      <c r="C30">
        <f>'Sorting Q'!D30/100</f>
        <v>4.9000000000000002E-2</v>
      </c>
      <c r="D30">
        <f>'Sorting Q'!E30/100</f>
        <v>3.4300000000000004E-2</v>
      </c>
      <c r="E30">
        <f>'Sorting Q'!F30</f>
        <v>4.4255000000000004</v>
      </c>
      <c r="F30">
        <f>'Sorting Q'!G30/100</f>
        <v>3.4000000000000002E-2</v>
      </c>
      <c r="G30">
        <f>'Sorting Q'!H30</f>
        <v>1740.09</v>
      </c>
      <c r="H30">
        <f>'Sorting Q'!I30</f>
        <v>12361.69</v>
      </c>
      <c r="I30">
        <f>'Sorting Q'!J30/100</f>
        <v>9.9000000000000005E-2</v>
      </c>
      <c r="J30">
        <f>'Sorting Q'!K30/100</f>
        <v>0.13</v>
      </c>
      <c r="K30">
        <f>'Sorting Q'!L30/100</f>
        <v>9.5000000000000001E-2</v>
      </c>
      <c r="L30">
        <f>'Sorting Q'!M30/100</f>
        <v>0.13800000000000001</v>
      </c>
      <c r="M30">
        <f>'Sorting Q'!N30/100</f>
        <v>0.03</v>
      </c>
      <c r="N30">
        <f>'Sorting Q'!O30</f>
        <v>1249.2</v>
      </c>
      <c r="O30">
        <f>'Sorting Q'!P30</f>
        <v>76.599999999999994</v>
      </c>
      <c r="P30">
        <f>'Sorting Q'!Q30</f>
        <v>100.9</v>
      </c>
      <c r="Q30">
        <f>'Sorting Q'!R30</f>
        <v>52.83</v>
      </c>
      <c r="R30">
        <f>'Sorting Q'!S30/100</f>
        <v>6.5918662693093655E-2</v>
      </c>
      <c r="S30">
        <f>'Sorting Q'!T30/100</f>
        <v>7.7499194441885244E-2</v>
      </c>
      <c r="T30">
        <f>'Sorting Q'!U30/100</f>
        <v>4.4853932880683178E-2</v>
      </c>
      <c r="V30" s="1">
        <v>42825</v>
      </c>
      <c r="W30">
        <f t="shared" si="5"/>
        <v>5.4488185284069776E-2</v>
      </c>
      <c r="X30">
        <f t="shared" si="31"/>
        <v>4.7837329414160058E-2</v>
      </c>
      <c r="Y30">
        <f t="shared" si="32"/>
        <v>3.3724869401620894E-2</v>
      </c>
      <c r="Z30">
        <f t="shared" si="33"/>
        <v>1.6911100610781253</v>
      </c>
      <c r="AA30">
        <f t="shared" si="34"/>
        <v>3.3434776086237419E-2</v>
      </c>
      <c r="AB30">
        <f t="shared" si="35"/>
        <v>7.4622666328605671</v>
      </c>
      <c r="AC30">
        <f t="shared" si="36"/>
        <v>9.4224383448725213</v>
      </c>
      <c r="AD30">
        <f t="shared" si="37"/>
        <v>9.4400675421484295E-2</v>
      </c>
      <c r="AE30">
        <f t="shared" si="38"/>
        <v>0.12221763272424911</v>
      </c>
      <c r="AF30">
        <f t="shared" si="39"/>
        <v>9.0754363268464117E-2</v>
      </c>
      <c r="AG30">
        <f t="shared" si="40"/>
        <v>0.1292723357041391</v>
      </c>
      <c r="AH30">
        <f t="shared" si="41"/>
        <v>2.9558802241544429E-2</v>
      </c>
      <c r="AI30">
        <f t="shared" si="42"/>
        <v>7.1310588174977116</v>
      </c>
      <c r="AJ30">
        <f t="shared" si="43"/>
        <v>4.3515674271891731</v>
      </c>
      <c r="AK30">
        <f t="shared" si="44"/>
        <v>4.6239919402286791</v>
      </c>
      <c r="AL30">
        <f t="shared" si="45"/>
        <v>3.985830932572866</v>
      </c>
      <c r="AM30">
        <f t="shared" si="28"/>
        <v>6.3837021418943651E-2</v>
      </c>
      <c r="AN30">
        <f t="shared" si="29"/>
        <v>7.4642795377746415E-2</v>
      </c>
      <c r="AO30">
        <f t="shared" si="30"/>
        <v>4.3877098499366822E-2</v>
      </c>
      <c r="AQ30" s="1">
        <v>43190</v>
      </c>
      <c r="AR30">
        <f t="shared" si="6"/>
        <v>5.6380333436107689E-2</v>
      </c>
      <c r="AS30">
        <f t="shared" si="91"/>
        <v>3.4401426717332317E-2</v>
      </c>
      <c r="AT30">
        <f t="shared" si="92"/>
        <v>3.3821548475510659E-2</v>
      </c>
      <c r="AU30">
        <f t="shared" si="93"/>
        <v>1.6186949336967771</v>
      </c>
      <c r="AV30">
        <f t="shared" si="46"/>
        <v>3.2467190137501413E-2</v>
      </c>
      <c r="AW30">
        <f t="shared" si="47"/>
        <v>7.4943245364778175</v>
      </c>
      <c r="AX30">
        <f t="shared" si="48"/>
        <v>9.4683544187217539</v>
      </c>
      <c r="AY30">
        <f t="shared" si="49"/>
        <v>4.974209189481401E-2</v>
      </c>
      <c r="AZ30">
        <f t="shared" si="50"/>
        <v>6.0153922819747144E-2</v>
      </c>
      <c r="BA30">
        <f t="shared" si="51"/>
        <v>4.3059489460447013E-2</v>
      </c>
      <c r="BB30">
        <f t="shared" si="52"/>
        <v>0.11422114409002286</v>
      </c>
      <c r="BC30">
        <f t="shared" si="53"/>
        <v>2.9558802241544429E-2</v>
      </c>
      <c r="BD30">
        <f t="shared" si="54"/>
        <v>7.173038356490439</v>
      </c>
      <c r="BE30">
        <f t="shared" si="55"/>
        <v>4.4260435200906558</v>
      </c>
      <c r="BF30">
        <f t="shared" si="56"/>
        <v>4.6288867126054072</v>
      </c>
      <c r="BG30">
        <f t="shared" si="57"/>
        <v>4.2175941107156669</v>
      </c>
      <c r="BH30">
        <f t="shared" si="58"/>
        <v>6.6872855317199692E-2</v>
      </c>
      <c r="BI30">
        <f t="shared" si="59"/>
        <v>6.7340061022296199E-2</v>
      </c>
      <c r="BJ30">
        <f t="shared" si="60"/>
        <v>3.7087046223587217E-2</v>
      </c>
      <c r="BL30" s="1">
        <v>43190</v>
      </c>
      <c r="BM30">
        <f t="shared" si="7"/>
        <v>5.9211859631846032E-2</v>
      </c>
      <c r="BN30">
        <f t="shared" si="94"/>
        <v>4.1141943331175213E-2</v>
      </c>
      <c r="BO30">
        <f t="shared" si="95"/>
        <v>3.3724869401620894E-2</v>
      </c>
      <c r="BP30">
        <f t="shared" si="96"/>
        <v>1.652593182748028</v>
      </c>
      <c r="BQ30">
        <f t="shared" si="61"/>
        <v>3.3434776086237419E-2</v>
      </c>
      <c r="BR30">
        <f t="shared" si="62"/>
        <v>7.4711240157868666</v>
      </c>
      <c r="BS30">
        <f t="shared" si="63"/>
        <v>9.4360637925639939</v>
      </c>
      <c r="BT30">
        <f t="shared" si="64"/>
        <v>0.10074990310014315</v>
      </c>
      <c r="BU30">
        <f t="shared" si="65"/>
        <v>0.11511280710050448</v>
      </c>
      <c r="BV30">
        <f t="shared" si="66"/>
        <v>6.3913325743652855E-2</v>
      </c>
      <c r="BW30">
        <f t="shared" si="67"/>
        <v>0.14410034397375687</v>
      </c>
      <c r="BX30">
        <f t="shared" si="68"/>
        <v>2.9558802241544429E-2</v>
      </c>
      <c r="BY30">
        <f t="shared" si="69"/>
        <v>7.155201122819312</v>
      </c>
      <c r="BZ30">
        <f t="shared" si="70"/>
        <v>4.3579900568456402</v>
      </c>
      <c r="CA30">
        <f t="shared" si="71"/>
        <v>4.6356993910229143</v>
      </c>
      <c r="CB30">
        <f t="shared" si="72"/>
        <v>4.06971028126374</v>
      </c>
      <c r="CC30">
        <f t="shared" si="73"/>
        <v>6.885497450465479E-2</v>
      </c>
      <c r="CD30">
        <f t="shared" si="74"/>
        <v>4.1055899153650287E-2</v>
      </c>
      <c r="CE30">
        <f t="shared" si="75"/>
        <v>5.6396493432407963E-2</v>
      </c>
      <c r="CG30" s="1">
        <v>43190</v>
      </c>
      <c r="CH30">
        <f t="shared" si="8"/>
        <v>5.5434706888100524E-2</v>
      </c>
      <c r="CI30">
        <f t="shared" si="97"/>
        <v>3.3434776086237419E-2</v>
      </c>
      <c r="CJ30">
        <f t="shared" si="98"/>
        <v>3.3724869401620894E-2</v>
      </c>
      <c r="CK30">
        <f t="shared" si="99"/>
        <v>1.6664418699018333</v>
      </c>
      <c r="CL30">
        <f t="shared" si="76"/>
        <v>3.3434776086237419E-2</v>
      </c>
      <c r="CM30">
        <f t="shared" si="77"/>
        <v>7.4757189830480177</v>
      </c>
      <c r="CN30">
        <f t="shared" si="78"/>
        <v>9.4414473310234701</v>
      </c>
      <c r="CO30">
        <f t="shared" si="79"/>
        <v>8.8926209194401487E-2</v>
      </c>
      <c r="CP30">
        <f t="shared" si="80"/>
        <v>9.1667188525823867E-2</v>
      </c>
      <c r="CQ30">
        <f t="shared" si="81"/>
        <v>3.8258712117090268E-2</v>
      </c>
      <c r="CR30">
        <f t="shared" si="82"/>
        <v>9.1667188525823867E-2</v>
      </c>
      <c r="CS30">
        <f t="shared" si="83"/>
        <v>2.9558802241544429E-2</v>
      </c>
      <c r="CT30">
        <f t="shared" si="84"/>
        <v>7.1249692852392519</v>
      </c>
      <c r="CU30">
        <f t="shared" si="85"/>
        <v>4.4030540018659572</v>
      </c>
      <c r="CV30">
        <f t="shared" si="86"/>
        <v>4.6170987568533652</v>
      </c>
      <c r="CW30">
        <f t="shared" si="87"/>
        <v>3.8901863108189718</v>
      </c>
      <c r="CX30">
        <f t="shared" si="88"/>
        <v>6.7471038473154166E-2</v>
      </c>
      <c r="CY30">
        <f t="shared" si="89"/>
        <v>3.4477420499681562E-2</v>
      </c>
      <c r="CZ30">
        <f t="shared" si="90"/>
        <v>3.6791872956357198E-2</v>
      </c>
      <c r="DB30" s="1">
        <v>43190</v>
      </c>
      <c r="DC30">
        <f t="shared" si="9"/>
        <v>5.4488185284069776E-2</v>
      </c>
      <c r="DD30">
        <f t="shared" si="10"/>
        <v>4.7837329414160058E-2</v>
      </c>
      <c r="DE30">
        <f t="shared" si="11"/>
        <v>3.3724869401620894E-2</v>
      </c>
      <c r="DF30">
        <f t="shared" si="12"/>
        <v>1.6911100610781253</v>
      </c>
      <c r="DG30">
        <f t="shared" si="13"/>
        <v>3.3434776086237419E-2</v>
      </c>
      <c r="DH30">
        <f t="shared" si="14"/>
        <v>7.4622666328605671</v>
      </c>
      <c r="DI30">
        <f t="shared" si="15"/>
        <v>9.4224383448725213</v>
      </c>
      <c r="DJ30">
        <f t="shared" si="16"/>
        <v>9.4400675421484295E-2</v>
      </c>
      <c r="DK30">
        <f t="shared" si="17"/>
        <v>0.12221763272424911</v>
      </c>
      <c r="DL30">
        <f t="shared" si="18"/>
        <v>9.0754363268464117E-2</v>
      </c>
      <c r="DM30">
        <f t="shared" si="19"/>
        <v>0.1292723357041391</v>
      </c>
      <c r="DN30">
        <f t="shared" si="20"/>
        <v>2.9558802241544429E-2</v>
      </c>
      <c r="DO30">
        <f t="shared" si="21"/>
        <v>7.1310588174977116</v>
      </c>
      <c r="DP30">
        <f t="shared" si="22"/>
        <v>4.3515674271891731</v>
      </c>
      <c r="DQ30">
        <f t="shared" si="23"/>
        <v>4.6239919402286791</v>
      </c>
      <c r="DR30">
        <f t="shared" si="24"/>
        <v>3.985830932572866</v>
      </c>
      <c r="DS30">
        <f t="shared" si="25"/>
        <v>6.3837021418943651E-2</v>
      </c>
      <c r="DT30">
        <f t="shared" si="26"/>
        <v>7.4642795377746415E-2</v>
      </c>
      <c r="DU30">
        <f t="shared" si="27"/>
        <v>4.3877098499366822E-2</v>
      </c>
    </row>
    <row r="31" spans="1:125" x14ac:dyDescent="0.35">
      <c r="A31" s="1">
        <v>42916</v>
      </c>
      <c r="B31">
        <f>'Sorting Q'!C31/100</f>
        <v>5.7000000000000002E-2</v>
      </c>
      <c r="C31">
        <f>'Sorting Q'!D31/100</f>
        <v>3.4000000000000002E-2</v>
      </c>
      <c r="D31">
        <f>'Sorting Q'!E31/100</f>
        <v>3.4300000000000004E-2</v>
      </c>
      <c r="E31">
        <f>'Sorting Q'!F31</f>
        <v>4.2933000000000003</v>
      </c>
      <c r="F31">
        <f>'Sorting Q'!G31/100</f>
        <v>3.4000000000000002E-2</v>
      </c>
      <c r="G31">
        <f>'Sorting Q'!H31</f>
        <v>1763.67</v>
      </c>
      <c r="H31">
        <f>'Sorting Q'!I31</f>
        <v>12598.94</v>
      </c>
      <c r="I31">
        <f>'Sorting Q'!J31/100</f>
        <v>9.3000000000000013E-2</v>
      </c>
      <c r="J31">
        <f>'Sorting Q'!K31/100</f>
        <v>9.6000000000000002E-2</v>
      </c>
      <c r="K31">
        <f>'Sorting Q'!L31/100</f>
        <v>3.9E-2</v>
      </c>
      <c r="L31">
        <f>'Sorting Q'!M31/100</f>
        <v>9.6000000000000002E-2</v>
      </c>
      <c r="M31">
        <f>'Sorting Q'!N31/100</f>
        <v>0.03</v>
      </c>
      <c r="N31">
        <f>'Sorting Q'!O31</f>
        <v>1241.6099999999999</v>
      </c>
      <c r="O31">
        <f>'Sorting Q'!P31</f>
        <v>80.7</v>
      </c>
      <c r="P31">
        <f>'Sorting Q'!Q31</f>
        <v>100.2</v>
      </c>
      <c r="Q31">
        <f>'Sorting Q'!R31</f>
        <v>47.92</v>
      </c>
      <c r="R31">
        <f>'Sorting Q'!S31/100</f>
        <v>6.9799276128784671E-2</v>
      </c>
      <c r="S31">
        <f>'Sorting Q'!T31/100</f>
        <v>3.5078656553398035E-2</v>
      </c>
      <c r="T31">
        <f>'Sorting Q'!U31/100</f>
        <v>3.7477071330767053E-2</v>
      </c>
      <c r="V31" s="1">
        <v>42916</v>
      </c>
      <c r="W31">
        <f t="shared" si="5"/>
        <v>5.5434706888100524E-2</v>
      </c>
      <c r="X31">
        <f t="shared" si="31"/>
        <v>3.3434776086237419E-2</v>
      </c>
      <c r="Y31">
        <f t="shared" si="32"/>
        <v>3.3724869401620894E-2</v>
      </c>
      <c r="Z31">
        <f t="shared" si="33"/>
        <v>1.6664418699018333</v>
      </c>
      <c r="AA31">
        <f t="shared" si="34"/>
        <v>3.3434776086237419E-2</v>
      </c>
      <c r="AB31">
        <f t="shared" si="35"/>
        <v>7.4757189830480177</v>
      </c>
      <c r="AC31">
        <f t="shared" si="36"/>
        <v>9.4414473310234701</v>
      </c>
      <c r="AD31">
        <f t="shared" si="37"/>
        <v>8.8926209194401487E-2</v>
      </c>
      <c r="AE31">
        <f t="shared" si="38"/>
        <v>9.1667188525823867E-2</v>
      </c>
      <c r="AF31">
        <f t="shared" si="39"/>
        <v>3.8258712117090268E-2</v>
      </c>
      <c r="AG31">
        <f t="shared" si="40"/>
        <v>9.1667188525823867E-2</v>
      </c>
      <c r="AH31">
        <f t="shared" si="41"/>
        <v>2.9558802241544429E-2</v>
      </c>
      <c r="AI31">
        <f t="shared" si="42"/>
        <v>7.1249692852392519</v>
      </c>
      <c r="AJ31">
        <f t="shared" si="43"/>
        <v>4.4030540018659572</v>
      </c>
      <c r="AK31">
        <f t="shared" si="44"/>
        <v>4.6170987568533652</v>
      </c>
      <c r="AL31">
        <f t="shared" si="45"/>
        <v>3.8901863108189718</v>
      </c>
      <c r="AM31">
        <f t="shared" si="28"/>
        <v>6.7471038473154166E-2</v>
      </c>
      <c r="AN31">
        <f t="shared" si="29"/>
        <v>3.4477420499681562E-2</v>
      </c>
      <c r="AO31">
        <f t="shared" si="30"/>
        <v>3.6791872956357198E-2</v>
      </c>
      <c r="AQ31" s="1">
        <v>43281</v>
      </c>
      <c r="AR31">
        <f t="shared" si="6"/>
        <v>5.1643233151838386E-2</v>
      </c>
      <c r="AS31">
        <f t="shared" si="91"/>
        <v>1.2916225266546229E-2</v>
      </c>
      <c r="AT31">
        <f t="shared" si="92"/>
        <v>3.6235492582095359E-2</v>
      </c>
      <c r="AU31">
        <f t="shared" si="93"/>
        <v>1.5817583433273581</v>
      </c>
      <c r="AV31">
        <f t="shared" si="46"/>
        <v>3.2467190137501413E-2</v>
      </c>
      <c r="AW31">
        <f t="shared" si="47"/>
        <v>7.5307267459159659</v>
      </c>
      <c r="AX31">
        <f t="shared" si="48"/>
        <v>9.4762820759233524</v>
      </c>
      <c r="AY31">
        <f t="shared" si="49"/>
        <v>2.2739486969489339E-2</v>
      </c>
      <c r="AZ31">
        <f t="shared" si="50"/>
        <v>-1.980262729617973E-2</v>
      </c>
      <c r="BA31">
        <f t="shared" si="51"/>
        <v>1.9980026626730579E-3</v>
      </c>
      <c r="BB31">
        <f t="shared" si="52"/>
        <v>0.12044615307586726</v>
      </c>
      <c r="BC31">
        <f t="shared" si="53"/>
        <v>3.2467190137501413E-2</v>
      </c>
      <c r="BD31">
        <f t="shared" si="54"/>
        <v>7.1902840961931176</v>
      </c>
      <c r="BE31">
        <f t="shared" si="55"/>
        <v>4.5217885770490405</v>
      </c>
      <c r="BF31">
        <f t="shared" si="56"/>
        <v>4.6366688530474622</v>
      </c>
      <c r="BG31">
        <f t="shared" si="57"/>
        <v>4.2664754815137789</v>
      </c>
      <c r="BH31">
        <f t="shared" si="58"/>
        <v>6.364261254480412E-2</v>
      </c>
      <c r="BI31">
        <f t="shared" si="59"/>
        <v>4.2380360787286856E-3</v>
      </c>
      <c r="BJ31">
        <f t="shared" si="60"/>
        <v>3.2289516625779585E-2</v>
      </c>
      <c r="BL31" s="1">
        <v>43281</v>
      </c>
      <c r="BM31">
        <f t="shared" si="7"/>
        <v>5.6380333436107689E-2</v>
      </c>
      <c r="BN31">
        <f t="shared" si="94"/>
        <v>3.4401426717332317E-2</v>
      </c>
      <c r="BO31">
        <f t="shared" si="95"/>
        <v>3.3821548475510659E-2</v>
      </c>
      <c r="BP31">
        <f t="shared" si="96"/>
        <v>1.6186949336967771</v>
      </c>
      <c r="BQ31">
        <f t="shared" si="61"/>
        <v>3.2467190137501413E-2</v>
      </c>
      <c r="BR31">
        <f t="shared" si="62"/>
        <v>7.4943245364778175</v>
      </c>
      <c r="BS31">
        <f t="shared" si="63"/>
        <v>9.4683544187217539</v>
      </c>
      <c r="BT31">
        <f t="shared" si="64"/>
        <v>4.974209189481401E-2</v>
      </c>
      <c r="BU31">
        <f t="shared" si="65"/>
        <v>6.0153922819747144E-2</v>
      </c>
      <c r="BV31">
        <f t="shared" si="66"/>
        <v>4.3059489460447013E-2</v>
      </c>
      <c r="BW31">
        <f t="shared" si="67"/>
        <v>0.11422114409002286</v>
      </c>
      <c r="BX31">
        <f t="shared" si="68"/>
        <v>2.9558802241544429E-2</v>
      </c>
      <c r="BY31">
        <f t="shared" si="69"/>
        <v>7.173038356490439</v>
      </c>
      <c r="BZ31">
        <f t="shared" si="70"/>
        <v>4.4260435200906558</v>
      </c>
      <c r="CA31">
        <f t="shared" si="71"/>
        <v>4.6288867126054072</v>
      </c>
      <c r="CB31">
        <f t="shared" si="72"/>
        <v>4.2175941107156669</v>
      </c>
      <c r="CC31">
        <f t="shared" si="73"/>
        <v>6.6872855317199692E-2</v>
      </c>
      <c r="CD31">
        <f t="shared" si="74"/>
        <v>6.7340061022296199E-2</v>
      </c>
      <c r="CE31">
        <f t="shared" si="75"/>
        <v>3.7087046223587217E-2</v>
      </c>
      <c r="CG31" s="1">
        <v>43281</v>
      </c>
      <c r="CH31">
        <f t="shared" si="8"/>
        <v>5.9211859631846032E-2</v>
      </c>
      <c r="CI31">
        <f t="shared" si="97"/>
        <v>4.1141943331175213E-2</v>
      </c>
      <c r="CJ31">
        <f t="shared" si="98"/>
        <v>3.3724869401620894E-2</v>
      </c>
      <c r="CK31">
        <f t="shared" si="99"/>
        <v>1.652593182748028</v>
      </c>
      <c r="CL31">
        <f t="shared" si="76"/>
        <v>3.3434776086237419E-2</v>
      </c>
      <c r="CM31">
        <f t="shared" si="77"/>
        <v>7.4711240157868666</v>
      </c>
      <c r="CN31">
        <f t="shared" si="78"/>
        <v>9.4360637925639939</v>
      </c>
      <c r="CO31">
        <f t="shared" si="79"/>
        <v>0.10074990310014315</v>
      </c>
      <c r="CP31">
        <f t="shared" si="80"/>
        <v>0.11511280710050448</v>
      </c>
      <c r="CQ31">
        <f t="shared" si="81"/>
        <v>6.3913325743652855E-2</v>
      </c>
      <c r="CR31">
        <f t="shared" si="82"/>
        <v>0.14410034397375687</v>
      </c>
      <c r="CS31">
        <f t="shared" si="83"/>
        <v>2.9558802241544429E-2</v>
      </c>
      <c r="CT31">
        <f t="shared" si="84"/>
        <v>7.155201122819312</v>
      </c>
      <c r="CU31">
        <f t="shared" si="85"/>
        <v>4.3579900568456402</v>
      </c>
      <c r="CV31">
        <f t="shared" si="86"/>
        <v>4.6356993910229143</v>
      </c>
      <c r="CW31">
        <f t="shared" si="87"/>
        <v>4.06971028126374</v>
      </c>
      <c r="CX31">
        <f t="shared" si="88"/>
        <v>6.885497450465479E-2</v>
      </c>
      <c r="CY31">
        <f t="shared" si="89"/>
        <v>4.1055899153650287E-2</v>
      </c>
      <c r="CZ31">
        <f t="shared" si="90"/>
        <v>5.6396493432407963E-2</v>
      </c>
      <c r="DB31" s="1">
        <v>43281</v>
      </c>
      <c r="DC31">
        <f t="shared" si="9"/>
        <v>5.5434706888100524E-2</v>
      </c>
      <c r="DD31">
        <f t="shared" si="10"/>
        <v>3.3434776086237419E-2</v>
      </c>
      <c r="DE31">
        <f t="shared" si="11"/>
        <v>3.3724869401620894E-2</v>
      </c>
      <c r="DF31">
        <f t="shared" si="12"/>
        <v>1.6664418699018333</v>
      </c>
      <c r="DG31">
        <f t="shared" si="13"/>
        <v>3.3434776086237419E-2</v>
      </c>
      <c r="DH31">
        <f t="shared" si="14"/>
        <v>7.4757189830480177</v>
      </c>
      <c r="DI31">
        <f t="shared" si="15"/>
        <v>9.4414473310234701</v>
      </c>
      <c r="DJ31">
        <f t="shared" si="16"/>
        <v>8.8926209194401487E-2</v>
      </c>
      <c r="DK31">
        <f t="shared" si="17"/>
        <v>9.1667188525823867E-2</v>
      </c>
      <c r="DL31">
        <f t="shared" si="18"/>
        <v>3.8258712117090268E-2</v>
      </c>
      <c r="DM31">
        <f t="shared" si="19"/>
        <v>9.1667188525823867E-2</v>
      </c>
      <c r="DN31">
        <f t="shared" si="20"/>
        <v>2.9558802241544429E-2</v>
      </c>
      <c r="DO31">
        <f t="shared" si="21"/>
        <v>7.1249692852392519</v>
      </c>
      <c r="DP31">
        <f t="shared" si="22"/>
        <v>4.4030540018659572</v>
      </c>
      <c r="DQ31">
        <f t="shared" si="23"/>
        <v>4.6170987568533652</v>
      </c>
      <c r="DR31">
        <f t="shared" si="24"/>
        <v>3.8901863108189718</v>
      </c>
      <c r="DS31">
        <f t="shared" si="25"/>
        <v>6.7471038473154166E-2</v>
      </c>
      <c r="DT31">
        <f t="shared" si="26"/>
        <v>3.4477420499681562E-2</v>
      </c>
      <c r="DU31">
        <f t="shared" si="27"/>
        <v>3.6791872956357198E-2</v>
      </c>
    </row>
    <row r="32" spans="1:125" x14ac:dyDescent="0.35">
      <c r="A32" s="1">
        <v>43008</v>
      </c>
      <c r="B32">
        <f>'Sorting Q'!C32/100</f>
        <v>6.0999999999999999E-2</v>
      </c>
      <c r="C32">
        <f>'Sorting Q'!D32/100</f>
        <v>4.2000000000000003E-2</v>
      </c>
      <c r="D32">
        <f>'Sorting Q'!E32/100</f>
        <v>3.4300000000000004E-2</v>
      </c>
      <c r="E32">
        <f>'Sorting Q'!F32</f>
        <v>4.2205000000000004</v>
      </c>
      <c r="F32">
        <f>'Sorting Q'!G32/100</f>
        <v>3.4000000000000002E-2</v>
      </c>
      <c r="G32">
        <f>'Sorting Q'!H32</f>
        <v>1755.58</v>
      </c>
      <c r="H32">
        <f>'Sorting Q'!I32</f>
        <v>12531.29</v>
      </c>
      <c r="I32">
        <f>'Sorting Q'!J32/100</f>
        <v>0.106</v>
      </c>
      <c r="J32">
        <f>'Sorting Q'!K32/100</f>
        <v>0.122</v>
      </c>
      <c r="K32">
        <f>'Sorting Q'!L32/100</f>
        <v>6.6000000000000003E-2</v>
      </c>
      <c r="L32">
        <f>'Sorting Q'!M32/100</f>
        <v>0.155</v>
      </c>
      <c r="M32">
        <f>'Sorting Q'!N32/100</f>
        <v>0.03</v>
      </c>
      <c r="N32">
        <f>'Sorting Q'!O32</f>
        <v>1279.75</v>
      </c>
      <c r="O32">
        <f>'Sorting Q'!P32</f>
        <v>77.099999999999994</v>
      </c>
      <c r="P32">
        <f>'Sorting Q'!Q32</f>
        <v>102.1</v>
      </c>
      <c r="Q32">
        <f>'Sorting Q'!R32</f>
        <v>57.54</v>
      </c>
      <c r="R32">
        <f>'Sorting Q'!S32/100</f>
        <v>7.1280834848273411E-2</v>
      </c>
      <c r="S32">
        <f>'Sorting Q'!T32/100</f>
        <v>4.1910345824184292E-2</v>
      </c>
      <c r="T32">
        <f>'Sorting Q'!U32/100</f>
        <v>5.8017097414232444E-2</v>
      </c>
      <c r="V32" s="1">
        <v>43008</v>
      </c>
      <c r="W32">
        <f t="shared" si="5"/>
        <v>5.9211859631846032E-2</v>
      </c>
      <c r="X32">
        <f t="shared" si="31"/>
        <v>4.1141943331175213E-2</v>
      </c>
      <c r="Y32">
        <f t="shared" si="32"/>
        <v>3.3724869401620894E-2</v>
      </c>
      <c r="Z32">
        <f t="shared" si="33"/>
        <v>1.652593182748028</v>
      </c>
      <c r="AA32">
        <f t="shared" si="34"/>
        <v>3.3434776086237419E-2</v>
      </c>
      <c r="AB32">
        <f t="shared" si="35"/>
        <v>7.4711240157868666</v>
      </c>
      <c r="AC32">
        <f t="shared" si="36"/>
        <v>9.4360637925639939</v>
      </c>
      <c r="AD32">
        <f t="shared" si="37"/>
        <v>0.10074990310014315</v>
      </c>
      <c r="AE32">
        <f t="shared" si="38"/>
        <v>0.11511280710050448</v>
      </c>
      <c r="AF32">
        <f t="shared" si="39"/>
        <v>6.3913325743652855E-2</v>
      </c>
      <c r="AG32">
        <f t="shared" si="40"/>
        <v>0.14410034397375687</v>
      </c>
      <c r="AH32">
        <f t="shared" si="41"/>
        <v>2.9558802241544429E-2</v>
      </c>
      <c r="AI32">
        <f t="shared" si="42"/>
        <v>7.155201122819312</v>
      </c>
      <c r="AJ32">
        <f t="shared" si="43"/>
        <v>4.3579900568456402</v>
      </c>
      <c r="AK32">
        <f t="shared" si="44"/>
        <v>4.6356993910229143</v>
      </c>
      <c r="AL32">
        <f t="shared" si="45"/>
        <v>4.06971028126374</v>
      </c>
      <c r="AM32">
        <f t="shared" si="28"/>
        <v>6.885497450465479E-2</v>
      </c>
      <c r="AN32">
        <f t="shared" si="29"/>
        <v>4.1055899153650287E-2</v>
      </c>
      <c r="AO32">
        <f t="shared" si="30"/>
        <v>5.6396493432407963E-2</v>
      </c>
      <c r="AQ32" s="1">
        <v>43373</v>
      </c>
      <c r="AR32">
        <f t="shared" si="6"/>
        <v>4.6883585898850458E-2</v>
      </c>
      <c r="AS32">
        <f t="shared" si="91"/>
        <v>7.9681696491768813E-3</v>
      </c>
      <c r="AT32">
        <f t="shared" si="92"/>
        <v>3.6235492582095359E-2</v>
      </c>
      <c r="AU32">
        <f t="shared" si="93"/>
        <v>1.61710841873832</v>
      </c>
      <c r="AV32">
        <f t="shared" si="46"/>
        <v>3.3434776086237419E-2</v>
      </c>
      <c r="AW32">
        <f t="shared" si="47"/>
        <v>7.4339620047864301</v>
      </c>
      <c r="AX32">
        <f t="shared" si="48"/>
        <v>9.3894843857231436</v>
      </c>
      <c r="AY32">
        <f t="shared" si="49"/>
        <v>1.980262729617973E-2</v>
      </c>
      <c r="AZ32">
        <f t="shared" si="50"/>
        <v>3.6331929247390204E-2</v>
      </c>
      <c r="BA32">
        <f t="shared" si="51"/>
        <v>1.6857117066422806E-2</v>
      </c>
      <c r="BB32">
        <f t="shared" si="52"/>
        <v>0.11689375147149943</v>
      </c>
      <c r="BC32">
        <f t="shared" si="53"/>
        <v>3.2467190137501413E-2</v>
      </c>
      <c r="BD32">
        <f t="shared" si="54"/>
        <v>7.1337746910418112</v>
      </c>
      <c r="BE32">
        <f t="shared" si="55"/>
        <v>4.8970932526971271</v>
      </c>
      <c r="BF32">
        <f t="shared" si="56"/>
        <v>4.623010104116422</v>
      </c>
      <c r="BG32">
        <f t="shared" si="57"/>
        <v>4.3875115649044512</v>
      </c>
      <c r="BH32">
        <f t="shared" si="58"/>
        <v>7.654349357299782E-2</v>
      </c>
      <c r="BI32">
        <f t="shared" si="59"/>
        <v>3.1921566750255287E-2</v>
      </c>
      <c r="BJ32">
        <f t="shared" si="60"/>
        <v>3.3678966432786304E-2</v>
      </c>
      <c r="BL32" s="1">
        <v>43373</v>
      </c>
      <c r="BM32">
        <f t="shared" si="7"/>
        <v>5.1643233151838386E-2</v>
      </c>
      <c r="BN32">
        <f t="shared" si="94"/>
        <v>1.2916225266546229E-2</v>
      </c>
      <c r="BO32">
        <f t="shared" si="95"/>
        <v>3.6235492582095359E-2</v>
      </c>
      <c r="BP32">
        <f t="shared" si="96"/>
        <v>1.5817583433273581</v>
      </c>
      <c r="BQ32">
        <f t="shared" si="61"/>
        <v>3.2467190137501413E-2</v>
      </c>
      <c r="BR32">
        <f t="shared" si="62"/>
        <v>7.5307267459159659</v>
      </c>
      <c r="BS32">
        <f t="shared" si="63"/>
        <v>9.4762820759233524</v>
      </c>
      <c r="BT32">
        <f t="shared" si="64"/>
        <v>2.2739486969489339E-2</v>
      </c>
      <c r="BU32">
        <f t="shared" si="65"/>
        <v>-1.980262729617973E-2</v>
      </c>
      <c r="BV32">
        <f t="shared" si="66"/>
        <v>1.9980026626730579E-3</v>
      </c>
      <c r="BW32">
        <f t="shared" si="67"/>
        <v>0.12044615307586726</v>
      </c>
      <c r="BX32">
        <f t="shared" si="68"/>
        <v>3.2467190137501413E-2</v>
      </c>
      <c r="BY32">
        <f t="shared" si="69"/>
        <v>7.1902840961931176</v>
      </c>
      <c r="BZ32">
        <f t="shared" si="70"/>
        <v>4.5217885770490405</v>
      </c>
      <c r="CA32">
        <f t="shared" si="71"/>
        <v>4.6366688530474622</v>
      </c>
      <c r="CB32">
        <f t="shared" si="72"/>
        <v>4.2664754815137789</v>
      </c>
      <c r="CC32">
        <f t="shared" si="73"/>
        <v>6.364261254480412E-2</v>
      </c>
      <c r="CD32">
        <f t="shared" si="74"/>
        <v>4.2380360787286856E-3</v>
      </c>
      <c r="CE32">
        <f t="shared" si="75"/>
        <v>3.2289516625779585E-2</v>
      </c>
      <c r="CG32" s="1">
        <v>43373</v>
      </c>
      <c r="CH32">
        <f t="shared" si="8"/>
        <v>5.6380333436107689E-2</v>
      </c>
      <c r="CI32">
        <f t="shared" si="97"/>
        <v>3.4401426717332317E-2</v>
      </c>
      <c r="CJ32">
        <f t="shared" si="98"/>
        <v>3.3821548475510659E-2</v>
      </c>
      <c r="CK32">
        <f t="shared" si="99"/>
        <v>1.6186949336967771</v>
      </c>
      <c r="CL32">
        <f t="shared" si="76"/>
        <v>3.2467190137501413E-2</v>
      </c>
      <c r="CM32">
        <f t="shared" si="77"/>
        <v>7.4943245364778175</v>
      </c>
      <c r="CN32">
        <f t="shared" si="78"/>
        <v>9.4683544187217539</v>
      </c>
      <c r="CO32">
        <f t="shared" si="79"/>
        <v>4.974209189481401E-2</v>
      </c>
      <c r="CP32">
        <f t="shared" si="80"/>
        <v>6.0153922819747144E-2</v>
      </c>
      <c r="CQ32">
        <f t="shared" si="81"/>
        <v>4.3059489460447013E-2</v>
      </c>
      <c r="CR32">
        <f t="shared" si="82"/>
        <v>0.11422114409002286</v>
      </c>
      <c r="CS32">
        <f t="shared" si="83"/>
        <v>2.9558802241544429E-2</v>
      </c>
      <c r="CT32">
        <f t="shared" si="84"/>
        <v>7.173038356490439</v>
      </c>
      <c r="CU32">
        <f t="shared" si="85"/>
        <v>4.4260435200906558</v>
      </c>
      <c r="CV32">
        <f t="shared" si="86"/>
        <v>4.6288867126054072</v>
      </c>
      <c r="CW32">
        <f t="shared" si="87"/>
        <v>4.2175941107156669</v>
      </c>
      <c r="CX32">
        <f t="shared" si="88"/>
        <v>6.6872855317199692E-2</v>
      </c>
      <c r="CY32">
        <f t="shared" si="89"/>
        <v>6.7340061022296199E-2</v>
      </c>
      <c r="CZ32">
        <f t="shared" si="90"/>
        <v>3.7087046223587217E-2</v>
      </c>
      <c r="DB32" s="1">
        <v>43373</v>
      </c>
      <c r="DC32">
        <f t="shared" si="9"/>
        <v>5.9211859631846032E-2</v>
      </c>
      <c r="DD32">
        <f t="shared" si="10"/>
        <v>4.1141943331175213E-2</v>
      </c>
      <c r="DE32">
        <f t="shared" si="11"/>
        <v>3.3724869401620894E-2</v>
      </c>
      <c r="DF32">
        <f t="shared" si="12"/>
        <v>1.652593182748028</v>
      </c>
      <c r="DG32">
        <f t="shared" si="13"/>
        <v>3.3434776086237419E-2</v>
      </c>
      <c r="DH32">
        <f t="shared" si="14"/>
        <v>7.4711240157868666</v>
      </c>
      <c r="DI32">
        <f t="shared" si="15"/>
        <v>9.4360637925639939</v>
      </c>
      <c r="DJ32">
        <f t="shared" si="16"/>
        <v>0.10074990310014315</v>
      </c>
      <c r="DK32">
        <f t="shared" si="17"/>
        <v>0.11511280710050448</v>
      </c>
      <c r="DL32">
        <f t="shared" si="18"/>
        <v>6.3913325743652855E-2</v>
      </c>
      <c r="DM32">
        <f t="shared" si="19"/>
        <v>0.14410034397375687</v>
      </c>
      <c r="DN32">
        <f t="shared" si="20"/>
        <v>2.9558802241544429E-2</v>
      </c>
      <c r="DO32">
        <f t="shared" si="21"/>
        <v>7.155201122819312</v>
      </c>
      <c r="DP32">
        <f t="shared" si="22"/>
        <v>4.3579900568456402</v>
      </c>
      <c r="DQ32">
        <f t="shared" si="23"/>
        <v>4.6356993910229143</v>
      </c>
      <c r="DR32">
        <f t="shared" si="24"/>
        <v>4.06971028126374</v>
      </c>
      <c r="DS32">
        <f t="shared" si="25"/>
        <v>6.885497450465479E-2</v>
      </c>
      <c r="DT32">
        <f t="shared" si="26"/>
        <v>4.1055899153650287E-2</v>
      </c>
      <c r="DU32">
        <f t="shared" si="27"/>
        <v>5.6396493432407963E-2</v>
      </c>
    </row>
    <row r="33" spans="1:125" x14ac:dyDescent="0.35">
      <c r="A33" s="1">
        <v>43100</v>
      </c>
      <c r="B33">
        <f>'Sorting Q'!C33/100</f>
        <v>5.7999999999999996E-2</v>
      </c>
      <c r="C33">
        <f>'Sorting Q'!D33/100</f>
        <v>3.5000000000000003E-2</v>
      </c>
      <c r="D33">
        <f>'Sorting Q'!E33/100</f>
        <v>3.44E-2</v>
      </c>
      <c r="E33">
        <f>'Sorting Q'!F33</f>
        <v>4.0465</v>
      </c>
      <c r="F33">
        <f>'Sorting Q'!G33/100</f>
        <v>3.3000000000000002E-2</v>
      </c>
      <c r="G33">
        <f>'Sorting Q'!H33</f>
        <v>1796.81</v>
      </c>
      <c r="H33">
        <f>'Sorting Q'!I33</f>
        <v>12942.57</v>
      </c>
      <c r="I33">
        <f>'Sorting Q'!J33/100</f>
        <v>5.0999999999999997E-2</v>
      </c>
      <c r="J33">
        <f>'Sorting Q'!K33/100</f>
        <v>6.2E-2</v>
      </c>
      <c r="K33">
        <f>'Sorting Q'!L33/100</f>
        <v>4.4000000000000004E-2</v>
      </c>
      <c r="L33">
        <f>'Sorting Q'!M33/100</f>
        <v>0.121</v>
      </c>
      <c r="M33">
        <f>'Sorting Q'!N33/100</f>
        <v>0.03</v>
      </c>
      <c r="N33">
        <f>'Sorting Q'!O33</f>
        <v>1302.8</v>
      </c>
      <c r="O33">
        <f>'Sorting Q'!P33</f>
        <v>82.6</v>
      </c>
      <c r="P33">
        <f>'Sorting Q'!Q33</f>
        <v>101.4</v>
      </c>
      <c r="Q33">
        <f>'Sorting Q'!R33</f>
        <v>66.87</v>
      </c>
      <c r="R33">
        <f>'Sorting Q'!S33/100</f>
        <v>6.9159531582834166E-2</v>
      </c>
      <c r="S33">
        <f>'Sorting Q'!T33/100</f>
        <v>6.9659165722519845E-2</v>
      </c>
      <c r="T33">
        <f>'Sorting Q'!U33/100</f>
        <v>3.7783352028301298E-2</v>
      </c>
      <c r="V33" s="1">
        <v>43100</v>
      </c>
      <c r="W33">
        <f t="shared" si="5"/>
        <v>5.6380333436107689E-2</v>
      </c>
      <c r="X33">
        <f t="shared" si="31"/>
        <v>3.4401426717332317E-2</v>
      </c>
      <c r="Y33">
        <f t="shared" si="32"/>
        <v>3.3821548475510659E-2</v>
      </c>
      <c r="Z33">
        <f t="shared" si="33"/>
        <v>1.6186949336967771</v>
      </c>
      <c r="AA33">
        <f t="shared" si="34"/>
        <v>3.2467190137501413E-2</v>
      </c>
      <c r="AB33">
        <f t="shared" si="35"/>
        <v>7.4943245364778175</v>
      </c>
      <c r="AC33">
        <f t="shared" si="36"/>
        <v>9.4683544187217539</v>
      </c>
      <c r="AD33">
        <f t="shared" si="37"/>
        <v>4.974209189481401E-2</v>
      </c>
      <c r="AE33">
        <f t="shared" si="38"/>
        <v>6.0153922819747144E-2</v>
      </c>
      <c r="AF33">
        <f t="shared" si="39"/>
        <v>4.3059489460447013E-2</v>
      </c>
      <c r="AG33">
        <f t="shared" si="40"/>
        <v>0.11422114409002286</v>
      </c>
      <c r="AH33">
        <f t="shared" si="41"/>
        <v>2.9558802241544429E-2</v>
      </c>
      <c r="AI33">
        <f t="shared" si="42"/>
        <v>7.173038356490439</v>
      </c>
      <c r="AJ33">
        <f t="shared" si="43"/>
        <v>4.4260435200906558</v>
      </c>
      <c r="AK33">
        <f t="shared" si="44"/>
        <v>4.6288867126054072</v>
      </c>
      <c r="AL33">
        <f t="shared" si="45"/>
        <v>4.2175941107156669</v>
      </c>
      <c r="AM33">
        <f t="shared" si="28"/>
        <v>6.6872855317199692E-2</v>
      </c>
      <c r="AN33">
        <f t="shared" si="29"/>
        <v>6.7340061022296199E-2</v>
      </c>
      <c r="AO33">
        <f t="shared" si="30"/>
        <v>3.7087046223587217E-2</v>
      </c>
      <c r="AQ33" s="1">
        <v>43465</v>
      </c>
      <c r="AR33">
        <f t="shared" si="6"/>
        <v>4.401688541677426E-2</v>
      </c>
      <c r="AS33">
        <f t="shared" si="91"/>
        <v>2.9955089797983709E-3</v>
      </c>
      <c r="AT33">
        <f t="shared" si="92"/>
        <v>3.6235492582095359E-2</v>
      </c>
      <c r="AU33">
        <f t="shared" si="93"/>
        <v>1.6367222854611581</v>
      </c>
      <c r="AV33">
        <f t="shared" si="46"/>
        <v>3.2467190137501413E-2</v>
      </c>
      <c r="AW33">
        <f t="shared" si="47"/>
        <v>7.4922866511635835</v>
      </c>
      <c r="AX33">
        <f t="shared" si="48"/>
        <v>9.4362177828884395</v>
      </c>
      <c r="AY33">
        <f t="shared" si="49"/>
        <v>4.9875415110389679E-3</v>
      </c>
      <c r="AZ33">
        <f t="shared" si="50"/>
        <v>2.2739486969489339E-2</v>
      </c>
      <c r="BA33">
        <f t="shared" si="51"/>
        <v>2.7615167032973391E-2</v>
      </c>
      <c r="BB33">
        <f t="shared" si="52"/>
        <v>0.10795714150509236</v>
      </c>
      <c r="BC33">
        <f t="shared" si="53"/>
        <v>3.2467190137501413E-2</v>
      </c>
      <c r="BD33">
        <f t="shared" si="54"/>
        <v>7.0832871714166759</v>
      </c>
      <c r="BE33">
        <f t="shared" si="55"/>
        <v>4.6867501729805143</v>
      </c>
      <c r="BF33">
        <f t="shared" si="56"/>
        <v>4.6151205168412597</v>
      </c>
      <c r="BG33">
        <f t="shared" si="57"/>
        <v>4.4274778975777993</v>
      </c>
      <c r="BH33">
        <f t="shared" si="58"/>
        <v>8.5215469993933896E-2</v>
      </c>
      <c r="BI33">
        <f t="shared" si="59"/>
        <v>5.1156401167619471E-2</v>
      </c>
      <c r="BJ33">
        <f t="shared" si="60"/>
        <v>2.3323406596045367E-2</v>
      </c>
      <c r="BL33" s="1">
        <v>43465</v>
      </c>
      <c r="BM33">
        <f t="shared" si="7"/>
        <v>4.6883585898850458E-2</v>
      </c>
      <c r="BN33">
        <f t="shared" si="94"/>
        <v>7.9681696491768813E-3</v>
      </c>
      <c r="BO33">
        <f t="shared" si="95"/>
        <v>3.6235492582095359E-2</v>
      </c>
      <c r="BP33">
        <f t="shared" si="96"/>
        <v>1.61710841873832</v>
      </c>
      <c r="BQ33">
        <f t="shared" si="61"/>
        <v>3.3434776086237419E-2</v>
      </c>
      <c r="BR33">
        <f t="shared" si="62"/>
        <v>7.4339620047864301</v>
      </c>
      <c r="BS33">
        <f t="shared" si="63"/>
        <v>9.3894843857231436</v>
      </c>
      <c r="BT33">
        <f t="shared" si="64"/>
        <v>1.980262729617973E-2</v>
      </c>
      <c r="BU33">
        <f t="shared" si="65"/>
        <v>3.6331929247390204E-2</v>
      </c>
      <c r="BV33">
        <f t="shared" si="66"/>
        <v>1.6857117066422806E-2</v>
      </c>
      <c r="BW33">
        <f t="shared" si="67"/>
        <v>0.11689375147149943</v>
      </c>
      <c r="BX33">
        <f t="shared" si="68"/>
        <v>3.2467190137501413E-2</v>
      </c>
      <c r="BY33">
        <f t="shared" si="69"/>
        <v>7.1337746910418112</v>
      </c>
      <c r="BZ33">
        <f t="shared" si="70"/>
        <v>4.8970932526971271</v>
      </c>
      <c r="CA33">
        <f t="shared" si="71"/>
        <v>4.623010104116422</v>
      </c>
      <c r="CB33">
        <f t="shared" si="72"/>
        <v>4.3875115649044512</v>
      </c>
      <c r="CC33">
        <f t="shared" si="73"/>
        <v>7.654349357299782E-2</v>
      </c>
      <c r="CD33">
        <f t="shared" si="74"/>
        <v>3.1921566750255287E-2</v>
      </c>
      <c r="CE33">
        <f t="shared" si="75"/>
        <v>3.3678966432786304E-2</v>
      </c>
      <c r="CG33" s="1">
        <v>43465</v>
      </c>
      <c r="CH33">
        <f t="shared" si="8"/>
        <v>5.1643233151838386E-2</v>
      </c>
      <c r="CI33">
        <f t="shared" si="97"/>
        <v>1.2916225266546229E-2</v>
      </c>
      <c r="CJ33">
        <f t="shared" si="98"/>
        <v>3.6235492582095359E-2</v>
      </c>
      <c r="CK33">
        <f t="shared" si="99"/>
        <v>1.5817583433273581</v>
      </c>
      <c r="CL33">
        <f t="shared" si="76"/>
        <v>3.2467190137501413E-2</v>
      </c>
      <c r="CM33">
        <f t="shared" si="77"/>
        <v>7.5307267459159659</v>
      </c>
      <c r="CN33">
        <f t="shared" si="78"/>
        <v>9.4762820759233524</v>
      </c>
      <c r="CO33">
        <f t="shared" si="79"/>
        <v>2.2739486969489339E-2</v>
      </c>
      <c r="CP33">
        <f t="shared" si="80"/>
        <v>-1.980262729617973E-2</v>
      </c>
      <c r="CQ33">
        <f t="shared" si="81"/>
        <v>1.9980026626730579E-3</v>
      </c>
      <c r="CR33">
        <f t="shared" si="82"/>
        <v>0.12044615307586726</v>
      </c>
      <c r="CS33">
        <f t="shared" si="83"/>
        <v>3.2467190137501413E-2</v>
      </c>
      <c r="CT33">
        <f t="shared" si="84"/>
        <v>7.1902840961931176</v>
      </c>
      <c r="CU33">
        <f t="shared" si="85"/>
        <v>4.5217885770490405</v>
      </c>
      <c r="CV33">
        <f t="shared" si="86"/>
        <v>4.6366688530474622</v>
      </c>
      <c r="CW33">
        <f t="shared" si="87"/>
        <v>4.2664754815137789</v>
      </c>
      <c r="CX33">
        <f t="shared" si="88"/>
        <v>6.364261254480412E-2</v>
      </c>
      <c r="CY33">
        <f t="shared" si="89"/>
        <v>4.2380360787286856E-3</v>
      </c>
      <c r="CZ33">
        <f t="shared" si="90"/>
        <v>3.2289516625779585E-2</v>
      </c>
      <c r="DB33" s="1">
        <v>43465</v>
      </c>
      <c r="DC33">
        <f t="shared" si="9"/>
        <v>5.6380333436107689E-2</v>
      </c>
      <c r="DD33">
        <f t="shared" si="10"/>
        <v>3.4401426717332317E-2</v>
      </c>
      <c r="DE33">
        <f t="shared" si="11"/>
        <v>3.3821548475510659E-2</v>
      </c>
      <c r="DF33">
        <f t="shared" si="12"/>
        <v>1.6186949336967771</v>
      </c>
      <c r="DG33">
        <f t="shared" si="13"/>
        <v>3.2467190137501413E-2</v>
      </c>
      <c r="DH33">
        <f t="shared" si="14"/>
        <v>7.4943245364778175</v>
      </c>
      <c r="DI33">
        <f t="shared" si="15"/>
        <v>9.4683544187217539</v>
      </c>
      <c r="DJ33">
        <f t="shared" si="16"/>
        <v>4.974209189481401E-2</v>
      </c>
      <c r="DK33">
        <f t="shared" si="17"/>
        <v>6.0153922819747144E-2</v>
      </c>
      <c r="DL33">
        <f t="shared" si="18"/>
        <v>4.3059489460447013E-2</v>
      </c>
      <c r="DM33">
        <f t="shared" si="19"/>
        <v>0.11422114409002286</v>
      </c>
      <c r="DN33">
        <f t="shared" si="20"/>
        <v>2.9558802241544429E-2</v>
      </c>
      <c r="DO33">
        <f t="shared" si="21"/>
        <v>7.173038356490439</v>
      </c>
      <c r="DP33">
        <f t="shared" si="22"/>
        <v>4.4260435200906558</v>
      </c>
      <c r="DQ33">
        <f t="shared" si="23"/>
        <v>4.6288867126054072</v>
      </c>
      <c r="DR33">
        <f t="shared" si="24"/>
        <v>4.2175941107156669</v>
      </c>
      <c r="DS33">
        <f t="shared" si="25"/>
        <v>6.6872855317199692E-2</v>
      </c>
      <c r="DT33">
        <f t="shared" si="26"/>
        <v>6.7340061022296199E-2</v>
      </c>
      <c r="DU33">
        <f t="shared" si="27"/>
        <v>3.7087046223587217E-2</v>
      </c>
    </row>
    <row r="34" spans="1:125" x14ac:dyDescent="0.35">
      <c r="A34" s="1">
        <v>43190</v>
      </c>
      <c r="B34">
        <f>'Sorting Q'!C34/100</f>
        <v>5.2999999999999999E-2</v>
      </c>
      <c r="C34">
        <f>'Sorting Q'!D34/100</f>
        <v>1.3000000000000001E-2</v>
      </c>
      <c r="D34">
        <f>'Sorting Q'!E34/100</f>
        <v>3.6900000000000002E-2</v>
      </c>
      <c r="E34">
        <f>'Sorting Q'!F34</f>
        <v>3.8635000000000002</v>
      </c>
      <c r="F34">
        <f>'Sorting Q'!G34/100</f>
        <v>3.3000000000000002E-2</v>
      </c>
      <c r="G34">
        <f>'Sorting Q'!H34</f>
        <v>1863.46</v>
      </c>
      <c r="H34">
        <f>'Sorting Q'!I34</f>
        <v>13045.59</v>
      </c>
      <c r="I34">
        <f>'Sorting Q'!J34/100</f>
        <v>2.3E-2</v>
      </c>
      <c r="J34">
        <f>'Sorting Q'!K34/100</f>
        <v>-0.02</v>
      </c>
      <c r="K34">
        <f>'Sorting Q'!L34/100</f>
        <v>2E-3</v>
      </c>
      <c r="L34">
        <f>'Sorting Q'!M34/100</f>
        <v>0.128</v>
      </c>
      <c r="M34">
        <f>'Sorting Q'!N34/100</f>
        <v>3.3000000000000002E-2</v>
      </c>
      <c r="N34">
        <f>'Sorting Q'!O34</f>
        <v>1325.48</v>
      </c>
      <c r="O34">
        <f>'Sorting Q'!P34</f>
        <v>91</v>
      </c>
      <c r="P34">
        <f>'Sorting Q'!Q34</f>
        <v>102.2</v>
      </c>
      <c r="Q34">
        <f>'Sorting Q'!R34</f>
        <v>70.27</v>
      </c>
      <c r="R34">
        <f>'Sorting Q'!S34/100</f>
        <v>6.5711458787746757E-2</v>
      </c>
      <c r="S34">
        <f>'Sorting Q'!T34/100</f>
        <v>4.2470292536094245E-3</v>
      </c>
      <c r="T34">
        <f>'Sorting Q'!U34/100</f>
        <v>3.2816479566234014E-2</v>
      </c>
      <c r="V34" s="1">
        <v>43190</v>
      </c>
      <c r="W34">
        <f t="shared" si="5"/>
        <v>5.1643233151838386E-2</v>
      </c>
      <c r="X34">
        <f t="shared" si="31"/>
        <v>1.2916225266546229E-2</v>
      </c>
      <c r="Y34">
        <f t="shared" si="32"/>
        <v>3.6235492582095359E-2</v>
      </c>
      <c r="Z34">
        <f t="shared" si="33"/>
        <v>1.5817583433273581</v>
      </c>
      <c r="AA34">
        <f t="shared" si="34"/>
        <v>3.2467190137501413E-2</v>
      </c>
      <c r="AB34">
        <f t="shared" si="35"/>
        <v>7.5307267459159659</v>
      </c>
      <c r="AC34">
        <f t="shared" si="36"/>
        <v>9.4762820759233524</v>
      </c>
      <c r="AD34">
        <f t="shared" si="37"/>
        <v>2.2739486969489339E-2</v>
      </c>
      <c r="AE34">
        <f t="shared" si="38"/>
        <v>-1.980262729617973E-2</v>
      </c>
      <c r="AF34">
        <f t="shared" si="39"/>
        <v>1.9980026626730579E-3</v>
      </c>
      <c r="AG34">
        <f t="shared" si="40"/>
        <v>0.12044615307586726</v>
      </c>
      <c r="AH34">
        <f t="shared" si="41"/>
        <v>3.2467190137501413E-2</v>
      </c>
      <c r="AI34">
        <f t="shared" si="42"/>
        <v>7.1902840961931176</v>
      </c>
      <c r="AJ34">
        <f t="shared" si="43"/>
        <v>4.5217885770490405</v>
      </c>
      <c r="AK34">
        <f t="shared" si="44"/>
        <v>4.6366688530474622</v>
      </c>
      <c r="AL34">
        <f t="shared" si="45"/>
        <v>4.2664754815137789</v>
      </c>
      <c r="AM34">
        <f t="shared" si="28"/>
        <v>6.364261254480412E-2</v>
      </c>
      <c r="AN34">
        <f t="shared" si="29"/>
        <v>4.2380360787286856E-3</v>
      </c>
      <c r="AO34">
        <f t="shared" si="30"/>
        <v>3.2289516625779585E-2</v>
      </c>
      <c r="AQ34" s="1">
        <v>43555</v>
      </c>
      <c r="AR34">
        <f t="shared" si="6"/>
        <v>4.6883585898850458E-2</v>
      </c>
      <c r="AS34">
        <f t="shared" si="91"/>
        <v>1.9980026626730579E-3</v>
      </c>
      <c r="AT34">
        <f t="shared" si="92"/>
        <v>3.6235492582095359E-2</v>
      </c>
      <c r="AU34">
        <f t="shared" si="93"/>
        <v>1.6357876877568824</v>
      </c>
      <c r="AV34">
        <f t="shared" si="46"/>
        <v>3.2467190137501413E-2</v>
      </c>
      <c r="AW34">
        <f t="shared" si="47"/>
        <v>7.4334182824024051</v>
      </c>
      <c r="AX34">
        <f t="shared" si="48"/>
        <v>9.3525783768118274</v>
      </c>
      <c r="AY34">
        <f t="shared" si="49"/>
        <v>2.8587456851912472E-2</v>
      </c>
      <c r="AZ34">
        <f t="shared" si="50"/>
        <v>1.980262729617973E-2</v>
      </c>
      <c r="BA34">
        <f t="shared" si="51"/>
        <v>5.9820716775474689E-3</v>
      </c>
      <c r="BB34">
        <f t="shared" si="52"/>
        <v>9.6218857740542896E-2</v>
      </c>
      <c r="BC34">
        <f t="shared" si="53"/>
        <v>3.2467190137501413E-2</v>
      </c>
      <c r="BD34">
        <f t="shared" si="54"/>
        <v>7.1573382090848954</v>
      </c>
      <c r="BE34">
        <f t="shared" si="55"/>
        <v>4.5829245770407718</v>
      </c>
      <c r="BF34">
        <f t="shared" si="56"/>
        <v>4.60816569496789</v>
      </c>
      <c r="BG34">
        <f t="shared" si="57"/>
        <v>4.00369019395397</v>
      </c>
      <c r="BH34">
        <f t="shared" si="58"/>
        <v>8.0669186733722045E-2</v>
      </c>
      <c r="BI34">
        <f t="shared" si="59"/>
        <v>4.1246472643278707E-2</v>
      </c>
      <c r="BJ34">
        <f t="shared" si="60"/>
        <v>3.2307994352745104E-2</v>
      </c>
      <c r="BL34" s="1">
        <v>43555</v>
      </c>
      <c r="BM34">
        <f t="shared" si="7"/>
        <v>4.401688541677426E-2</v>
      </c>
      <c r="BN34">
        <f t="shared" si="94"/>
        <v>2.9955089797983709E-3</v>
      </c>
      <c r="BO34">
        <f t="shared" si="95"/>
        <v>3.6235492582095359E-2</v>
      </c>
      <c r="BP34">
        <f t="shared" si="96"/>
        <v>1.6367222854611581</v>
      </c>
      <c r="BQ34">
        <f t="shared" si="61"/>
        <v>3.2467190137501413E-2</v>
      </c>
      <c r="BR34">
        <f t="shared" si="62"/>
        <v>7.4922866511635835</v>
      </c>
      <c r="BS34">
        <f t="shared" si="63"/>
        <v>9.4362177828884395</v>
      </c>
      <c r="BT34">
        <f t="shared" si="64"/>
        <v>4.9875415110389679E-3</v>
      </c>
      <c r="BU34">
        <f t="shared" si="65"/>
        <v>2.2739486969489339E-2</v>
      </c>
      <c r="BV34">
        <f t="shared" si="66"/>
        <v>2.7615167032973391E-2</v>
      </c>
      <c r="BW34">
        <f t="shared" si="67"/>
        <v>0.10795714150509236</v>
      </c>
      <c r="BX34">
        <f t="shared" si="68"/>
        <v>3.2467190137501413E-2</v>
      </c>
      <c r="BY34">
        <f t="shared" si="69"/>
        <v>7.0832871714166759</v>
      </c>
      <c r="BZ34">
        <f t="shared" si="70"/>
        <v>4.6867501729805143</v>
      </c>
      <c r="CA34">
        <f t="shared" si="71"/>
        <v>4.6151205168412597</v>
      </c>
      <c r="CB34">
        <f t="shared" si="72"/>
        <v>4.4274778975777993</v>
      </c>
      <c r="CC34">
        <f t="shared" si="73"/>
        <v>8.5215469993933896E-2</v>
      </c>
      <c r="CD34">
        <f t="shared" si="74"/>
        <v>5.1156401167619471E-2</v>
      </c>
      <c r="CE34">
        <f t="shared" si="75"/>
        <v>2.3323406596045367E-2</v>
      </c>
      <c r="CG34" s="1">
        <v>43555</v>
      </c>
      <c r="CH34">
        <f t="shared" si="8"/>
        <v>4.6883585898850458E-2</v>
      </c>
      <c r="CI34">
        <f t="shared" si="97"/>
        <v>7.9681696491768813E-3</v>
      </c>
      <c r="CJ34">
        <f t="shared" si="98"/>
        <v>3.6235492582095359E-2</v>
      </c>
      <c r="CK34">
        <f t="shared" si="99"/>
        <v>1.61710841873832</v>
      </c>
      <c r="CL34">
        <f t="shared" si="76"/>
        <v>3.3434776086237419E-2</v>
      </c>
      <c r="CM34">
        <f t="shared" si="77"/>
        <v>7.4339620047864301</v>
      </c>
      <c r="CN34">
        <f t="shared" si="78"/>
        <v>9.3894843857231436</v>
      </c>
      <c r="CO34">
        <f t="shared" si="79"/>
        <v>1.980262729617973E-2</v>
      </c>
      <c r="CP34">
        <f t="shared" si="80"/>
        <v>3.6331929247390204E-2</v>
      </c>
      <c r="CQ34">
        <f t="shared" si="81"/>
        <v>1.6857117066422806E-2</v>
      </c>
      <c r="CR34">
        <f t="shared" si="82"/>
        <v>0.11689375147149943</v>
      </c>
      <c r="CS34">
        <f t="shared" si="83"/>
        <v>3.2467190137501413E-2</v>
      </c>
      <c r="CT34">
        <f t="shared" si="84"/>
        <v>7.1337746910418112</v>
      </c>
      <c r="CU34">
        <f t="shared" si="85"/>
        <v>4.8970932526971271</v>
      </c>
      <c r="CV34">
        <f t="shared" si="86"/>
        <v>4.623010104116422</v>
      </c>
      <c r="CW34">
        <f t="shared" si="87"/>
        <v>4.3875115649044512</v>
      </c>
      <c r="CX34">
        <f t="shared" si="88"/>
        <v>7.654349357299782E-2</v>
      </c>
      <c r="CY34">
        <f t="shared" si="89"/>
        <v>3.1921566750255287E-2</v>
      </c>
      <c r="CZ34">
        <f t="shared" si="90"/>
        <v>3.3678966432786304E-2</v>
      </c>
      <c r="DB34" s="1">
        <v>43555</v>
      </c>
      <c r="DC34">
        <f t="shared" si="9"/>
        <v>5.1643233151838386E-2</v>
      </c>
      <c r="DD34">
        <f t="shared" si="10"/>
        <v>1.2916225266546229E-2</v>
      </c>
      <c r="DE34">
        <f t="shared" si="11"/>
        <v>3.6235492582095359E-2</v>
      </c>
      <c r="DF34">
        <f t="shared" si="12"/>
        <v>1.5817583433273581</v>
      </c>
      <c r="DG34">
        <f t="shared" si="13"/>
        <v>3.2467190137501413E-2</v>
      </c>
      <c r="DH34">
        <f t="shared" si="14"/>
        <v>7.5307267459159659</v>
      </c>
      <c r="DI34">
        <f t="shared" si="15"/>
        <v>9.4762820759233524</v>
      </c>
      <c r="DJ34">
        <f t="shared" si="16"/>
        <v>2.2739486969489339E-2</v>
      </c>
      <c r="DK34">
        <f t="shared" si="17"/>
        <v>-1.980262729617973E-2</v>
      </c>
      <c r="DL34">
        <f t="shared" si="18"/>
        <v>1.9980026626730579E-3</v>
      </c>
      <c r="DM34">
        <f t="shared" si="19"/>
        <v>0.12044615307586726</v>
      </c>
      <c r="DN34">
        <f t="shared" si="20"/>
        <v>3.2467190137501413E-2</v>
      </c>
      <c r="DO34">
        <f t="shared" si="21"/>
        <v>7.1902840961931176</v>
      </c>
      <c r="DP34">
        <f t="shared" si="22"/>
        <v>4.5217885770490405</v>
      </c>
      <c r="DQ34">
        <f t="shared" si="23"/>
        <v>4.6366688530474622</v>
      </c>
      <c r="DR34">
        <f t="shared" si="24"/>
        <v>4.2664754815137789</v>
      </c>
      <c r="DS34">
        <f t="shared" si="25"/>
        <v>6.364261254480412E-2</v>
      </c>
      <c r="DT34">
        <f t="shared" si="26"/>
        <v>4.2380360787286856E-3</v>
      </c>
      <c r="DU34">
        <f t="shared" si="27"/>
        <v>3.2289516625779585E-2</v>
      </c>
    </row>
    <row r="35" spans="1:125" x14ac:dyDescent="0.35">
      <c r="A35" s="1">
        <v>43281</v>
      </c>
      <c r="B35">
        <f>'Sorting Q'!C35/100</f>
        <v>4.8000000000000001E-2</v>
      </c>
      <c r="C35">
        <f>'Sorting Q'!D35/100</f>
        <v>8.0000000000000002E-3</v>
      </c>
      <c r="D35">
        <f>'Sorting Q'!E35/100</f>
        <v>3.6900000000000002E-2</v>
      </c>
      <c r="E35">
        <f>'Sorting Q'!F35</f>
        <v>4.0385</v>
      </c>
      <c r="F35">
        <f>'Sorting Q'!G35/100</f>
        <v>3.4000000000000002E-2</v>
      </c>
      <c r="G35">
        <f>'Sorting Q'!H35</f>
        <v>1691.5</v>
      </c>
      <c r="H35">
        <f>'Sorting Q'!I35</f>
        <v>11960.93</v>
      </c>
      <c r="I35">
        <f>'Sorting Q'!J35/100</f>
        <v>0.02</v>
      </c>
      <c r="J35">
        <f>'Sorting Q'!K35/100</f>
        <v>3.7000000000000005E-2</v>
      </c>
      <c r="K35">
        <f>'Sorting Q'!L35/100</f>
        <v>1.7000000000000001E-2</v>
      </c>
      <c r="L35">
        <f>'Sorting Q'!M35/100</f>
        <v>0.124</v>
      </c>
      <c r="M35">
        <f>'Sorting Q'!N35/100</f>
        <v>3.3000000000000002E-2</v>
      </c>
      <c r="N35">
        <f>'Sorting Q'!O35</f>
        <v>1252.5999999999999</v>
      </c>
      <c r="O35">
        <f>'Sorting Q'!P35</f>
        <v>132.9</v>
      </c>
      <c r="P35">
        <f>'Sorting Q'!Q35</f>
        <v>100.8</v>
      </c>
      <c r="Q35">
        <f>'Sorting Q'!R35</f>
        <v>79.44</v>
      </c>
      <c r="R35">
        <f>'Sorting Q'!S35/100</f>
        <v>7.954914276553926E-2</v>
      </c>
      <c r="S35">
        <f>'Sorting Q'!T35/100</f>
        <v>3.243652477758352E-2</v>
      </c>
      <c r="T35">
        <f>'Sorting Q'!U35/100</f>
        <v>3.4252523648995448E-2</v>
      </c>
      <c r="V35" s="1">
        <v>43281</v>
      </c>
      <c r="W35">
        <f t="shared" si="5"/>
        <v>4.6883585898850458E-2</v>
      </c>
      <c r="X35">
        <f t="shared" si="31"/>
        <v>7.9681696491768813E-3</v>
      </c>
      <c r="Y35">
        <f t="shared" si="32"/>
        <v>3.6235492582095359E-2</v>
      </c>
      <c r="Z35">
        <f t="shared" si="33"/>
        <v>1.61710841873832</v>
      </c>
      <c r="AA35">
        <f t="shared" si="34"/>
        <v>3.3434776086237419E-2</v>
      </c>
      <c r="AB35">
        <f t="shared" si="35"/>
        <v>7.4339620047864301</v>
      </c>
      <c r="AC35">
        <f t="shared" si="36"/>
        <v>9.3894843857231436</v>
      </c>
      <c r="AD35">
        <f t="shared" si="37"/>
        <v>1.980262729617973E-2</v>
      </c>
      <c r="AE35">
        <f t="shared" si="38"/>
        <v>3.6331929247390204E-2</v>
      </c>
      <c r="AF35">
        <f t="shared" si="39"/>
        <v>1.6857117066422806E-2</v>
      </c>
      <c r="AG35">
        <f t="shared" si="40"/>
        <v>0.11689375147149943</v>
      </c>
      <c r="AH35">
        <f t="shared" si="41"/>
        <v>3.2467190137501413E-2</v>
      </c>
      <c r="AI35">
        <f t="shared" si="42"/>
        <v>7.1337746910418112</v>
      </c>
      <c r="AJ35">
        <f t="shared" si="43"/>
        <v>4.8970932526971271</v>
      </c>
      <c r="AK35">
        <f t="shared" si="44"/>
        <v>4.623010104116422</v>
      </c>
      <c r="AL35">
        <f t="shared" si="45"/>
        <v>4.3875115649044512</v>
      </c>
      <c r="AM35">
        <f t="shared" si="28"/>
        <v>7.654349357299782E-2</v>
      </c>
      <c r="AN35">
        <f t="shared" si="29"/>
        <v>3.1921566750255287E-2</v>
      </c>
      <c r="AO35">
        <f t="shared" si="30"/>
        <v>3.3678966432786304E-2</v>
      </c>
      <c r="AQ35" s="1">
        <v>43646</v>
      </c>
      <c r="AR35">
        <f t="shared" si="6"/>
        <v>4.5928931888399735E-2</v>
      </c>
      <c r="AS35">
        <f t="shared" si="91"/>
        <v>1.9980026626730579E-3</v>
      </c>
      <c r="AT35">
        <f t="shared" si="92"/>
        <v>3.6235492582095359E-2</v>
      </c>
      <c r="AU35">
        <f t="shared" si="93"/>
        <v>1.6257048848979723</v>
      </c>
      <c r="AV35">
        <f t="shared" si="46"/>
        <v>3.3434776086237419E-2</v>
      </c>
      <c r="AW35">
        <f t="shared" si="47"/>
        <v>7.4052707138881146</v>
      </c>
      <c r="AX35">
        <f t="shared" si="48"/>
        <v>9.3548596757930547</v>
      </c>
      <c r="AY35">
        <f t="shared" si="49"/>
        <v>2.9955089797983709E-3</v>
      </c>
      <c r="AZ35">
        <f t="shared" si="50"/>
        <v>-1.5873349156290163E-2</v>
      </c>
      <c r="BA35">
        <f t="shared" si="51"/>
        <v>-3.3434776086237419E-2</v>
      </c>
      <c r="BB35">
        <f t="shared" si="52"/>
        <v>9.5310179804324935E-2</v>
      </c>
      <c r="BC35">
        <f t="shared" si="53"/>
        <v>3.2467190137501413E-2</v>
      </c>
      <c r="BD35">
        <f t="shared" si="54"/>
        <v>7.1650142257724792</v>
      </c>
      <c r="BE35">
        <f t="shared" si="55"/>
        <v>4.4612998155683892</v>
      </c>
      <c r="BF35">
        <f t="shared" si="56"/>
        <v>4.6170987568533652</v>
      </c>
      <c r="BG35">
        <f t="shared" si="57"/>
        <v>4.2397427649114574</v>
      </c>
      <c r="BH35">
        <f t="shared" si="58"/>
        <v>7.457370228975127E-2</v>
      </c>
      <c r="BI35">
        <f t="shared" si="59"/>
        <v>5.7657881098390339E-2</v>
      </c>
      <c r="BJ35">
        <f t="shared" si="60"/>
        <v>3.1664374925452196E-2</v>
      </c>
      <c r="BL35" s="1">
        <v>43646</v>
      </c>
      <c r="BM35">
        <f t="shared" si="7"/>
        <v>4.6883585898850458E-2</v>
      </c>
      <c r="BN35">
        <f t="shared" si="94"/>
        <v>1.9980026626730579E-3</v>
      </c>
      <c r="BO35">
        <f t="shared" si="95"/>
        <v>3.6235492582095359E-2</v>
      </c>
      <c r="BP35">
        <f t="shared" si="96"/>
        <v>1.6357876877568824</v>
      </c>
      <c r="BQ35">
        <f t="shared" si="61"/>
        <v>3.2467190137501413E-2</v>
      </c>
      <c r="BR35">
        <f t="shared" si="62"/>
        <v>7.4334182824024051</v>
      </c>
      <c r="BS35">
        <f t="shared" si="63"/>
        <v>9.3525783768118274</v>
      </c>
      <c r="BT35">
        <f t="shared" si="64"/>
        <v>2.8587456851912472E-2</v>
      </c>
      <c r="BU35">
        <f t="shared" si="65"/>
        <v>1.980262729617973E-2</v>
      </c>
      <c r="BV35">
        <f t="shared" si="66"/>
        <v>5.9820716775474689E-3</v>
      </c>
      <c r="BW35">
        <f t="shared" si="67"/>
        <v>9.6218857740542896E-2</v>
      </c>
      <c r="BX35">
        <f t="shared" si="68"/>
        <v>3.2467190137501413E-2</v>
      </c>
      <c r="BY35">
        <f t="shared" si="69"/>
        <v>7.1573382090848954</v>
      </c>
      <c r="BZ35">
        <f t="shared" si="70"/>
        <v>4.5829245770407718</v>
      </c>
      <c r="CA35">
        <f t="shared" si="71"/>
        <v>4.60816569496789</v>
      </c>
      <c r="CB35">
        <f t="shared" si="72"/>
        <v>4.00369019395397</v>
      </c>
      <c r="CC35">
        <f t="shared" si="73"/>
        <v>8.0669186733722045E-2</v>
      </c>
      <c r="CD35">
        <f t="shared" si="74"/>
        <v>4.1246472643278707E-2</v>
      </c>
      <c r="CE35">
        <f t="shared" si="75"/>
        <v>3.2307994352745104E-2</v>
      </c>
      <c r="CG35" s="1">
        <v>43646</v>
      </c>
      <c r="CH35">
        <f t="shared" si="8"/>
        <v>4.401688541677426E-2</v>
      </c>
      <c r="CI35">
        <f t="shared" si="97"/>
        <v>2.9955089797983709E-3</v>
      </c>
      <c r="CJ35">
        <f t="shared" si="98"/>
        <v>3.6235492582095359E-2</v>
      </c>
      <c r="CK35">
        <f t="shared" si="99"/>
        <v>1.6367222854611581</v>
      </c>
      <c r="CL35">
        <f t="shared" si="76"/>
        <v>3.2467190137501413E-2</v>
      </c>
      <c r="CM35">
        <f t="shared" si="77"/>
        <v>7.4922866511635835</v>
      </c>
      <c r="CN35">
        <f t="shared" si="78"/>
        <v>9.4362177828884395</v>
      </c>
      <c r="CO35">
        <f t="shared" si="79"/>
        <v>4.9875415110389679E-3</v>
      </c>
      <c r="CP35">
        <f t="shared" si="80"/>
        <v>2.2739486969489339E-2</v>
      </c>
      <c r="CQ35">
        <f t="shared" si="81"/>
        <v>2.7615167032973391E-2</v>
      </c>
      <c r="CR35">
        <f t="shared" si="82"/>
        <v>0.10795714150509236</v>
      </c>
      <c r="CS35">
        <f t="shared" si="83"/>
        <v>3.2467190137501413E-2</v>
      </c>
      <c r="CT35">
        <f t="shared" si="84"/>
        <v>7.0832871714166759</v>
      </c>
      <c r="CU35">
        <f t="shared" si="85"/>
        <v>4.6867501729805143</v>
      </c>
      <c r="CV35">
        <f t="shared" si="86"/>
        <v>4.6151205168412597</v>
      </c>
      <c r="CW35">
        <f t="shared" si="87"/>
        <v>4.4274778975777993</v>
      </c>
      <c r="CX35">
        <f t="shared" si="88"/>
        <v>8.5215469993933896E-2</v>
      </c>
      <c r="CY35">
        <f t="shared" si="89"/>
        <v>5.1156401167619471E-2</v>
      </c>
      <c r="CZ35">
        <f t="shared" si="90"/>
        <v>2.3323406596045367E-2</v>
      </c>
      <c r="DB35" s="1">
        <v>43646</v>
      </c>
      <c r="DC35">
        <f t="shared" si="9"/>
        <v>4.6883585898850458E-2</v>
      </c>
      <c r="DD35">
        <f t="shared" si="10"/>
        <v>7.9681696491768813E-3</v>
      </c>
      <c r="DE35">
        <f t="shared" si="11"/>
        <v>3.6235492582095359E-2</v>
      </c>
      <c r="DF35">
        <f t="shared" si="12"/>
        <v>1.61710841873832</v>
      </c>
      <c r="DG35">
        <f t="shared" si="13"/>
        <v>3.3434776086237419E-2</v>
      </c>
      <c r="DH35">
        <f t="shared" si="14"/>
        <v>7.4339620047864301</v>
      </c>
      <c r="DI35">
        <f t="shared" si="15"/>
        <v>9.3894843857231436</v>
      </c>
      <c r="DJ35">
        <f t="shared" si="16"/>
        <v>1.980262729617973E-2</v>
      </c>
      <c r="DK35">
        <f t="shared" si="17"/>
        <v>3.6331929247390204E-2</v>
      </c>
      <c r="DL35">
        <f t="shared" si="18"/>
        <v>1.6857117066422806E-2</v>
      </c>
      <c r="DM35">
        <f t="shared" si="19"/>
        <v>0.11689375147149943</v>
      </c>
      <c r="DN35">
        <f t="shared" si="20"/>
        <v>3.2467190137501413E-2</v>
      </c>
      <c r="DO35">
        <f t="shared" si="21"/>
        <v>7.1337746910418112</v>
      </c>
      <c r="DP35">
        <f t="shared" si="22"/>
        <v>4.8970932526971271</v>
      </c>
      <c r="DQ35">
        <f t="shared" si="23"/>
        <v>4.623010104116422</v>
      </c>
      <c r="DR35">
        <f t="shared" si="24"/>
        <v>4.3875115649044512</v>
      </c>
      <c r="DS35">
        <f t="shared" si="25"/>
        <v>7.654349357299782E-2</v>
      </c>
      <c r="DT35">
        <f t="shared" si="26"/>
        <v>3.1921566750255287E-2</v>
      </c>
      <c r="DU35">
        <f t="shared" si="27"/>
        <v>3.3678966432786304E-2</v>
      </c>
    </row>
    <row r="36" spans="1:125" x14ac:dyDescent="0.35">
      <c r="A36" s="1">
        <v>43373</v>
      </c>
      <c r="B36">
        <f>'Sorting Q'!C36/100</f>
        <v>4.4999999999999998E-2</v>
      </c>
      <c r="C36">
        <f>'Sorting Q'!D36/100</f>
        <v>3.0000000000000001E-3</v>
      </c>
      <c r="D36">
        <f>'Sorting Q'!E36/100</f>
        <v>3.6900000000000002E-2</v>
      </c>
      <c r="E36">
        <f>'Sorting Q'!F36</f>
        <v>4.1383000000000001</v>
      </c>
      <c r="F36">
        <f>'Sorting Q'!G36/100</f>
        <v>3.3000000000000002E-2</v>
      </c>
      <c r="G36">
        <f>'Sorting Q'!H36</f>
        <v>1793.15</v>
      </c>
      <c r="H36">
        <f>'Sorting Q'!I36</f>
        <v>12533.22</v>
      </c>
      <c r="I36">
        <f>'Sorting Q'!J36/100</f>
        <v>5.0000000000000001E-3</v>
      </c>
      <c r="J36">
        <f>'Sorting Q'!K36/100</f>
        <v>2.3E-2</v>
      </c>
      <c r="K36">
        <f>'Sorting Q'!L36/100</f>
        <v>2.7999999999999997E-2</v>
      </c>
      <c r="L36">
        <f>'Sorting Q'!M36/100</f>
        <v>0.114</v>
      </c>
      <c r="M36">
        <f>'Sorting Q'!N36/100</f>
        <v>3.3000000000000002E-2</v>
      </c>
      <c r="N36">
        <f>'Sorting Q'!O36</f>
        <v>1190.8800000000001</v>
      </c>
      <c r="O36">
        <f>'Sorting Q'!P36</f>
        <v>107.5</v>
      </c>
      <c r="P36">
        <f>'Sorting Q'!Q36</f>
        <v>100</v>
      </c>
      <c r="Q36">
        <f>'Sorting Q'!R36</f>
        <v>82.72</v>
      </c>
      <c r="R36">
        <f>'Sorting Q'!S36/100</f>
        <v>8.8951677833078127E-2</v>
      </c>
      <c r="S36">
        <f>'Sorting Q'!T36/100</f>
        <v>5.2487490683703397E-2</v>
      </c>
      <c r="T36">
        <f>'Sorting Q'!U36/100</f>
        <v>2.3597524214046928E-2</v>
      </c>
      <c r="V36" s="1">
        <v>43373</v>
      </c>
      <c r="W36">
        <f t="shared" si="5"/>
        <v>4.401688541677426E-2</v>
      </c>
      <c r="X36">
        <f t="shared" si="31"/>
        <v>2.9955089797983709E-3</v>
      </c>
      <c r="Y36">
        <f t="shared" si="32"/>
        <v>3.6235492582095359E-2</v>
      </c>
      <c r="Z36">
        <f t="shared" si="33"/>
        <v>1.6367222854611581</v>
      </c>
      <c r="AA36">
        <f t="shared" si="34"/>
        <v>3.2467190137501413E-2</v>
      </c>
      <c r="AB36">
        <f t="shared" si="35"/>
        <v>7.4922866511635835</v>
      </c>
      <c r="AC36">
        <f t="shared" si="36"/>
        <v>9.4362177828884395</v>
      </c>
      <c r="AD36">
        <f t="shared" si="37"/>
        <v>4.9875415110389679E-3</v>
      </c>
      <c r="AE36">
        <f t="shared" si="38"/>
        <v>2.2739486969489339E-2</v>
      </c>
      <c r="AF36">
        <f t="shared" si="39"/>
        <v>2.7615167032973391E-2</v>
      </c>
      <c r="AG36">
        <f t="shared" si="40"/>
        <v>0.10795714150509236</v>
      </c>
      <c r="AH36">
        <f t="shared" si="41"/>
        <v>3.2467190137501413E-2</v>
      </c>
      <c r="AI36">
        <f t="shared" si="42"/>
        <v>7.0832871714166759</v>
      </c>
      <c r="AJ36">
        <f t="shared" si="43"/>
        <v>4.6867501729805143</v>
      </c>
      <c r="AK36">
        <f t="shared" si="44"/>
        <v>4.6151205168412597</v>
      </c>
      <c r="AL36">
        <f t="shared" si="45"/>
        <v>4.4274778975777993</v>
      </c>
      <c r="AM36">
        <f t="shared" si="28"/>
        <v>8.5215469993933896E-2</v>
      </c>
      <c r="AN36">
        <f t="shared" si="29"/>
        <v>5.1156401167619471E-2</v>
      </c>
      <c r="AO36">
        <f t="shared" si="30"/>
        <v>2.3323406596045367E-2</v>
      </c>
      <c r="AQ36" s="1">
        <v>43738</v>
      </c>
      <c r="AR36">
        <f t="shared" si="6"/>
        <v>4.7837329414160058E-2</v>
      </c>
      <c r="AS36">
        <f t="shared" si="91"/>
        <v>1.4888612493750559E-2</v>
      </c>
      <c r="AT36">
        <f t="shared" si="92"/>
        <v>3.4014878587277621E-2</v>
      </c>
      <c r="AU36">
        <f t="shared" si="93"/>
        <v>1.63549544675339</v>
      </c>
      <c r="AV36">
        <f t="shared" si="46"/>
        <v>3.2467190137501413E-2</v>
      </c>
      <c r="AW36">
        <f t="shared" si="47"/>
        <v>7.422451402690025</v>
      </c>
      <c r="AX36">
        <f t="shared" si="48"/>
        <v>9.3743774485053688</v>
      </c>
      <c r="AY36">
        <f t="shared" si="49"/>
        <v>5.9820716775474689E-3</v>
      </c>
      <c r="AZ36">
        <f t="shared" si="50"/>
        <v>-2.2739486969489339E-2</v>
      </c>
      <c r="BA36">
        <f t="shared" si="51"/>
        <v>-5.9820716775474689E-3</v>
      </c>
      <c r="BB36">
        <f t="shared" si="52"/>
        <v>9.7126710730722821E-2</v>
      </c>
      <c r="BC36">
        <f t="shared" si="53"/>
        <v>2.9558802241544429E-2</v>
      </c>
      <c r="BD36">
        <f t="shared" si="54"/>
        <v>7.2517349782363159</v>
      </c>
      <c r="BE36">
        <f t="shared" si="55"/>
        <v>4.5432947822700038</v>
      </c>
      <c r="BF36">
        <f t="shared" si="56"/>
        <v>4.6200587984818418</v>
      </c>
      <c r="BG36">
        <f t="shared" si="57"/>
        <v>4.2128680644062078</v>
      </c>
      <c r="BH36">
        <f t="shared" si="58"/>
        <v>7.5221784626418639E-2</v>
      </c>
      <c r="BI36">
        <f t="shared" si="59"/>
        <v>2.5279103716431192E-4</v>
      </c>
      <c r="BJ36">
        <f t="shared" si="60"/>
        <v>3.4984938737037487E-2</v>
      </c>
      <c r="BL36" s="1">
        <v>43738</v>
      </c>
      <c r="BM36">
        <f t="shared" si="7"/>
        <v>4.5928931888399735E-2</v>
      </c>
      <c r="BN36">
        <f t="shared" si="94"/>
        <v>1.9980026626730579E-3</v>
      </c>
      <c r="BO36">
        <f t="shared" si="95"/>
        <v>3.6235492582095359E-2</v>
      </c>
      <c r="BP36">
        <f t="shared" si="96"/>
        <v>1.6257048848979723</v>
      </c>
      <c r="BQ36">
        <f t="shared" si="61"/>
        <v>3.3434776086237419E-2</v>
      </c>
      <c r="BR36">
        <f t="shared" si="62"/>
        <v>7.4052707138881146</v>
      </c>
      <c r="BS36">
        <f t="shared" si="63"/>
        <v>9.3548596757930547</v>
      </c>
      <c r="BT36">
        <f t="shared" si="64"/>
        <v>2.9955089797983709E-3</v>
      </c>
      <c r="BU36">
        <f t="shared" si="65"/>
        <v>-1.5873349156290163E-2</v>
      </c>
      <c r="BV36">
        <f t="shared" si="66"/>
        <v>-3.3434776086237419E-2</v>
      </c>
      <c r="BW36">
        <f t="shared" si="67"/>
        <v>9.5310179804324935E-2</v>
      </c>
      <c r="BX36">
        <f t="shared" si="68"/>
        <v>3.2467190137501413E-2</v>
      </c>
      <c r="BY36">
        <f t="shared" si="69"/>
        <v>7.1650142257724792</v>
      </c>
      <c r="BZ36">
        <f t="shared" si="70"/>
        <v>4.4612998155683892</v>
      </c>
      <c r="CA36">
        <f t="shared" si="71"/>
        <v>4.6170987568533652</v>
      </c>
      <c r="CB36">
        <f t="shared" si="72"/>
        <v>4.2397427649114574</v>
      </c>
      <c r="CC36">
        <f t="shared" si="73"/>
        <v>7.457370228975127E-2</v>
      </c>
      <c r="CD36">
        <f t="shared" si="74"/>
        <v>5.7657881098390339E-2</v>
      </c>
      <c r="CE36">
        <f t="shared" si="75"/>
        <v>3.1664374925452196E-2</v>
      </c>
      <c r="CG36" s="1">
        <v>43738</v>
      </c>
      <c r="CH36">
        <f t="shared" si="8"/>
        <v>4.6883585898850458E-2</v>
      </c>
      <c r="CI36">
        <f t="shared" si="97"/>
        <v>1.9980026626730579E-3</v>
      </c>
      <c r="CJ36">
        <f t="shared" si="98"/>
        <v>3.6235492582095359E-2</v>
      </c>
      <c r="CK36">
        <f t="shared" si="99"/>
        <v>1.6357876877568824</v>
      </c>
      <c r="CL36">
        <f t="shared" si="76"/>
        <v>3.2467190137501413E-2</v>
      </c>
      <c r="CM36">
        <f t="shared" si="77"/>
        <v>7.4334182824024051</v>
      </c>
      <c r="CN36">
        <f t="shared" si="78"/>
        <v>9.3525783768118274</v>
      </c>
      <c r="CO36">
        <f t="shared" si="79"/>
        <v>2.8587456851912472E-2</v>
      </c>
      <c r="CP36">
        <f t="shared" si="80"/>
        <v>1.980262729617973E-2</v>
      </c>
      <c r="CQ36">
        <f t="shared" si="81"/>
        <v>5.9820716775474689E-3</v>
      </c>
      <c r="CR36">
        <f t="shared" si="82"/>
        <v>9.6218857740542896E-2</v>
      </c>
      <c r="CS36">
        <f t="shared" si="83"/>
        <v>3.2467190137501413E-2</v>
      </c>
      <c r="CT36">
        <f t="shared" si="84"/>
        <v>7.1573382090848954</v>
      </c>
      <c r="CU36">
        <f t="shared" si="85"/>
        <v>4.5829245770407718</v>
      </c>
      <c r="CV36">
        <f t="shared" si="86"/>
        <v>4.60816569496789</v>
      </c>
      <c r="CW36">
        <f t="shared" si="87"/>
        <v>4.00369019395397</v>
      </c>
      <c r="CX36">
        <f t="shared" si="88"/>
        <v>8.0669186733722045E-2</v>
      </c>
      <c r="CY36">
        <f t="shared" si="89"/>
        <v>4.1246472643278707E-2</v>
      </c>
      <c r="CZ36">
        <f t="shared" si="90"/>
        <v>3.2307994352745104E-2</v>
      </c>
      <c r="DB36" s="1">
        <v>43738</v>
      </c>
      <c r="DC36">
        <f t="shared" si="9"/>
        <v>4.401688541677426E-2</v>
      </c>
      <c r="DD36">
        <f t="shared" si="10"/>
        <v>2.9955089797983709E-3</v>
      </c>
      <c r="DE36">
        <f t="shared" si="11"/>
        <v>3.6235492582095359E-2</v>
      </c>
      <c r="DF36">
        <f t="shared" si="12"/>
        <v>1.6367222854611581</v>
      </c>
      <c r="DG36">
        <f t="shared" si="13"/>
        <v>3.2467190137501413E-2</v>
      </c>
      <c r="DH36">
        <f t="shared" si="14"/>
        <v>7.4922866511635835</v>
      </c>
      <c r="DI36">
        <f t="shared" si="15"/>
        <v>9.4362177828884395</v>
      </c>
      <c r="DJ36">
        <f t="shared" si="16"/>
        <v>4.9875415110389679E-3</v>
      </c>
      <c r="DK36">
        <f t="shared" si="17"/>
        <v>2.2739486969489339E-2</v>
      </c>
      <c r="DL36">
        <f t="shared" si="18"/>
        <v>2.7615167032973391E-2</v>
      </c>
      <c r="DM36">
        <f t="shared" si="19"/>
        <v>0.10795714150509236</v>
      </c>
      <c r="DN36">
        <f t="shared" si="20"/>
        <v>3.2467190137501413E-2</v>
      </c>
      <c r="DO36">
        <f t="shared" si="21"/>
        <v>7.0832871714166759</v>
      </c>
      <c r="DP36">
        <f t="shared" si="22"/>
        <v>4.6867501729805143</v>
      </c>
      <c r="DQ36">
        <f t="shared" si="23"/>
        <v>4.6151205168412597</v>
      </c>
      <c r="DR36">
        <f t="shared" si="24"/>
        <v>4.4274778975777993</v>
      </c>
      <c r="DS36">
        <f t="shared" si="25"/>
        <v>8.5215469993933896E-2</v>
      </c>
      <c r="DT36">
        <f t="shared" si="26"/>
        <v>5.1156401167619471E-2</v>
      </c>
      <c r="DU36">
        <f t="shared" si="27"/>
        <v>2.3323406596045367E-2</v>
      </c>
    </row>
    <row r="37" spans="1:125" x14ac:dyDescent="0.35">
      <c r="A37" s="1">
        <v>43465</v>
      </c>
      <c r="B37">
        <f>'Sorting Q'!C37/100</f>
        <v>4.8000000000000001E-2</v>
      </c>
      <c r="C37">
        <f>'Sorting Q'!D37/100</f>
        <v>2E-3</v>
      </c>
      <c r="D37">
        <f>'Sorting Q'!E37/100</f>
        <v>3.6900000000000002E-2</v>
      </c>
      <c r="E37">
        <f>'Sorting Q'!F37</f>
        <v>4.1334999999999997</v>
      </c>
      <c r="F37">
        <f>'Sorting Q'!G37/100</f>
        <v>3.3000000000000002E-2</v>
      </c>
      <c r="G37">
        <f>'Sorting Q'!H37</f>
        <v>1690.58</v>
      </c>
      <c r="H37">
        <f>'Sorting Q'!I37</f>
        <v>11527.51</v>
      </c>
      <c r="I37">
        <f>'Sorting Q'!J37/100</f>
        <v>2.8999999999999998E-2</v>
      </c>
      <c r="J37">
        <f>'Sorting Q'!K37/100</f>
        <v>0.02</v>
      </c>
      <c r="K37">
        <f>'Sorting Q'!L37/100</f>
        <v>6.0000000000000001E-3</v>
      </c>
      <c r="L37">
        <f>'Sorting Q'!M37/100</f>
        <v>0.10099999999999999</v>
      </c>
      <c r="M37">
        <f>'Sorting Q'!N37/100</f>
        <v>3.3000000000000002E-2</v>
      </c>
      <c r="N37">
        <f>'Sorting Q'!O37</f>
        <v>1282.49</v>
      </c>
      <c r="O37">
        <f>'Sorting Q'!P37</f>
        <v>96.8</v>
      </c>
      <c r="P37">
        <f>'Sorting Q'!Q37</f>
        <v>99.3</v>
      </c>
      <c r="Q37">
        <f>'Sorting Q'!R37</f>
        <v>53.8</v>
      </c>
      <c r="R37">
        <f>'Sorting Q'!S37/100</f>
        <v>8.4012231617442978E-2</v>
      </c>
      <c r="S37">
        <f>'Sorting Q'!T37/100</f>
        <v>4.2108925236052697E-2</v>
      </c>
      <c r="T37">
        <f>'Sorting Q'!U37/100</f>
        <v>3.2835563843465421E-2</v>
      </c>
      <c r="V37" s="1">
        <v>43465</v>
      </c>
      <c r="W37">
        <f t="shared" si="5"/>
        <v>4.6883585898850458E-2</v>
      </c>
      <c r="X37">
        <f t="shared" si="31"/>
        <v>1.9980026626730579E-3</v>
      </c>
      <c r="Y37">
        <f t="shared" si="32"/>
        <v>3.6235492582095359E-2</v>
      </c>
      <c r="Z37">
        <f t="shared" si="33"/>
        <v>1.6357876877568824</v>
      </c>
      <c r="AA37">
        <f t="shared" si="34"/>
        <v>3.2467190137501413E-2</v>
      </c>
      <c r="AB37">
        <f t="shared" si="35"/>
        <v>7.4334182824024051</v>
      </c>
      <c r="AC37">
        <f t="shared" si="36"/>
        <v>9.3525783768118274</v>
      </c>
      <c r="AD37">
        <f t="shared" si="37"/>
        <v>2.8587456851912472E-2</v>
      </c>
      <c r="AE37">
        <f t="shared" si="38"/>
        <v>1.980262729617973E-2</v>
      </c>
      <c r="AF37">
        <f t="shared" si="39"/>
        <v>5.9820716775474689E-3</v>
      </c>
      <c r="AG37">
        <f t="shared" si="40"/>
        <v>9.6218857740542896E-2</v>
      </c>
      <c r="AH37">
        <f t="shared" si="41"/>
        <v>3.2467190137501413E-2</v>
      </c>
      <c r="AI37">
        <f t="shared" si="42"/>
        <v>7.1573382090848954</v>
      </c>
      <c r="AJ37">
        <f t="shared" si="43"/>
        <v>4.5829245770407718</v>
      </c>
      <c r="AK37">
        <f t="shared" si="44"/>
        <v>4.60816569496789</v>
      </c>
      <c r="AL37">
        <f t="shared" si="45"/>
        <v>4.00369019395397</v>
      </c>
      <c r="AM37">
        <f t="shared" si="28"/>
        <v>8.0669186733722045E-2</v>
      </c>
      <c r="AN37">
        <f t="shared" si="29"/>
        <v>4.1246472643278707E-2</v>
      </c>
      <c r="AO37">
        <f t="shared" si="30"/>
        <v>3.2307994352745104E-2</v>
      </c>
      <c r="AQ37" s="1">
        <v>43830</v>
      </c>
      <c r="AR37">
        <f t="shared" si="6"/>
        <v>4.401688541677426E-2</v>
      </c>
      <c r="AS37">
        <f t="shared" si="91"/>
        <v>1.0939940038334263E-2</v>
      </c>
      <c r="AT37">
        <f t="shared" si="92"/>
        <v>3.3241333779801936E-2</v>
      </c>
      <c r="AU37">
        <f t="shared" si="93"/>
        <v>1.6462904390304895</v>
      </c>
      <c r="AV37">
        <f t="shared" si="46"/>
        <v>3.2467190137501413E-2</v>
      </c>
      <c r="AW37">
        <f t="shared" si="47"/>
        <v>7.3682829023648182</v>
      </c>
      <c r="AX37">
        <f t="shared" si="48"/>
        <v>9.3240895045971115</v>
      </c>
      <c r="AY37">
        <f t="shared" si="49"/>
        <v>-1.5873349156290163E-2</v>
      </c>
      <c r="AZ37">
        <f t="shared" si="50"/>
        <v>-3.2467190137501413E-2</v>
      </c>
      <c r="BA37">
        <f t="shared" si="51"/>
        <v>-3.6331929247390204E-2</v>
      </c>
      <c r="BB37">
        <f t="shared" si="52"/>
        <v>0.14063112973974562</v>
      </c>
      <c r="BC37">
        <f t="shared" si="53"/>
        <v>2.9558802241544429E-2</v>
      </c>
      <c r="BD37">
        <f t="shared" si="54"/>
        <v>7.2953890155921144</v>
      </c>
      <c r="BE37">
        <f t="shared" si="55"/>
        <v>4.4426512564903167</v>
      </c>
      <c r="BF37">
        <f t="shared" si="56"/>
        <v>4.6170987568533652</v>
      </c>
      <c r="BG37">
        <f t="shared" si="57"/>
        <v>4.1235796874904356</v>
      </c>
      <c r="BH37">
        <f t="shared" si="58"/>
        <v>6.8359530003548177E-2</v>
      </c>
      <c r="BI37">
        <f t="shared" si="59"/>
        <v>3.6786442585857457E-3</v>
      </c>
      <c r="BJ37">
        <f t="shared" si="60"/>
        <v>1.7465988938568638E-2</v>
      </c>
      <c r="BL37" s="1">
        <v>43830</v>
      </c>
      <c r="BM37">
        <f t="shared" si="7"/>
        <v>4.7837329414160058E-2</v>
      </c>
      <c r="BN37">
        <f t="shared" si="94"/>
        <v>1.4888612493750559E-2</v>
      </c>
      <c r="BO37">
        <f t="shared" si="95"/>
        <v>3.4014878587277621E-2</v>
      </c>
      <c r="BP37">
        <f t="shared" si="96"/>
        <v>1.63549544675339</v>
      </c>
      <c r="BQ37">
        <f t="shared" si="61"/>
        <v>3.2467190137501413E-2</v>
      </c>
      <c r="BR37">
        <f t="shared" si="62"/>
        <v>7.422451402690025</v>
      </c>
      <c r="BS37">
        <f t="shared" si="63"/>
        <v>9.3743774485053688</v>
      </c>
      <c r="BT37">
        <f t="shared" si="64"/>
        <v>5.9820716775474689E-3</v>
      </c>
      <c r="BU37">
        <f t="shared" si="65"/>
        <v>-2.2739486969489339E-2</v>
      </c>
      <c r="BV37">
        <f t="shared" si="66"/>
        <v>-5.9820716775474689E-3</v>
      </c>
      <c r="BW37">
        <f t="shared" si="67"/>
        <v>9.7126710730722821E-2</v>
      </c>
      <c r="BX37">
        <f t="shared" si="68"/>
        <v>2.9558802241544429E-2</v>
      </c>
      <c r="BY37">
        <f t="shared" si="69"/>
        <v>7.2517349782363159</v>
      </c>
      <c r="BZ37">
        <f t="shared" si="70"/>
        <v>4.5432947822700038</v>
      </c>
      <c r="CA37">
        <f t="shared" si="71"/>
        <v>4.6200587984818418</v>
      </c>
      <c r="CB37">
        <f t="shared" si="72"/>
        <v>4.2128680644062078</v>
      </c>
      <c r="CC37">
        <f t="shared" si="73"/>
        <v>7.5221784626418639E-2</v>
      </c>
      <c r="CD37">
        <f t="shared" si="74"/>
        <v>2.5279103716431192E-4</v>
      </c>
      <c r="CE37">
        <f t="shared" si="75"/>
        <v>3.4984938737037487E-2</v>
      </c>
      <c r="CG37" s="1">
        <v>43830</v>
      </c>
      <c r="CH37">
        <f t="shared" si="8"/>
        <v>4.5928931888399735E-2</v>
      </c>
      <c r="CI37">
        <f t="shared" si="97"/>
        <v>1.9980026626730579E-3</v>
      </c>
      <c r="CJ37">
        <f t="shared" si="98"/>
        <v>3.6235492582095359E-2</v>
      </c>
      <c r="CK37">
        <f t="shared" si="99"/>
        <v>1.6257048848979723</v>
      </c>
      <c r="CL37">
        <f t="shared" si="76"/>
        <v>3.3434776086237419E-2</v>
      </c>
      <c r="CM37">
        <f t="shared" si="77"/>
        <v>7.4052707138881146</v>
      </c>
      <c r="CN37">
        <f t="shared" si="78"/>
        <v>9.3548596757930547</v>
      </c>
      <c r="CO37">
        <f t="shared" si="79"/>
        <v>2.9955089797983709E-3</v>
      </c>
      <c r="CP37">
        <f t="shared" si="80"/>
        <v>-1.5873349156290163E-2</v>
      </c>
      <c r="CQ37">
        <f t="shared" si="81"/>
        <v>-3.3434776086237419E-2</v>
      </c>
      <c r="CR37">
        <f t="shared" si="82"/>
        <v>9.5310179804324935E-2</v>
      </c>
      <c r="CS37">
        <f t="shared" si="83"/>
        <v>3.2467190137501413E-2</v>
      </c>
      <c r="CT37">
        <f t="shared" si="84"/>
        <v>7.1650142257724792</v>
      </c>
      <c r="CU37">
        <f t="shared" si="85"/>
        <v>4.4612998155683892</v>
      </c>
      <c r="CV37">
        <f t="shared" si="86"/>
        <v>4.6170987568533652</v>
      </c>
      <c r="CW37">
        <f t="shared" si="87"/>
        <v>4.2397427649114574</v>
      </c>
      <c r="CX37">
        <f t="shared" si="88"/>
        <v>7.457370228975127E-2</v>
      </c>
      <c r="CY37">
        <f t="shared" si="89"/>
        <v>5.7657881098390339E-2</v>
      </c>
      <c r="CZ37">
        <f t="shared" si="90"/>
        <v>3.1664374925452196E-2</v>
      </c>
      <c r="DB37" s="1">
        <v>43830</v>
      </c>
      <c r="DC37">
        <f t="shared" si="9"/>
        <v>4.6883585898850458E-2</v>
      </c>
      <c r="DD37">
        <f t="shared" si="10"/>
        <v>1.9980026626730579E-3</v>
      </c>
      <c r="DE37">
        <f t="shared" si="11"/>
        <v>3.6235492582095359E-2</v>
      </c>
      <c r="DF37">
        <f t="shared" si="12"/>
        <v>1.6357876877568824</v>
      </c>
      <c r="DG37">
        <f t="shared" si="13"/>
        <v>3.2467190137501413E-2</v>
      </c>
      <c r="DH37">
        <f t="shared" si="14"/>
        <v>7.4334182824024051</v>
      </c>
      <c r="DI37">
        <f t="shared" si="15"/>
        <v>9.3525783768118274</v>
      </c>
      <c r="DJ37">
        <f t="shared" si="16"/>
        <v>2.8587456851912472E-2</v>
      </c>
      <c r="DK37">
        <f t="shared" si="17"/>
        <v>1.980262729617973E-2</v>
      </c>
      <c r="DL37">
        <f t="shared" si="18"/>
        <v>5.9820716775474689E-3</v>
      </c>
      <c r="DM37">
        <f t="shared" si="19"/>
        <v>9.6218857740542896E-2</v>
      </c>
      <c r="DN37">
        <f t="shared" si="20"/>
        <v>3.2467190137501413E-2</v>
      </c>
      <c r="DO37">
        <f t="shared" si="21"/>
        <v>7.1573382090848954</v>
      </c>
      <c r="DP37">
        <f t="shared" si="22"/>
        <v>4.5829245770407718</v>
      </c>
      <c r="DQ37">
        <f t="shared" si="23"/>
        <v>4.60816569496789</v>
      </c>
      <c r="DR37">
        <f t="shared" si="24"/>
        <v>4.00369019395397</v>
      </c>
      <c r="DS37">
        <f t="shared" si="25"/>
        <v>8.0669186733722045E-2</v>
      </c>
      <c r="DT37">
        <f t="shared" si="26"/>
        <v>4.1246472643278707E-2</v>
      </c>
      <c r="DU37">
        <f t="shared" si="27"/>
        <v>3.2307994352745104E-2</v>
      </c>
    </row>
    <row r="38" spans="1:125" x14ac:dyDescent="0.35">
      <c r="A38" s="1">
        <v>43555</v>
      </c>
      <c r="B38">
        <f>'Sorting Q'!C38/100</f>
        <v>4.7E-2</v>
      </c>
      <c r="C38">
        <f>'Sorting Q'!D38/100</f>
        <v>2E-3</v>
      </c>
      <c r="D38">
        <f>'Sorting Q'!E38/100</f>
        <v>3.6900000000000002E-2</v>
      </c>
      <c r="E38">
        <f>'Sorting Q'!F38</f>
        <v>4.0819999999999999</v>
      </c>
      <c r="F38">
        <f>'Sorting Q'!G38/100</f>
        <v>3.4000000000000002E-2</v>
      </c>
      <c r="G38">
        <f>'Sorting Q'!H38</f>
        <v>1643.63</v>
      </c>
      <c r="H38">
        <f>'Sorting Q'!I38</f>
        <v>11553.84</v>
      </c>
      <c r="I38">
        <f>'Sorting Q'!J38/100</f>
        <v>3.0000000000000001E-3</v>
      </c>
      <c r="J38">
        <f>'Sorting Q'!K38/100</f>
        <v>-1.6E-2</v>
      </c>
      <c r="K38">
        <f>'Sorting Q'!L38/100</f>
        <v>-3.4000000000000002E-2</v>
      </c>
      <c r="L38">
        <f>'Sorting Q'!M38/100</f>
        <v>0.1</v>
      </c>
      <c r="M38">
        <f>'Sorting Q'!N38/100</f>
        <v>3.3000000000000002E-2</v>
      </c>
      <c r="N38">
        <f>'Sorting Q'!O38</f>
        <v>1292.3800000000001</v>
      </c>
      <c r="O38">
        <f>'Sorting Q'!P38</f>
        <v>85.6</v>
      </c>
      <c r="P38">
        <f>'Sorting Q'!Q38</f>
        <v>100.2</v>
      </c>
      <c r="Q38">
        <f>'Sorting Q'!R38</f>
        <v>68.39</v>
      </c>
      <c r="R38">
        <f>'Sorting Q'!S38/100</f>
        <v>7.7424749267082094E-2</v>
      </c>
      <c r="S38">
        <f>'Sorting Q'!T38/100</f>
        <v>5.9352509190216507E-2</v>
      </c>
      <c r="T38">
        <f>'Sorting Q'!U38/100</f>
        <v>3.217102468747246E-2</v>
      </c>
      <c r="V38" s="1">
        <v>43555</v>
      </c>
      <c r="W38">
        <f t="shared" si="5"/>
        <v>4.5928931888399735E-2</v>
      </c>
      <c r="X38">
        <f t="shared" si="31"/>
        <v>1.9980026626730579E-3</v>
      </c>
      <c r="Y38">
        <f t="shared" si="32"/>
        <v>3.6235492582095359E-2</v>
      </c>
      <c r="Z38">
        <f t="shared" si="33"/>
        <v>1.6257048848979723</v>
      </c>
      <c r="AA38">
        <f t="shared" si="34"/>
        <v>3.3434776086237419E-2</v>
      </c>
      <c r="AB38">
        <f t="shared" si="35"/>
        <v>7.4052707138881146</v>
      </c>
      <c r="AC38">
        <f t="shared" si="36"/>
        <v>9.3548596757930547</v>
      </c>
      <c r="AD38">
        <f t="shared" si="37"/>
        <v>2.9955089797983709E-3</v>
      </c>
      <c r="AE38">
        <f t="shared" si="38"/>
        <v>-1.5873349156290163E-2</v>
      </c>
      <c r="AF38">
        <f t="shared" si="39"/>
        <v>-3.3434776086237419E-2</v>
      </c>
      <c r="AG38">
        <f t="shared" si="40"/>
        <v>9.5310179804324935E-2</v>
      </c>
      <c r="AH38">
        <f t="shared" si="41"/>
        <v>3.2467190137501413E-2</v>
      </c>
      <c r="AI38">
        <f t="shared" si="42"/>
        <v>7.1650142257724792</v>
      </c>
      <c r="AJ38">
        <f t="shared" si="43"/>
        <v>4.4612998155683892</v>
      </c>
      <c r="AK38">
        <f t="shared" si="44"/>
        <v>4.6170987568533652</v>
      </c>
      <c r="AL38">
        <f t="shared" si="45"/>
        <v>4.2397427649114574</v>
      </c>
      <c r="AM38">
        <f t="shared" si="28"/>
        <v>7.457370228975127E-2</v>
      </c>
      <c r="AN38">
        <f t="shared" si="29"/>
        <v>5.7657881098390339E-2</v>
      </c>
      <c r="AO38">
        <f t="shared" si="30"/>
        <v>3.1664374925452196E-2</v>
      </c>
      <c r="AQ38" s="1">
        <v>43921</v>
      </c>
      <c r="AR38">
        <f t="shared" si="6"/>
        <v>3.5367143837291344E-2</v>
      </c>
      <c r="AS38">
        <f t="shared" si="91"/>
        <v>9.950330853168092E-3</v>
      </c>
      <c r="AT38">
        <f t="shared" si="92"/>
        <v>3.2951100139685982E-2</v>
      </c>
      <c r="AU38">
        <f t="shared" si="93"/>
        <v>1.6274742749201989</v>
      </c>
      <c r="AV38">
        <f t="shared" si="46"/>
        <v>3.2467190137501413E-2</v>
      </c>
      <c r="AW38">
        <f t="shared" si="47"/>
        <v>7.3713383404249502</v>
      </c>
      <c r="AX38">
        <f t="shared" si="48"/>
        <v>9.3347229162246315</v>
      </c>
      <c r="AY38">
        <f t="shared" si="49"/>
        <v>-3.2467190137501413E-2</v>
      </c>
      <c r="AZ38">
        <f t="shared" si="50"/>
        <v>-2.2739486969489339E-2</v>
      </c>
      <c r="BA38">
        <f t="shared" si="51"/>
        <v>-6.9756137364251382E-3</v>
      </c>
      <c r="BB38">
        <f t="shared" si="52"/>
        <v>0.13714983814723367</v>
      </c>
      <c r="BC38">
        <f t="shared" si="53"/>
        <v>2.9558802241544429E-2</v>
      </c>
      <c r="BD38">
        <f t="shared" si="54"/>
        <v>7.3253268077520106</v>
      </c>
      <c r="BE38" t="e">
        <f t="shared" si="55"/>
        <v>#N/A</v>
      </c>
      <c r="BF38">
        <f t="shared" si="56"/>
        <v>4.6308379327366689</v>
      </c>
      <c r="BG38">
        <f t="shared" si="57"/>
        <v>4.2046926193909657</v>
      </c>
      <c r="BH38">
        <f t="shared" si="58"/>
        <v>7.8321824498012838E-2</v>
      </c>
      <c r="BI38">
        <f t="shared" si="59"/>
        <v>5.7475708717599217E-3</v>
      </c>
      <c r="BJ38">
        <f t="shared" si="60"/>
        <v>1.2987881815096608E-2</v>
      </c>
      <c r="BL38" s="1">
        <v>43921</v>
      </c>
      <c r="BM38">
        <f t="shared" si="7"/>
        <v>4.401688541677426E-2</v>
      </c>
      <c r="BN38">
        <f t="shared" si="94"/>
        <v>1.0939940038334263E-2</v>
      </c>
      <c r="BO38">
        <f t="shared" si="95"/>
        <v>3.3241333779801936E-2</v>
      </c>
      <c r="BP38">
        <f t="shared" si="96"/>
        <v>1.6462904390304895</v>
      </c>
      <c r="BQ38">
        <f t="shared" si="61"/>
        <v>3.2467190137501413E-2</v>
      </c>
      <c r="BR38">
        <f t="shared" si="62"/>
        <v>7.3682829023648182</v>
      </c>
      <c r="BS38">
        <f t="shared" si="63"/>
        <v>9.3240895045971115</v>
      </c>
      <c r="BT38">
        <f t="shared" si="64"/>
        <v>-1.5873349156290163E-2</v>
      </c>
      <c r="BU38">
        <f t="shared" si="65"/>
        <v>-3.2467190137501413E-2</v>
      </c>
      <c r="BV38">
        <f t="shared" si="66"/>
        <v>-3.6331929247390204E-2</v>
      </c>
      <c r="BW38">
        <f t="shared" si="67"/>
        <v>0.14063112973974562</v>
      </c>
      <c r="BX38">
        <f t="shared" si="68"/>
        <v>2.9558802241544429E-2</v>
      </c>
      <c r="BY38">
        <f t="shared" si="69"/>
        <v>7.2953890155921144</v>
      </c>
      <c r="BZ38">
        <f t="shared" si="70"/>
        <v>4.4426512564903167</v>
      </c>
      <c r="CA38">
        <f t="shared" si="71"/>
        <v>4.6170987568533652</v>
      </c>
      <c r="CB38">
        <f t="shared" si="72"/>
        <v>4.1235796874904356</v>
      </c>
      <c r="CC38">
        <f t="shared" si="73"/>
        <v>6.8359530003548177E-2</v>
      </c>
      <c r="CD38">
        <f t="shared" si="74"/>
        <v>3.6786442585857457E-3</v>
      </c>
      <c r="CE38">
        <f t="shared" si="75"/>
        <v>1.7465988938568638E-2</v>
      </c>
      <c r="CG38" s="1">
        <v>43921</v>
      </c>
      <c r="CH38">
        <f t="shared" si="8"/>
        <v>4.7837329414160058E-2</v>
      </c>
      <c r="CI38">
        <f t="shared" si="97"/>
        <v>1.4888612493750559E-2</v>
      </c>
      <c r="CJ38">
        <f t="shared" si="98"/>
        <v>3.4014878587277621E-2</v>
      </c>
      <c r="CK38">
        <f t="shared" si="99"/>
        <v>1.63549544675339</v>
      </c>
      <c r="CL38">
        <f t="shared" si="76"/>
        <v>3.2467190137501413E-2</v>
      </c>
      <c r="CM38">
        <f t="shared" si="77"/>
        <v>7.422451402690025</v>
      </c>
      <c r="CN38">
        <f t="shared" si="78"/>
        <v>9.3743774485053688</v>
      </c>
      <c r="CO38">
        <f t="shared" si="79"/>
        <v>5.9820716775474689E-3</v>
      </c>
      <c r="CP38">
        <f t="shared" si="80"/>
        <v>-2.2739486969489339E-2</v>
      </c>
      <c r="CQ38">
        <f t="shared" si="81"/>
        <v>-5.9820716775474689E-3</v>
      </c>
      <c r="CR38">
        <f t="shared" si="82"/>
        <v>9.7126710730722821E-2</v>
      </c>
      <c r="CS38">
        <f t="shared" si="83"/>
        <v>2.9558802241544429E-2</v>
      </c>
      <c r="CT38">
        <f t="shared" si="84"/>
        <v>7.2517349782363159</v>
      </c>
      <c r="CU38">
        <f t="shared" si="85"/>
        <v>4.5432947822700038</v>
      </c>
      <c r="CV38">
        <f t="shared" si="86"/>
        <v>4.6200587984818418</v>
      </c>
      <c r="CW38">
        <f t="shared" si="87"/>
        <v>4.2128680644062078</v>
      </c>
      <c r="CX38">
        <f t="shared" si="88"/>
        <v>7.5221784626418639E-2</v>
      </c>
      <c r="CY38">
        <f t="shared" si="89"/>
        <v>2.5279103716431192E-4</v>
      </c>
      <c r="CZ38">
        <f t="shared" si="90"/>
        <v>3.4984938737037487E-2</v>
      </c>
      <c r="DB38" s="1">
        <v>43921</v>
      </c>
      <c r="DC38">
        <f t="shared" si="9"/>
        <v>4.5928931888399735E-2</v>
      </c>
      <c r="DD38">
        <f t="shared" si="10"/>
        <v>1.9980026626730579E-3</v>
      </c>
      <c r="DE38">
        <f t="shared" si="11"/>
        <v>3.6235492582095359E-2</v>
      </c>
      <c r="DF38">
        <f t="shared" si="12"/>
        <v>1.6257048848979723</v>
      </c>
      <c r="DG38">
        <f t="shared" si="13"/>
        <v>3.3434776086237419E-2</v>
      </c>
      <c r="DH38">
        <f t="shared" si="14"/>
        <v>7.4052707138881146</v>
      </c>
      <c r="DI38">
        <f t="shared" si="15"/>
        <v>9.3548596757930547</v>
      </c>
      <c r="DJ38">
        <f t="shared" si="16"/>
        <v>2.9955089797983709E-3</v>
      </c>
      <c r="DK38">
        <f t="shared" si="17"/>
        <v>-1.5873349156290163E-2</v>
      </c>
      <c r="DL38">
        <f t="shared" si="18"/>
        <v>-3.3434776086237419E-2</v>
      </c>
      <c r="DM38">
        <f t="shared" si="19"/>
        <v>9.5310179804324935E-2</v>
      </c>
      <c r="DN38">
        <f t="shared" si="20"/>
        <v>3.2467190137501413E-2</v>
      </c>
      <c r="DO38">
        <f t="shared" si="21"/>
        <v>7.1650142257724792</v>
      </c>
      <c r="DP38">
        <f t="shared" si="22"/>
        <v>4.4612998155683892</v>
      </c>
      <c r="DQ38">
        <f t="shared" si="23"/>
        <v>4.6170987568533652</v>
      </c>
      <c r="DR38">
        <f t="shared" si="24"/>
        <v>4.2397427649114574</v>
      </c>
      <c r="DS38">
        <f t="shared" si="25"/>
        <v>7.457370228975127E-2</v>
      </c>
      <c r="DT38">
        <f t="shared" si="26"/>
        <v>5.7657881098390339E-2</v>
      </c>
      <c r="DU38">
        <f t="shared" si="27"/>
        <v>3.1664374925452196E-2</v>
      </c>
    </row>
    <row r="39" spans="1:125" x14ac:dyDescent="0.35">
      <c r="A39" s="1">
        <v>43646</v>
      </c>
      <c r="B39">
        <f>'Sorting Q'!C39/100</f>
        <v>4.9000000000000002E-2</v>
      </c>
      <c r="C39">
        <f>'Sorting Q'!D39/100</f>
        <v>1.4999999999999999E-2</v>
      </c>
      <c r="D39">
        <f>'Sorting Q'!E39/100</f>
        <v>3.4599999999999999E-2</v>
      </c>
      <c r="E39">
        <f>'Sorting Q'!F39</f>
        <v>4.1319999999999997</v>
      </c>
      <c r="F39">
        <f>'Sorting Q'!G39/100</f>
        <v>3.3000000000000002E-2</v>
      </c>
      <c r="G39">
        <f>'Sorting Q'!H39</f>
        <v>1672.13</v>
      </c>
      <c r="H39">
        <f>'Sorting Q'!I39</f>
        <v>11781.58</v>
      </c>
      <c r="I39">
        <f>'Sorting Q'!J39/100</f>
        <v>6.0000000000000001E-3</v>
      </c>
      <c r="J39">
        <f>'Sorting Q'!K39/100</f>
        <v>-2.3E-2</v>
      </c>
      <c r="K39">
        <f>'Sorting Q'!L39/100</f>
        <v>-6.0000000000000001E-3</v>
      </c>
      <c r="L39">
        <f>'Sorting Q'!M39/100</f>
        <v>0.10199999999999999</v>
      </c>
      <c r="M39">
        <f>'Sorting Q'!N39/100</f>
        <v>0.03</v>
      </c>
      <c r="N39">
        <f>'Sorting Q'!O39</f>
        <v>1409.55</v>
      </c>
      <c r="O39">
        <f>'Sorting Q'!P39</f>
        <v>93</v>
      </c>
      <c r="P39">
        <f>'Sorting Q'!Q39</f>
        <v>100.5</v>
      </c>
      <c r="Q39">
        <f>'Sorting Q'!R39</f>
        <v>66.55</v>
      </c>
      <c r="R39">
        <f>'Sorting Q'!S39/100</f>
        <v>7.8123235530027424E-2</v>
      </c>
      <c r="S39">
        <f>'Sorting Q'!T39/100</f>
        <v>2.5282299151108134E-4</v>
      </c>
      <c r="T39">
        <f>'Sorting Q'!U39/100</f>
        <v>3.5604111176320119E-2</v>
      </c>
      <c r="V39" s="1">
        <v>43646</v>
      </c>
      <c r="W39">
        <f t="shared" si="5"/>
        <v>4.7837329414160058E-2</v>
      </c>
      <c r="X39">
        <f t="shared" si="31"/>
        <v>1.4888612493750559E-2</v>
      </c>
      <c r="Y39">
        <f t="shared" si="32"/>
        <v>3.4014878587277621E-2</v>
      </c>
      <c r="Z39">
        <f t="shared" si="33"/>
        <v>1.63549544675339</v>
      </c>
      <c r="AA39">
        <f t="shared" si="34"/>
        <v>3.2467190137501413E-2</v>
      </c>
      <c r="AB39">
        <f t="shared" si="35"/>
        <v>7.422451402690025</v>
      </c>
      <c r="AC39">
        <f t="shared" si="36"/>
        <v>9.3743774485053688</v>
      </c>
      <c r="AD39">
        <f t="shared" si="37"/>
        <v>5.9820716775474689E-3</v>
      </c>
      <c r="AE39">
        <f t="shared" si="38"/>
        <v>-2.2739486969489339E-2</v>
      </c>
      <c r="AF39">
        <f t="shared" si="39"/>
        <v>-5.9820716775474689E-3</v>
      </c>
      <c r="AG39">
        <f t="shared" si="40"/>
        <v>9.7126710730722821E-2</v>
      </c>
      <c r="AH39">
        <f t="shared" si="41"/>
        <v>2.9558802241544429E-2</v>
      </c>
      <c r="AI39">
        <f t="shared" si="42"/>
        <v>7.2517349782363159</v>
      </c>
      <c r="AJ39">
        <f t="shared" si="43"/>
        <v>4.5432947822700038</v>
      </c>
      <c r="AK39">
        <f t="shared" si="44"/>
        <v>4.6200587984818418</v>
      </c>
      <c r="AL39">
        <f t="shared" si="45"/>
        <v>4.2128680644062078</v>
      </c>
      <c r="AM39">
        <f t="shared" si="28"/>
        <v>7.5221784626418639E-2</v>
      </c>
      <c r="AN39">
        <f t="shared" si="29"/>
        <v>2.5279103716431192E-4</v>
      </c>
      <c r="AO39">
        <f t="shared" si="30"/>
        <v>3.4984938737037487E-2</v>
      </c>
      <c r="AQ39" s="1">
        <v>44012</v>
      </c>
      <c r="AR39">
        <f t="shared" si="6"/>
        <v>6.9756137364251382E-3</v>
      </c>
      <c r="AS39">
        <f t="shared" si="91"/>
        <v>-1.9980026626730579E-3</v>
      </c>
      <c r="AT39">
        <f t="shared" si="92"/>
        <v>2.7615167032973391E-2</v>
      </c>
      <c r="AU39">
        <f t="shared" si="93"/>
        <v>1.6716988418276135</v>
      </c>
      <c r="AV39">
        <f t="shared" si="46"/>
        <v>3.8258712117090268E-2</v>
      </c>
      <c r="AW39">
        <f t="shared" si="47"/>
        <v>7.2092588923461829</v>
      </c>
      <c r="AX39">
        <f t="shared" si="48"/>
        <v>9.131384823131274</v>
      </c>
      <c r="AY39">
        <f t="shared" si="49"/>
        <v>-6.7658648473814864E-2</v>
      </c>
      <c r="AZ39">
        <f t="shared" si="50"/>
        <v>-1.8821754240587667E-2</v>
      </c>
      <c r="BA39">
        <f t="shared" si="51"/>
        <v>-4.3059489460447013E-2</v>
      </c>
      <c r="BB39">
        <f t="shared" si="52"/>
        <v>0.13190507087993861</v>
      </c>
      <c r="BC39">
        <f t="shared" si="53"/>
        <v>2.4692612590371414E-2</v>
      </c>
      <c r="BD39">
        <f t="shared" si="54"/>
        <v>7.3640275633415744</v>
      </c>
      <c r="BE39" t="e">
        <f t="shared" si="55"/>
        <v>#N/A</v>
      </c>
      <c r="BF39">
        <f t="shared" si="56"/>
        <v>4.5798523780038014</v>
      </c>
      <c r="BG39">
        <f t="shared" si="57"/>
        <v>3.1671613891815218</v>
      </c>
      <c r="BH39">
        <f t="shared" si="58"/>
        <v>6.6239525405513755E-2</v>
      </c>
      <c r="BI39">
        <f t="shared" si="59"/>
        <v>4.9214566882504043E-2</v>
      </c>
      <c r="BJ39">
        <f t="shared" si="60"/>
        <v>3.6817731483894237E-3</v>
      </c>
      <c r="BL39" s="1">
        <v>44012</v>
      </c>
      <c r="BM39">
        <f t="shared" si="7"/>
        <v>3.5367143837291344E-2</v>
      </c>
      <c r="BN39">
        <f t="shared" si="94"/>
        <v>9.950330853168092E-3</v>
      </c>
      <c r="BO39">
        <f t="shared" si="95"/>
        <v>3.2951100139685982E-2</v>
      </c>
      <c r="BP39">
        <f t="shared" si="96"/>
        <v>1.6274742749201989</v>
      </c>
      <c r="BQ39">
        <f t="shared" si="61"/>
        <v>3.2467190137501413E-2</v>
      </c>
      <c r="BR39">
        <f t="shared" si="62"/>
        <v>7.3713383404249502</v>
      </c>
      <c r="BS39">
        <f t="shared" si="63"/>
        <v>9.3347229162246315</v>
      </c>
      <c r="BT39">
        <f t="shared" si="64"/>
        <v>-3.2467190137501413E-2</v>
      </c>
      <c r="BU39">
        <f t="shared" si="65"/>
        <v>-2.2739486969489339E-2</v>
      </c>
      <c r="BV39">
        <f t="shared" si="66"/>
        <v>-6.9756137364251382E-3</v>
      </c>
      <c r="BW39">
        <f t="shared" si="67"/>
        <v>0.13714983814723367</v>
      </c>
      <c r="BX39">
        <f t="shared" si="68"/>
        <v>2.9558802241544429E-2</v>
      </c>
      <c r="BY39">
        <f t="shared" si="69"/>
        <v>7.3253268077520106</v>
      </c>
      <c r="BZ39" t="e">
        <f t="shared" si="70"/>
        <v>#N/A</v>
      </c>
      <c r="CA39">
        <f t="shared" si="71"/>
        <v>4.6308379327366689</v>
      </c>
      <c r="CB39">
        <f t="shared" si="72"/>
        <v>4.2046926193909657</v>
      </c>
      <c r="CC39">
        <f t="shared" si="73"/>
        <v>7.8321824498012838E-2</v>
      </c>
      <c r="CD39">
        <f t="shared" si="74"/>
        <v>5.7475708717599217E-3</v>
      </c>
      <c r="CE39">
        <f t="shared" si="75"/>
        <v>1.2987881815096608E-2</v>
      </c>
      <c r="CG39" s="1">
        <v>44012</v>
      </c>
      <c r="CH39">
        <f t="shared" si="8"/>
        <v>4.401688541677426E-2</v>
      </c>
      <c r="CI39">
        <f t="shared" si="97"/>
        <v>1.0939940038334263E-2</v>
      </c>
      <c r="CJ39">
        <f t="shared" si="98"/>
        <v>3.3241333779801936E-2</v>
      </c>
      <c r="CK39">
        <f t="shared" si="99"/>
        <v>1.6462904390304895</v>
      </c>
      <c r="CL39">
        <f t="shared" si="76"/>
        <v>3.2467190137501413E-2</v>
      </c>
      <c r="CM39">
        <f t="shared" si="77"/>
        <v>7.3682829023648182</v>
      </c>
      <c r="CN39">
        <f t="shared" si="78"/>
        <v>9.3240895045971115</v>
      </c>
      <c r="CO39">
        <f t="shared" si="79"/>
        <v>-1.5873349156290163E-2</v>
      </c>
      <c r="CP39">
        <f t="shared" si="80"/>
        <v>-3.2467190137501413E-2</v>
      </c>
      <c r="CQ39">
        <f t="shared" si="81"/>
        <v>-3.6331929247390204E-2</v>
      </c>
      <c r="CR39">
        <f t="shared" si="82"/>
        <v>0.14063112973974562</v>
      </c>
      <c r="CS39">
        <f t="shared" si="83"/>
        <v>2.9558802241544429E-2</v>
      </c>
      <c r="CT39">
        <f t="shared" si="84"/>
        <v>7.2953890155921144</v>
      </c>
      <c r="CU39">
        <f t="shared" si="85"/>
        <v>4.4426512564903167</v>
      </c>
      <c r="CV39">
        <f t="shared" si="86"/>
        <v>4.6170987568533652</v>
      </c>
      <c r="CW39">
        <f t="shared" si="87"/>
        <v>4.1235796874904356</v>
      </c>
      <c r="CX39">
        <f t="shared" si="88"/>
        <v>6.8359530003548177E-2</v>
      </c>
      <c r="CY39">
        <f t="shared" si="89"/>
        <v>3.6786442585857457E-3</v>
      </c>
      <c r="CZ39">
        <f t="shared" si="90"/>
        <v>1.7465988938568638E-2</v>
      </c>
      <c r="DB39" s="1">
        <v>44012</v>
      </c>
      <c r="DC39">
        <f t="shared" si="9"/>
        <v>4.7837329414160058E-2</v>
      </c>
      <c r="DD39">
        <f t="shared" si="10"/>
        <v>1.4888612493750559E-2</v>
      </c>
      <c r="DE39">
        <f t="shared" si="11"/>
        <v>3.4014878587277621E-2</v>
      </c>
      <c r="DF39">
        <f t="shared" si="12"/>
        <v>1.63549544675339</v>
      </c>
      <c r="DG39">
        <f t="shared" si="13"/>
        <v>3.2467190137501413E-2</v>
      </c>
      <c r="DH39">
        <f t="shared" si="14"/>
        <v>7.422451402690025</v>
      </c>
      <c r="DI39">
        <f t="shared" si="15"/>
        <v>9.3743774485053688</v>
      </c>
      <c r="DJ39">
        <f t="shared" si="16"/>
        <v>5.9820716775474689E-3</v>
      </c>
      <c r="DK39">
        <f t="shared" si="17"/>
        <v>-2.2739486969489339E-2</v>
      </c>
      <c r="DL39">
        <f t="shared" si="18"/>
        <v>-5.9820716775474689E-3</v>
      </c>
      <c r="DM39">
        <f t="shared" si="19"/>
        <v>9.7126710730722821E-2</v>
      </c>
      <c r="DN39">
        <f t="shared" si="20"/>
        <v>2.9558802241544429E-2</v>
      </c>
      <c r="DO39">
        <f t="shared" si="21"/>
        <v>7.2517349782363159</v>
      </c>
      <c r="DP39">
        <f t="shared" si="22"/>
        <v>4.5432947822700038</v>
      </c>
      <c r="DQ39">
        <f t="shared" si="23"/>
        <v>4.6200587984818418</v>
      </c>
      <c r="DR39">
        <f t="shared" si="24"/>
        <v>4.2128680644062078</v>
      </c>
      <c r="DS39">
        <f t="shared" si="25"/>
        <v>7.5221784626418639E-2</v>
      </c>
      <c r="DT39">
        <f t="shared" si="26"/>
        <v>2.5279103716431192E-4</v>
      </c>
      <c r="DU39">
        <f t="shared" si="27"/>
        <v>3.4984938737037487E-2</v>
      </c>
    </row>
    <row r="40" spans="1:125" x14ac:dyDescent="0.35">
      <c r="A40" s="1">
        <v>43738</v>
      </c>
      <c r="B40">
        <f>'Sorting Q'!C40/100</f>
        <v>4.4999999999999998E-2</v>
      </c>
      <c r="C40">
        <f>'Sorting Q'!D40/100</f>
        <v>1.1000000000000001E-2</v>
      </c>
      <c r="D40">
        <f>'Sorting Q'!E40/100</f>
        <v>3.3799999999999997E-2</v>
      </c>
      <c r="E40">
        <f>'Sorting Q'!F40</f>
        <v>4.1877000000000004</v>
      </c>
      <c r="F40">
        <f>'Sorting Q'!G40/100</f>
        <v>3.3000000000000002E-2</v>
      </c>
      <c r="G40">
        <f>'Sorting Q'!H40</f>
        <v>1583.91</v>
      </c>
      <c r="H40">
        <f>'Sorting Q'!I40</f>
        <v>11203.71</v>
      </c>
      <c r="I40">
        <f>'Sorting Q'!J40/100</f>
        <v>-1.6E-2</v>
      </c>
      <c r="J40">
        <f>'Sorting Q'!K40/100</f>
        <v>-3.3000000000000002E-2</v>
      </c>
      <c r="K40">
        <f>'Sorting Q'!L40/100</f>
        <v>-3.7000000000000005E-2</v>
      </c>
      <c r="L40">
        <f>'Sorting Q'!M40/100</f>
        <v>0.151</v>
      </c>
      <c r="M40">
        <f>'Sorting Q'!N40/100</f>
        <v>0.03</v>
      </c>
      <c r="N40">
        <f>'Sorting Q'!O40</f>
        <v>1472.49</v>
      </c>
      <c r="O40">
        <f>'Sorting Q'!P40</f>
        <v>84</v>
      </c>
      <c r="P40">
        <f>'Sorting Q'!Q40</f>
        <v>100.2</v>
      </c>
      <c r="Q40">
        <f>'Sorting Q'!R40</f>
        <v>60.78</v>
      </c>
      <c r="R40">
        <f>'Sorting Q'!S40/100</f>
        <v>7.0750206108906699E-2</v>
      </c>
      <c r="S40">
        <f>'Sorting Q'!T40/100</f>
        <v>3.685418774840965E-3</v>
      </c>
      <c r="T40">
        <f>'Sorting Q'!U40/100</f>
        <v>1.7619411245878736E-2</v>
      </c>
      <c r="V40" s="1">
        <v>43738</v>
      </c>
      <c r="W40">
        <f t="shared" si="5"/>
        <v>4.401688541677426E-2</v>
      </c>
      <c r="X40">
        <f t="shared" si="31"/>
        <v>1.0939940038334263E-2</v>
      </c>
      <c r="Y40">
        <f t="shared" si="32"/>
        <v>3.3241333779801936E-2</v>
      </c>
      <c r="Z40">
        <f t="shared" si="33"/>
        <v>1.6462904390304895</v>
      </c>
      <c r="AA40">
        <f t="shared" si="34"/>
        <v>3.2467190137501413E-2</v>
      </c>
      <c r="AB40">
        <f t="shared" si="35"/>
        <v>7.3682829023648182</v>
      </c>
      <c r="AC40">
        <f t="shared" si="36"/>
        <v>9.3240895045971115</v>
      </c>
      <c r="AD40">
        <f t="shared" si="37"/>
        <v>-1.5873349156290163E-2</v>
      </c>
      <c r="AE40">
        <f t="shared" si="38"/>
        <v>-3.2467190137501413E-2</v>
      </c>
      <c r="AF40">
        <f t="shared" si="39"/>
        <v>-3.6331929247390204E-2</v>
      </c>
      <c r="AG40">
        <f t="shared" si="40"/>
        <v>0.14063112973974562</v>
      </c>
      <c r="AH40">
        <f t="shared" si="41"/>
        <v>2.9558802241544429E-2</v>
      </c>
      <c r="AI40">
        <f t="shared" si="42"/>
        <v>7.2953890155921144</v>
      </c>
      <c r="AJ40">
        <f t="shared" si="43"/>
        <v>4.4426512564903167</v>
      </c>
      <c r="AK40">
        <f t="shared" si="44"/>
        <v>4.6170987568533652</v>
      </c>
      <c r="AL40">
        <f t="shared" si="45"/>
        <v>4.1235796874904356</v>
      </c>
      <c r="AM40">
        <f t="shared" si="28"/>
        <v>6.8359530003548177E-2</v>
      </c>
      <c r="AN40">
        <f t="shared" si="29"/>
        <v>3.6786442585857457E-3</v>
      </c>
      <c r="AO40">
        <f t="shared" si="30"/>
        <v>1.7465988938568638E-2</v>
      </c>
      <c r="AQ40" s="1">
        <v>44104</v>
      </c>
      <c r="AR40">
        <f t="shared" si="6"/>
        <v>-0.15785808461558032</v>
      </c>
      <c r="AS40">
        <f t="shared" si="91"/>
        <v>-1.8821754240587667E-2</v>
      </c>
      <c r="AT40">
        <f t="shared" si="92"/>
        <v>2.2543964434894436E-2</v>
      </c>
      <c r="AU40">
        <f t="shared" si="93"/>
        <v>1.6651185682606575</v>
      </c>
      <c r="AV40">
        <f t="shared" si="46"/>
        <v>4.7837329414160058E-2</v>
      </c>
      <c r="AW40">
        <f t="shared" si="47"/>
        <v>7.3145328587557685</v>
      </c>
      <c r="AX40">
        <f t="shared" si="48"/>
        <v>9.2641635634736161</v>
      </c>
      <c r="AY40">
        <f t="shared" si="49"/>
        <v>-0.19474407679251185</v>
      </c>
      <c r="AZ40">
        <f t="shared" si="50"/>
        <v>-0.16974277458709455</v>
      </c>
      <c r="BA40">
        <f t="shared" si="51"/>
        <v>-0.25464221837358075</v>
      </c>
      <c r="BB40">
        <f t="shared" si="52"/>
        <v>0.11689375147149943</v>
      </c>
      <c r="BC40">
        <f t="shared" si="53"/>
        <v>1.980262729617973E-2</v>
      </c>
      <c r="BD40">
        <f t="shared" si="54"/>
        <v>7.4854691610897106</v>
      </c>
      <c r="BE40" t="e">
        <f t="shared" si="55"/>
        <v>#N/A</v>
      </c>
      <c r="BF40">
        <f t="shared" si="56"/>
        <v>4.6690835117317437</v>
      </c>
      <c r="BG40">
        <f t="shared" si="57"/>
        <v>3.7412346844478646</v>
      </c>
      <c r="BH40">
        <f t="shared" si="58"/>
        <v>-0.1688654174024187</v>
      </c>
      <c r="BI40">
        <f t="shared" si="59"/>
        <v>2.3524415360299956E-2</v>
      </c>
      <c r="BJ40">
        <f t="shared" si="60"/>
        <v>-0.16182768141018405</v>
      </c>
      <c r="BL40" s="1">
        <v>44104</v>
      </c>
      <c r="BM40">
        <f t="shared" si="7"/>
        <v>6.9756137364251382E-3</v>
      </c>
      <c r="BN40">
        <f t="shared" si="94"/>
        <v>-1.9980026626730579E-3</v>
      </c>
      <c r="BO40">
        <f t="shared" si="95"/>
        <v>2.7615167032973391E-2</v>
      </c>
      <c r="BP40">
        <f t="shared" si="96"/>
        <v>1.6716988418276135</v>
      </c>
      <c r="BQ40">
        <f t="shared" si="61"/>
        <v>3.8258712117090268E-2</v>
      </c>
      <c r="BR40">
        <f t="shared" si="62"/>
        <v>7.2092588923461829</v>
      </c>
      <c r="BS40">
        <f t="shared" si="63"/>
        <v>9.131384823131274</v>
      </c>
      <c r="BT40">
        <f t="shared" si="64"/>
        <v>-6.7658648473814864E-2</v>
      </c>
      <c r="BU40">
        <f t="shared" si="65"/>
        <v>-1.8821754240587667E-2</v>
      </c>
      <c r="BV40">
        <f t="shared" si="66"/>
        <v>-4.3059489460447013E-2</v>
      </c>
      <c r="BW40">
        <f t="shared" si="67"/>
        <v>0.13190507087993861</v>
      </c>
      <c r="BX40">
        <f t="shared" si="68"/>
        <v>2.4692612590371414E-2</v>
      </c>
      <c r="BY40">
        <f t="shared" si="69"/>
        <v>7.3640275633415744</v>
      </c>
      <c r="BZ40" t="e">
        <f t="shared" si="70"/>
        <v>#N/A</v>
      </c>
      <c r="CA40">
        <f t="shared" si="71"/>
        <v>4.5798523780038014</v>
      </c>
      <c r="CB40">
        <f t="shared" si="72"/>
        <v>3.1671613891815218</v>
      </c>
      <c r="CC40">
        <f t="shared" si="73"/>
        <v>6.6239525405513755E-2</v>
      </c>
      <c r="CD40">
        <f t="shared" si="74"/>
        <v>4.9214566882504043E-2</v>
      </c>
      <c r="CE40">
        <f t="shared" si="75"/>
        <v>3.6817731483894237E-3</v>
      </c>
      <c r="CG40" s="1">
        <v>44104</v>
      </c>
      <c r="CH40">
        <f t="shared" si="8"/>
        <v>3.5367143837291344E-2</v>
      </c>
      <c r="CI40">
        <f t="shared" si="97"/>
        <v>9.950330853168092E-3</v>
      </c>
      <c r="CJ40">
        <f t="shared" si="98"/>
        <v>3.2951100139685982E-2</v>
      </c>
      <c r="CK40">
        <f t="shared" si="99"/>
        <v>1.6274742749201989</v>
      </c>
      <c r="CL40">
        <f t="shared" si="76"/>
        <v>3.2467190137501413E-2</v>
      </c>
      <c r="CM40">
        <f t="shared" si="77"/>
        <v>7.3713383404249502</v>
      </c>
      <c r="CN40">
        <f t="shared" si="78"/>
        <v>9.3347229162246315</v>
      </c>
      <c r="CO40">
        <f t="shared" si="79"/>
        <v>-3.2467190137501413E-2</v>
      </c>
      <c r="CP40">
        <f t="shared" si="80"/>
        <v>-2.2739486969489339E-2</v>
      </c>
      <c r="CQ40">
        <f t="shared" si="81"/>
        <v>-6.9756137364251382E-3</v>
      </c>
      <c r="CR40">
        <f t="shared" si="82"/>
        <v>0.13714983814723367</v>
      </c>
      <c r="CS40">
        <f t="shared" si="83"/>
        <v>2.9558802241544429E-2</v>
      </c>
      <c r="CT40">
        <f t="shared" si="84"/>
        <v>7.3253268077520106</v>
      </c>
      <c r="CU40" t="e">
        <f t="shared" si="85"/>
        <v>#N/A</v>
      </c>
      <c r="CV40">
        <f t="shared" si="86"/>
        <v>4.6308379327366689</v>
      </c>
      <c r="CW40">
        <f t="shared" si="87"/>
        <v>4.2046926193909657</v>
      </c>
      <c r="CX40">
        <f t="shared" si="88"/>
        <v>7.8321824498012838E-2</v>
      </c>
      <c r="CY40">
        <f t="shared" si="89"/>
        <v>5.7475708717599217E-3</v>
      </c>
      <c r="CZ40">
        <f t="shared" si="90"/>
        <v>1.2987881815096608E-2</v>
      </c>
      <c r="DB40" s="1">
        <v>44104</v>
      </c>
      <c r="DC40">
        <f t="shared" si="9"/>
        <v>4.401688541677426E-2</v>
      </c>
      <c r="DD40">
        <f t="shared" si="10"/>
        <v>1.0939940038334263E-2</v>
      </c>
      <c r="DE40">
        <f t="shared" si="11"/>
        <v>3.3241333779801936E-2</v>
      </c>
      <c r="DF40">
        <f t="shared" si="12"/>
        <v>1.6462904390304895</v>
      </c>
      <c r="DG40">
        <f t="shared" si="13"/>
        <v>3.2467190137501413E-2</v>
      </c>
      <c r="DH40">
        <f t="shared" si="14"/>
        <v>7.3682829023648182</v>
      </c>
      <c r="DI40">
        <f t="shared" si="15"/>
        <v>9.3240895045971115</v>
      </c>
      <c r="DJ40">
        <f t="shared" si="16"/>
        <v>-1.5873349156290163E-2</v>
      </c>
      <c r="DK40">
        <f t="shared" si="17"/>
        <v>-3.2467190137501413E-2</v>
      </c>
      <c r="DL40">
        <f t="shared" si="18"/>
        <v>-3.6331929247390204E-2</v>
      </c>
      <c r="DM40">
        <f t="shared" si="19"/>
        <v>0.14063112973974562</v>
      </c>
      <c r="DN40">
        <f t="shared" si="20"/>
        <v>2.9558802241544429E-2</v>
      </c>
      <c r="DO40">
        <f t="shared" si="21"/>
        <v>7.2953890155921144</v>
      </c>
      <c r="DP40">
        <f t="shared" si="22"/>
        <v>4.4426512564903167</v>
      </c>
      <c r="DQ40">
        <f t="shared" si="23"/>
        <v>4.6170987568533652</v>
      </c>
      <c r="DR40">
        <f t="shared" si="24"/>
        <v>4.1235796874904356</v>
      </c>
      <c r="DS40">
        <f t="shared" si="25"/>
        <v>6.8359530003548177E-2</v>
      </c>
      <c r="DT40">
        <f t="shared" si="26"/>
        <v>3.6786442585857457E-3</v>
      </c>
      <c r="DU40">
        <f t="shared" si="27"/>
        <v>1.7465988938568638E-2</v>
      </c>
    </row>
    <row r="41" spans="1:125" x14ac:dyDescent="0.35">
      <c r="A41" s="1">
        <v>43830</v>
      </c>
      <c r="B41">
        <f>'Sorting Q'!C41/100</f>
        <v>3.6000000000000004E-2</v>
      </c>
      <c r="C41">
        <f>'Sorting Q'!D41/100</f>
        <v>0.01</v>
      </c>
      <c r="D41">
        <f>'Sorting Q'!E41/100</f>
        <v>3.3500000000000002E-2</v>
      </c>
      <c r="E41">
        <f>'Sorting Q'!F41</f>
        <v>4.0910000000000002</v>
      </c>
      <c r="F41">
        <f>'Sorting Q'!G41/100</f>
        <v>3.3000000000000002E-2</v>
      </c>
      <c r="G41">
        <f>'Sorting Q'!H41</f>
        <v>1588.76</v>
      </c>
      <c r="H41">
        <f>'Sorting Q'!I41</f>
        <v>11323.49</v>
      </c>
      <c r="I41">
        <f>'Sorting Q'!J41/100</f>
        <v>-3.3000000000000002E-2</v>
      </c>
      <c r="J41">
        <f>'Sorting Q'!K41/100</f>
        <v>-2.3E-2</v>
      </c>
      <c r="K41">
        <f>'Sorting Q'!L41/100</f>
        <v>-6.9999999999999993E-3</v>
      </c>
      <c r="L41">
        <f>'Sorting Q'!M41/100</f>
        <v>0.14699999999999999</v>
      </c>
      <c r="M41">
        <f>'Sorting Q'!N41/100</f>
        <v>0.03</v>
      </c>
      <c r="N41">
        <f>'Sorting Q'!O41</f>
        <v>1517.27</v>
      </c>
      <c r="O41" t="e">
        <f>'Sorting Q'!P41</f>
        <v>#N/A</v>
      </c>
      <c r="P41">
        <f>'Sorting Q'!Q41</f>
        <v>101.6</v>
      </c>
      <c r="Q41">
        <f>'Sorting Q'!R41</f>
        <v>66</v>
      </c>
      <c r="R41">
        <f>'Sorting Q'!S41/100</f>
        <v>8.1470646419487883E-2</v>
      </c>
      <c r="S41">
        <f>'Sorting Q'!T41/100</f>
        <v>5.7641198475015809E-3</v>
      </c>
      <c r="T41">
        <f>'Sorting Q'!U41/100</f>
        <v>1.3072590684449326E-2</v>
      </c>
      <c r="V41" s="1">
        <v>43830</v>
      </c>
      <c r="W41">
        <f t="shared" si="5"/>
        <v>3.5367143837291344E-2</v>
      </c>
      <c r="X41">
        <f t="shared" si="31"/>
        <v>9.950330853168092E-3</v>
      </c>
      <c r="Y41">
        <f t="shared" si="32"/>
        <v>3.2951100139685982E-2</v>
      </c>
      <c r="Z41">
        <f t="shared" si="33"/>
        <v>1.6274742749201989</v>
      </c>
      <c r="AA41">
        <f t="shared" si="34"/>
        <v>3.2467190137501413E-2</v>
      </c>
      <c r="AB41">
        <f t="shared" si="35"/>
        <v>7.3713383404249502</v>
      </c>
      <c r="AC41">
        <f t="shared" si="36"/>
        <v>9.3347229162246315</v>
      </c>
      <c r="AD41">
        <f t="shared" si="37"/>
        <v>-3.2467190137501413E-2</v>
      </c>
      <c r="AE41">
        <f t="shared" si="38"/>
        <v>-2.2739486969489339E-2</v>
      </c>
      <c r="AF41">
        <f t="shared" si="39"/>
        <v>-6.9756137364251382E-3</v>
      </c>
      <c r="AG41">
        <f t="shared" si="40"/>
        <v>0.13714983814723367</v>
      </c>
      <c r="AH41">
        <f t="shared" si="41"/>
        <v>2.9558802241544429E-2</v>
      </c>
      <c r="AI41">
        <f t="shared" si="42"/>
        <v>7.3253268077520106</v>
      </c>
      <c r="AJ41" t="e">
        <f t="shared" si="43"/>
        <v>#N/A</v>
      </c>
      <c r="AK41">
        <f t="shared" si="44"/>
        <v>4.6308379327366689</v>
      </c>
      <c r="AL41">
        <f t="shared" si="45"/>
        <v>4.2046926193909657</v>
      </c>
      <c r="AM41">
        <f t="shared" si="28"/>
        <v>7.8321824498012838E-2</v>
      </c>
      <c r="AN41">
        <f t="shared" si="29"/>
        <v>5.7475708717599217E-3</v>
      </c>
      <c r="AO41">
        <f t="shared" si="30"/>
        <v>1.2987881815096608E-2</v>
      </c>
      <c r="AQ41" s="1">
        <v>44196</v>
      </c>
      <c r="AR41">
        <f t="shared" si="6"/>
        <v>-2.4692612590371414E-2</v>
      </c>
      <c r="AS41">
        <f t="shared" si="91"/>
        <v>-1.3902905168991434E-2</v>
      </c>
      <c r="AT41">
        <f t="shared" si="92"/>
        <v>1.9508466388043013E-2</v>
      </c>
      <c r="AU41">
        <f t="shared" si="93"/>
        <v>1.6402580547739867</v>
      </c>
      <c r="AV41">
        <f t="shared" si="46"/>
        <v>4.4973365642731196E-2</v>
      </c>
      <c r="AW41">
        <f t="shared" si="47"/>
        <v>7.317092879304175</v>
      </c>
      <c r="AX41">
        <f t="shared" si="48"/>
        <v>9.2903116924863323</v>
      </c>
      <c r="AY41">
        <f t="shared" si="49"/>
        <v>-4.1141943331175213E-2</v>
      </c>
      <c r="AZ41">
        <f t="shared" si="50"/>
        <v>-7.5107472486805479E-2</v>
      </c>
      <c r="BA41">
        <f t="shared" si="51"/>
        <v>-0.10795714150509236</v>
      </c>
      <c r="BB41">
        <f t="shared" si="52"/>
        <v>0.10616019582839072</v>
      </c>
      <c r="BC41">
        <f t="shared" si="53"/>
        <v>1.7839918128331016E-2</v>
      </c>
      <c r="BD41">
        <f t="shared" si="54"/>
        <v>7.5426481513115275</v>
      </c>
      <c r="BE41" t="e">
        <f t="shared" si="55"/>
        <v>#N/A</v>
      </c>
      <c r="BF41">
        <f t="shared" si="56"/>
        <v>4.7022968967188143</v>
      </c>
      <c r="BG41">
        <f t="shared" si="57"/>
        <v>3.7364784329132155</v>
      </c>
      <c r="BH41">
        <f t="shared" si="58"/>
        <v>-1.9198421809391141E-2</v>
      </c>
      <c r="BI41">
        <f t="shared" si="59"/>
        <v>6.573031293710134E-2</v>
      </c>
      <c r="BJ41">
        <f t="shared" si="60"/>
        <v>1.0573260363803358E-2</v>
      </c>
      <c r="BL41" s="1">
        <v>44196</v>
      </c>
      <c r="BM41">
        <f t="shared" si="7"/>
        <v>-0.15785808461558032</v>
      </c>
      <c r="BN41">
        <f t="shared" si="94"/>
        <v>-1.8821754240587667E-2</v>
      </c>
      <c r="BO41">
        <f t="shared" si="95"/>
        <v>2.2543964434894436E-2</v>
      </c>
      <c r="BP41">
        <f t="shared" si="96"/>
        <v>1.6651185682606575</v>
      </c>
      <c r="BQ41">
        <f t="shared" si="61"/>
        <v>4.7837329414160058E-2</v>
      </c>
      <c r="BR41">
        <f t="shared" si="62"/>
        <v>7.3145328587557685</v>
      </c>
      <c r="BS41">
        <f t="shared" si="63"/>
        <v>9.2641635634736161</v>
      </c>
      <c r="BT41">
        <f t="shared" si="64"/>
        <v>-0.19474407679251185</v>
      </c>
      <c r="BU41">
        <f t="shared" si="65"/>
        <v>-0.16974277458709455</v>
      </c>
      <c r="BV41">
        <f t="shared" si="66"/>
        <v>-0.25464221837358075</v>
      </c>
      <c r="BW41">
        <f t="shared" si="67"/>
        <v>0.11689375147149943</v>
      </c>
      <c r="BX41">
        <f t="shared" si="68"/>
        <v>1.980262729617973E-2</v>
      </c>
      <c r="BY41">
        <f t="shared" si="69"/>
        <v>7.4854691610897106</v>
      </c>
      <c r="BZ41" t="e">
        <f t="shared" si="70"/>
        <v>#N/A</v>
      </c>
      <c r="CA41">
        <f t="shared" si="71"/>
        <v>4.6690835117317437</v>
      </c>
      <c r="CB41">
        <f t="shared" si="72"/>
        <v>3.7412346844478646</v>
      </c>
      <c r="CC41">
        <f t="shared" si="73"/>
        <v>-0.1688654174024187</v>
      </c>
      <c r="CD41">
        <f t="shared" si="74"/>
        <v>2.3524415360299956E-2</v>
      </c>
      <c r="CE41">
        <f t="shared" si="75"/>
        <v>-0.16182768141018405</v>
      </c>
      <c r="CG41" s="1">
        <v>44196</v>
      </c>
      <c r="CH41">
        <f t="shared" si="8"/>
        <v>6.9756137364251382E-3</v>
      </c>
      <c r="CI41">
        <f t="shared" si="97"/>
        <v>-1.9980026626730579E-3</v>
      </c>
      <c r="CJ41">
        <f t="shared" si="98"/>
        <v>2.7615167032973391E-2</v>
      </c>
      <c r="CK41">
        <f t="shared" si="99"/>
        <v>1.6716988418276135</v>
      </c>
      <c r="CL41">
        <f t="shared" si="76"/>
        <v>3.8258712117090268E-2</v>
      </c>
      <c r="CM41">
        <f t="shared" si="77"/>
        <v>7.2092588923461829</v>
      </c>
      <c r="CN41">
        <f t="shared" si="78"/>
        <v>9.131384823131274</v>
      </c>
      <c r="CO41">
        <f t="shared" si="79"/>
        <v>-6.7658648473814864E-2</v>
      </c>
      <c r="CP41">
        <f t="shared" si="80"/>
        <v>-1.8821754240587667E-2</v>
      </c>
      <c r="CQ41">
        <f t="shared" si="81"/>
        <v>-4.3059489460447013E-2</v>
      </c>
      <c r="CR41">
        <f t="shared" si="82"/>
        <v>0.13190507087993861</v>
      </c>
      <c r="CS41">
        <f t="shared" si="83"/>
        <v>2.4692612590371414E-2</v>
      </c>
      <c r="CT41">
        <f t="shared" si="84"/>
        <v>7.3640275633415744</v>
      </c>
      <c r="CU41" t="e">
        <f t="shared" si="85"/>
        <v>#N/A</v>
      </c>
      <c r="CV41">
        <f t="shared" si="86"/>
        <v>4.5798523780038014</v>
      </c>
      <c r="CW41">
        <f t="shared" si="87"/>
        <v>3.1671613891815218</v>
      </c>
      <c r="CX41">
        <f t="shared" si="88"/>
        <v>6.6239525405513755E-2</v>
      </c>
      <c r="CY41">
        <f t="shared" si="89"/>
        <v>4.9214566882504043E-2</v>
      </c>
      <c r="CZ41">
        <f t="shared" si="90"/>
        <v>3.6817731483894237E-3</v>
      </c>
      <c r="DB41" s="1">
        <v>44196</v>
      </c>
      <c r="DC41">
        <f t="shared" si="9"/>
        <v>3.5367143837291344E-2</v>
      </c>
      <c r="DD41">
        <f t="shared" si="10"/>
        <v>9.950330853168092E-3</v>
      </c>
      <c r="DE41">
        <f t="shared" si="11"/>
        <v>3.2951100139685982E-2</v>
      </c>
      <c r="DF41">
        <f t="shared" si="12"/>
        <v>1.6274742749201989</v>
      </c>
      <c r="DG41">
        <f t="shared" si="13"/>
        <v>3.2467190137501413E-2</v>
      </c>
      <c r="DH41">
        <f t="shared" si="14"/>
        <v>7.3713383404249502</v>
      </c>
      <c r="DI41">
        <f t="shared" si="15"/>
        <v>9.3347229162246315</v>
      </c>
      <c r="DJ41">
        <f t="shared" si="16"/>
        <v>-3.2467190137501413E-2</v>
      </c>
      <c r="DK41">
        <f t="shared" si="17"/>
        <v>-2.2739486969489339E-2</v>
      </c>
      <c r="DL41">
        <f t="shared" si="18"/>
        <v>-6.9756137364251382E-3</v>
      </c>
      <c r="DM41">
        <f t="shared" si="19"/>
        <v>0.13714983814723367</v>
      </c>
      <c r="DN41">
        <f t="shared" si="20"/>
        <v>2.9558802241544429E-2</v>
      </c>
      <c r="DO41">
        <f t="shared" si="21"/>
        <v>7.3253268077520106</v>
      </c>
      <c r="DP41" t="e">
        <f t="shared" si="22"/>
        <v>#N/A</v>
      </c>
      <c r="DQ41">
        <f t="shared" si="23"/>
        <v>4.6308379327366689</v>
      </c>
      <c r="DR41">
        <f t="shared" si="24"/>
        <v>4.2046926193909657</v>
      </c>
      <c r="DS41">
        <f t="shared" si="25"/>
        <v>7.8321824498012838E-2</v>
      </c>
      <c r="DT41">
        <f t="shared" si="26"/>
        <v>5.7475708717599217E-3</v>
      </c>
      <c r="DU41">
        <f t="shared" si="27"/>
        <v>1.2987881815096608E-2</v>
      </c>
    </row>
    <row r="42" spans="1:125" x14ac:dyDescent="0.35">
      <c r="A42" s="1">
        <v>43921</v>
      </c>
      <c r="B42">
        <f>'Sorting Q'!C42/100</f>
        <v>6.9999999999999993E-3</v>
      </c>
      <c r="C42">
        <f>'Sorting Q'!D42/100</f>
        <v>-2E-3</v>
      </c>
      <c r="D42">
        <f>'Sorting Q'!E42/100</f>
        <v>2.7999999999999997E-2</v>
      </c>
      <c r="E42">
        <f>'Sorting Q'!F42</f>
        <v>4.3212000000000002</v>
      </c>
      <c r="F42">
        <f>'Sorting Q'!G42/100</f>
        <v>3.9E-2</v>
      </c>
      <c r="G42">
        <f>'Sorting Q'!H42</f>
        <v>1350.89</v>
      </c>
      <c r="H42">
        <f>'Sorting Q'!I42</f>
        <v>9239.81</v>
      </c>
      <c r="I42">
        <f>'Sorting Q'!J42/100</f>
        <v>-7.0000000000000007E-2</v>
      </c>
      <c r="J42">
        <f>'Sorting Q'!K42/100</f>
        <v>-1.9E-2</v>
      </c>
      <c r="K42">
        <f>'Sorting Q'!L42/100</f>
        <v>-4.4000000000000004E-2</v>
      </c>
      <c r="L42">
        <f>'Sorting Q'!M42/100</f>
        <v>0.14099999999999999</v>
      </c>
      <c r="M42">
        <f>'Sorting Q'!N42/100</f>
        <v>2.5000000000000001E-2</v>
      </c>
      <c r="N42">
        <f>'Sorting Q'!O42</f>
        <v>1577.18</v>
      </c>
      <c r="O42" t="e">
        <f>'Sorting Q'!P42</f>
        <v>#N/A</v>
      </c>
      <c r="P42">
        <f>'Sorting Q'!Q42</f>
        <v>96.5</v>
      </c>
      <c r="Q42">
        <f>'Sorting Q'!R42</f>
        <v>22.74</v>
      </c>
      <c r="R42">
        <f>'Sorting Q'!S42/100</f>
        <v>6.8482615249425782E-2</v>
      </c>
      <c r="S42">
        <f>'Sorting Q'!T42/100</f>
        <v>5.044571742387749E-2</v>
      </c>
      <c r="T42">
        <f>'Sorting Q'!U42/100</f>
        <v>3.6885592008268908E-3</v>
      </c>
      <c r="V42" s="1">
        <v>43921</v>
      </c>
      <c r="W42">
        <f t="shared" si="5"/>
        <v>6.9756137364251382E-3</v>
      </c>
      <c r="X42">
        <f t="shared" si="31"/>
        <v>-1.9980026626730579E-3</v>
      </c>
      <c r="Y42">
        <f t="shared" si="32"/>
        <v>2.7615167032973391E-2</v>
      </c>
      <c r="Z42">
        <f t="shared" si="33"/>
        <v>1.6716988418276135</v>
      </c>
      <c r="AA42">
        <f t="shared" si="34"/>
        <v>3.8258712117090268E-2</v>
      </c>
      <c r="AB42">
        <f t="shared" si="35"/>
        <v>7.2092588923461829</v>
      </c>
      <c r="AC42">
        <f t="shared" si="36"/>
        <v>9.131384823131274</v>
      </c>
      <c r="AD42">
        <f t="shared" si="37"/>
        <v>-6.7658648473814864E-2</v>
      </c>
      <c r="AE42">
        <f t="shared" si="38"/>
        <v>-1.8821754240587667E-2</v>
      </c>
      <c r="AF42">
        <f t="shared" si="39"/>
        <v>-4.3059489460447013E-2</v>
      </c>
      <c r="AG42">
        <f t="shared" si="40"/>
        <v>0.13190507087993861</v>
      </c>
      <c r="AH42">
        <f t="shared" si="41"/>
        <v>2.4692612590371414E-2</v>
      </c>
      <c r="AI42">
        <f t="shared" si="42"/>
        <v>7.3640275633415744</v>
      </c>
      <c r="AJ42" t="e">
        <f t="shared" si="43"/>
        <v>#N/A</v>
      </c>
      <c r="AK42">
        <f t="shared" si="44"/>
        <v>4.5798523780038014</v>
      </c>
      <c r="AL42">
        <f t="shared" si="45"/>
        <v>3.1671613891815218</v>
      </c>
      <c r="AM42">
        <f t="shared" si="28"/>
        <v>6.6239525405513755E-2</v>
      </c>
      <c r="AN42">
        <f t="shared" si="29"/>
        <v>4.9214566882504043E-2</v>
      </c>
      <c r="AO42">
        <f t="shared" si="30"/>
        <v>3.6817731483894237E-3</v>
      </c>
      <c r="AQ42" s="1">
        <v>44286</v>
      </c>
      <c r="AR42">
        <f t="shared" si="6"/>
        <v>-3.2467190137501413E-2</v>
      </c>
      <c r="AS42">
        <f t="shared" si="91"/>
        <v>-1.3902905168991434E-2</v>
      </c>
      <c r="AT42">
        <f t="shared" si="92"/>
        <v>1.9214218923804371E-2</v>
      </c>
      <c r="AU42">
        <f t="shared" si="93"/>
        <v>1.6134896928741982</v>
      </c>
      <c r="AV42">
        <f t="shared" si="46"/>
        <v>4.6883585898850458E-2</v>
      </c>
      <c r="AW42">
        <f t="shared" si="47"/>
        <v>7.3952365308726442</v>
      </c>
      <c r="AX42">
        <f t="shared" si="48"/>
        <v>9.3727083400798605</v>
      </c>
      <c r="AY42">
        <f t="shared" si="49"/>
        <v>-1.8821754240587667E-2</v>
      </c>
      <c r="AZ42">
        <f t="shared" si="50"/>
        <v>-3.3434776086237419E-2</v>
      </c>
      <c r="BA42">
        <f t="shared" si="51"/>
        <v>-0.11064652008706365</v>
      </c>
      <c r="BB42">
        <f t="shared" si="52"/>
        <v>0.15871169115482081</v>
      </c>
      <c r="BC42">
        <f t="shared" si="53"/>
        <v>1.7839918128331016E-2</v>
      </c>
      <c r="BD42">
        <f t="shared" si="54"/>
        <v>7.5492722663052234</v>
      </c>
      <c r="BE42" t="e">
        <f t="shared" si="55"/>
        <v>#N/A</v>
      </c>
      <c r="BF42">
        <f t="shared" si="56"/>
        <v>4.7022968967188143</v>
      </c>
      <c r="BG42">
        <f t="shared" si="57"/>
        <v>3.9665111907122159</v>
      </c>
      <c r="BH42">
        <f t="shared" si="58"/>
        <v>-3.2756910551648963E-2</v>
      </c>
      <c r="BI42">
        <f t="shared" si="59"/>
        <v>5.2774848825810301E-2</v>
      </c>
      <c r="BJ42">
        <f t="shared" si="60"/>
        <v>-2.1972072026854835E-3</v>
      </c>
      <c r="BL42" s="1">
        <v>44286</v>
      </c>
      <c r="BM42">
        <f t="shared" si="7"/>
        <v>-2.4692612590371414E-2</v>
      </c>
      <c r="BN42">
        <f t="shared" si="94"/>
        <v>-1.3902905168991434E-2</v>
      </c>
      <c r="BO42">
        <f t="shared" si="95"/>
        <v>1.9508466388043013E-2</v>
      </c>
      <c r="BP42">
        <f t="shared" si="96"/>
        <v>1.6402580547739867</v>
      </c>
      <c r="BQ42">
        <f t="shared" si="61"/>
        <v>4.4973365642731196E-2</v>
      </c>
      <c r="BR42">
        <f t="shared" si="62"/>
        <v>7.317092879304175</v>
      </c>
      <c r="BS42">
        <f t="shared" si="63"/>
        <v>9.2903116924863323</v>
      </c>
      <c r="BT42">
        <f t="shared" si="64"/>
        <v>-4.1141943331175213E-2</v>
      </c>
      <c r="BU42">
        <f t="shared" si="65"/>
        <v>-7.5107472486805479E-2</v>
      </c>
      <c r="BV42">
        <f t="shared" si="66"/>
        <v>-0.10795714150509236</v>
      </c>
      <c r="BW42">
        <f t="shared" si="67"/>
        <v>0.10616019582839072</v>
      </c>
      <c r="BX42">
        <f t="shared" si="68"/>
        <v>1.7839918128331016E-2</v>
      </c>
      <c r="BY42">
        <f t="shared" si="69"/>
        <v>7.5426481513115275</v>
      </c>
      <c r="BZ42" t="e">
        <f t="shared" si="70"/>
        <v>#N/A</v>
      </c>
      <c r="CA42">
        <f t="shared" si="71"/>
        <v>4.7022968967188143</v>
      </c>
      <c r="CB42">
        <f t="shared" si="72"/>
        <v>3.7364784329132155</v>
      </c>
      <c r="CC42">
        <f t="shared" si="73"/>
        <v>-1.9198421809391141E-2</v>
      </c>
      <c r="CD42">
        <f t="shared" si="74"/>
        <v>6.573031293710134E-2</v>
      </c>
      <c r="CE42">
        <f t="shared" si="75"/>
        <v>1.0573260363803358E-2</v>
      </c>
      <c r="CG42" s="1">
        <v>44286</v>
      </c>
      <c r="CH42">
        <f t="shared" si="8"/>
        <v>-0.15785808461558032</v>
      </c>
      <c r="CI42">
        <f t="shared" si="97"/>
        <v>-1.8821754240587667E-2</v>
      </c>
      <c r="CJ42">
        <f t="shared" si="98"/>
        <v>2.2543964434894436E-2</v>
      </c>
      <c r="CK42">
        <f t="shared" si="99"/>
        <v>1.6651185682606575</v>
      </c>
      <c r="CL42">
        <f t="shared" si="76"/>
        <v>4.7837329414160058E-2</v>
      </c>
      <c r="CM42">
        <f t="shared" si="77"/>
        <v>7.3145328587557685</v>
      </c>
      <c r="CN42">
        <f t="shared" si="78"/>
        <v>9.2641635634736161</v>
      </c>
      <c r="CO42">
        <f t="shared" si="79"/>
        <v>-0.19474407679251185</v>
      </c>
      <c r="CP42">
        <f t="shared" si="80"/>
        <v>-0.16974277458709455</v>
      </c>
      <c r="CQ42">
        <f t="shared" si="81"/>
        <v>-0.25464221837358075</v>
      </c>
      <c r="CR42">
        <f t="shared" si="82"/>
        <v>0.11689375147149943</v>
      </c>
      <c r="CS42">
        <f t="shared" si="83"/>
        <v>1.980262729617973E-2</v>
      </c>
      <c r="CT42">
        <f t="shared" si="84"/>
        <v>7.4854691610897106</v>
      </c>
      <c r="CU42" t="e">
        <f t="shared" si="85"/>
        <v>#N/A</v>
      </c>
      <c r="CV42">
        <f t="shared" si="86"/>
        <v>4.6690835117317437</v>
      </c>
      <c r="CW42">
        <f t="shared" si="87"/>
        <v>3.7412346844478646</v>
      </c>
      <c r="CX42">
        <f t="shared" si="88"/>
        <v>-0.1688654174024187</v>
      </c>
      <c r="CY42">
        <f t="shared" si="89"/>
        <v>2.3524415360299956E-2</v>
      </c>
      <c r="CZ42">
        <f t="shared" si="90"/>
        <v>-0.16182768141018405</v>
      </c>
      <c r="DB42" s="1">
        <v>44286</v>
      </c>
      <c r="DC42">
        <f t="shared" si="9"/>
        <v>6.9756137364251382E-3</v>
      </c>
      <c r="DD42">
        <f t="shared" si="10"/>
        <v>-1.9980026626730579E-3</v>
      </c>
      <c r="DE42">
        <f t="shared" si="11"/>
        <v>2.7615167032973391E-2</v>
      </c>
      <c r="DF42">
        <f t="shared" si="12"/>
        <v>1.6716988418276135</v>
      </c>
      <c r="DG42">
        <f t="shared" si="13"/>
        <v>3.8258712117090268E-2</v>
      </c>
      <c r="DH42">
        <f t="shared" si="14"/>
        <v>7.2092588923461829</v>
      </c>
      <c r="DI42">
        <f t="shared" si="15"/>
        <v>9.131384823131274</v>
      </c>
      <c r="DJ42">
        <f t="shared" si="16"/>
        <v>-6.7658648473814864E-2</v>
      </c>
      <c r="DK42">
        <f t="shared" si="17"/>
        <v>-1.8821754240587667E-2</v>
      </c>
      <c r="DL42">
        <f t="shared" si="18"/>
        <v>-4.3059489460447013E-2</v>
      </c>
      <c r="DM42">
        <f t="shared" si="19"/>
        <v>0.13190507087993861</v>
      </c>
      <c r="DN42">
        <f t="shared" si="20"/>
        <v>2.4692612590371414E-2</v>
      </c>
      <c r="DO42">
        <f t="shared" si="21"/>
        <v>7.3640275633415744</v>
      </c>
      <c r="DP42" t="e">
        <f t="shared" si="22"/>
        <v>#N/A</v>
      </c>
      <c r="DQ42">
        <f t="shared" si="23"/>
        <v>4.5798523780038014</v>
      </c>
      <c r="DR42">
        <f t="shared" si="24"/>
        <v>3.1671613891815218</v>
      </c>
      <c r="DS42">
        <f t="shared" si="25"/>
        <v>6.6239525405513755E-2</v>
      </c>
      <c r="DT42">
        <f t="shared" si="26"/>
        <v>4.9214566882504043E-2</v>
      </c>
      <c r="DU42">
        <f t="shared" si="27"/>
        <v>3.6817731483894237E-3</v>
      </c>
    </row>
    <row r="43" spans="1:125" x14ac:dyDescent="0.35">
      <c r="A43" s="1">
        <v>44012</v>
      </c>
      <c r="B43">
        <f>'Sorting Q'!C43/100</f>
        <v>-0.17100000000000001</v>
      </c>
      <c r="C43">
        <f>'Sorting Q'!D43/100</f>
        <v>-1.9E-2</v>
      </c>
      <c r="D43">
        <f>'Sorting Q'!E43/100</f>
        <v>2.2799999999999997E-2</v>
      </c>
      <c r="E43">
        <f>'Sorting Q'!F43</f>
        <v>4.2862999999999998</v>
      </c>
      <c r="F43">
        <f>'Sorting Q'!G43/100</f>
        <v>4.9000000000000002E-2</v>
      </c>
      <c r="G43">
        <f>'Sorting Q'!H43</f>
        <v>1500.97</v>
      </c>
      <c r="H43">
        <f>'Sorting Q'!I43</f>
        <v>10551.98</v>
      </c>
      <c r="I43">
        <f>'Sorting Q'!J43/100</f>
        <v>-0.215</v>
      </c>
      <c r="J43">
        <f>'Sorting Q'!K43/100</f>
        <v>-0.185</v>
      </c>
      <c r="K43">
        <f>'Sorting Q'!L43/100</f>
        <v>-0.28999999999999998</v>
      </c>
      <c r="L43">
        <f>'Sorting Q'!M43/100</f>
        <v>0.124</v>
      </c>
      <c r="M43">
        <f>'Sorting Q'!N43/100</f>
        <v>0.02</v>
      </c>
      <c r="N43">
        <f>'Sorting Q'!O43</f>
        <v>1780.96</v>
      </c>
      <c r="O43" t="e">
        <f>'Sorting Q'!P43</f>
        <v>#N/A</v>
      </c>
      <c r="P43">
        <f>'Sorting Q'!Q43</f>
        <v>105.6</v>
      </c>
      <c r="Q43">
        <f>'Sorting Q'!R43</f>
        <v>41.15</v>
      </c>
      <c r="R43">
        <f>'Sorting Q'!S43/100</f>
        <v>-0.18396078768301716</v>
      </c>
      <c r="S43">
        <f>'Sorting Q'!T43/100</f>
        <v>2.3803296967853882E-2</v>
      </c>
      <c r="T43">
        <f>'Sorting Q'!U43/100</f>
        <v>-0.17565763619921035</v>
      </c>
      <c r="V43" s="1">
        <v>44012</v>
      </c>
      <c r="W43">
        <f t="shared" si="5"/>
        <v>-0.15785808461558032</v>
      </c>
      <c r="X43">
        <f t="shared" si="31"/>
        <v>-1.8821754240587667E-2</v>
      </c>
      <c r="Y43">
        <f t="shared" si="32"/>
        <v>2.2543964434894436E-2</v>
      </c>
      <c r="Z43">
        <f t="shared" si="33"/>
        <v>1.6651185682606575</v>
      </c>
      <c r="AA43">
        <f t="shared" si="34"/>
        <v>4.7837329414160058E-2</v>
      </c>
      <c r="AB43">
        <f t="shared" si="35"/>
        <v>7.3145328587557685</v>
      </c>
      <c r="AC43">
        <f t="shared" si="36"/>
        <v>9.2641635634736161</v>
      </c>
      <c r="AD43">
        <f t="shared" si="37"/>
        <v>-0.19474407679251185</v>
      </c>
      <c r="AE43">
        <f t="shared" si="38"/>
        <v>-0.16974277458709455</v>
      </c>
      <c r="AF43">
        <f t="shared" si="39"/>
        <v>-0.25464221837358075</v>
      </c>
      <c r="AG43">
        <f t="shared" si="40"/>
        <v>0.11689375147149943</v>
      </c>
      <c r="AH43">
        <f t="shared" si="41"/>
        <v>1.980262729617973E-2</v>
      </c>
      <c r="AI43">
        <f t="shared" si="42"/>
        <v>7.4854691610897106</v>
      </c>
      <c r="AJ43" t="e">
        <f t="shared" si="43"/>
        <v>#N/A</v>
      </c>
      <c r="AK43">
        <f t="shared" si="44"/>
        <v>4.6690835117317437</v>
      </c>
      <c r="AL43">
        <f t="shared" si="45"/>
        <v>3.7412346844478646</v>
      </c>
      <c r="AM43">
        <f t="shared" si="28"/>
        <v>-0.1688654174024187</v>
      </c>
      <c r="AN43">
        <f t="shared" si="29"/>
        <v>2.3524415360299956E-2</v>
      </c>
      <c r="AO43">
        <f t="shared" si="30"/>
        <v>-0.16182768141018405</v>
      </c>
      <c r="AQ43" s="1">
        <v>44377</v>
      </c>
      <c r="AR43">
        <f t="shared" si="6"/>
        <v>-4.9875415110389679E-3</v>
      </c>
      <c r="AS43">
        <f t="shared" si="91"/>
        <v>1.6857117066422806E-2</v>
      </c>
      <c r="AT43">
        <f t="shared" si="92"/>
        <v>1.9214218923804371E-2</v>
      </c>
      <c r="AU43">
        <f t="shared" si="93"/>
        <v>1.6380253692860129</v>
      </c>
      <c r="AV43">
        <f t="shared" si="46"/>
        <v>4.5928931888399735E-2</v>
      </c>
      <c r="AW43">
        <f t="shared" si="47"/>
        <v>7.3616993917435209</v>
      </c>
      <c r="AX43">
        <f t="shared" si="48"/>
        <v>9.3601008575592797</v>
      </c>
      <c r="AY43">
        <f t="shared" si="49"/>
        <v>0.11064652008706365</v>
      </c>
      <c r="AZ43">
        <f t="shared" si="50"/>
        <v>0.11511280710050448</v>
      </c>
      <c r="BA43">
        <f t="shared" si="51"/>
        <v>-3.2467190137501413E-2</v>
      </c>
      <c r="BB43">
        <f t="shared" si="52"/>
        <v>0.10255658832509215</v>
      </c>
      <c r="BC43">
        <f t="shared" si="53"/>
        <v>1.7839918128331016E-2</v>
      </c>
      <c r="BD43">
        <f t="shared" si="54"/>
        <v>7.4434939788395136</v>
      </c>
      <c r="BE43" t="e">
        <f t="shared" si="55"/>
        <v>#N/A</v>
      </c>
      <c r="BF43">
        <f t="shared" si="56"/>
        <v>4.7361984483944957</v>
      </c>
      <c r="BG43">
        <f t="shared" si="57"/>
        <v>4.1672851866238156</v>
      </c>
      <c r="BH43">
        <f t="shared" si="58"/>
        <v>-1.4598226052534271E-2</v>
      </c>
      <c r="BI43">
        <f t="shared" si="59"/>
        <v>5.4582080692040749E-2</v>
      </c>
      <c r="BJ43">
        <f t="shared" si="60"/>
        <v>3.8401806189490455E-2</v>
      </c>
      <c r="BL43" s="1">
        <v>44377</v>
      </c>
      <c r="BM43">
        <f t="shared" si="7"/>
        <v>-3.2467190137501413E-2</v>
      </c>
      <c r="BN43">
        <f t="shared" si="94"/>
        <v>-1.3902905168991434E-2</v>
      </c>
      <c r="BO43">
        <f t="shared" si="95"/>
        <v>1.9214218923804371E-2</v>
      </c>
      <c r="BP43">
        <f t="shared" si="96"/>
        <v>1.6134896928741982</v>
      </c>
      <c r="BQ43">
        <f t="shared" si="61"/>
        <v>4.6883585898850458E-2</v>
      </c>
      <c r="BR43">
        <f t="shared" si="62"/>
        <v>7.3952365308726442</v>
      </c>
      <c r="BS43">
        <f t="shared" si="63"/>
        <v>9.3727083400798605</v>
      </c>
      <c r="BT43">
        <f t="shared" si="64"/>
        <v>-1.8821754240587667E-2</v>
      </c>
      <c r="BU43">
        <f t="shared" si="65"/>
        <v>-3.3434776086237419E-2</v>
      </c>
      <c r="BV43">
        <f t="shared" si="66"/>
        <v>-0.11064652008706365</v>
      </c>
      <c r="BW43">
        <f t="shared" si="67"/>
        <v>0.15871169115482081</v>
      </c>
      <c r="BX43">
        <f t="shared" si="68"/>
        <v>1.7839918128331016E-2</v>
      </c>
      <c r="BY43">
        <f t="shared" si="69"/>
        <v>7.5492722663052234</v>
      </c>
      <c r="BZ43" t="e">
        <f t="shared" si="70"/>
        <v>#N/A</v>
      </c>
      <c r="CA43">
        <f t="shared" si="71"/>
        <v>4.7022968967188143</v>
      </c>
      <c r="CB43">
        <f t="shared" si="72"/>
        <v>3.9665111907122159</v>
      </c>
      <c r="CC43">
        <f t="shared" si="73"/>
        <v>-3.2756910551648963E-2</v>
      </c>
      <c r="CD43">
        <f t="shared" si="74"/>
        <v>5.2774848825810301E-2</v>
      </c>
      <c r="CE43">
        <f t="shared" si="75"/>
        <v>-2.1972072026854835E-3</v>
      </c>
      <c r="CG43" s="1">
        <v>44377</v>
      </c>
      <c r="CH43">
        <f t="shared" si="8"/>
        <v>-2.4692612590371414E-2</v>
      </c>
      <c r="CI43">
        <f t="shared" si="97"/>
        <v>-1.3902905168991434E-2</v>
      </c>
      <c r="CJ43">
        <f t="shared" si="98"/>
        <v>1.9508466388043013E-2</v>
      </c>
      <c r="CK43">
        <f t="shared" si="99"/>
        <v>1.6402580547739867</v>
      </c>
      <c r="CL43">
        <f t="shared" si="76"/>
        <v>4.4973365642731196E-2</v>
      </c>
      <c r="CM43">
        <f t="shared" si="77"/>
        <v>7.317092879304175</v>
      </c>
      <c r="CN43">
        <f t="shared" si="78"/>
        <v>9.2903116924863323</v>
      </c>
      <c r="CO43">
        <f t="shared" si="79"/>
        <v>-4.1141943331175213E-2</v>
      </c>
      <c r="CP43">
        <f t="shared" si="80"/>
        <v>-7.5107472486805479E-2</v>
      </c>
      <c r="CQ43">
        <f t="shared" si="81"/>
        <v>-0.10795714150509236</v>
      </c>
      <c r="CR43">
        <f t="shared" si="82"/>
        <v>0.10616019582839072</v>
      </c>
      <c r="CS43">
        <f t="shared" si="83"/>
        <v>1.7839918128331016E-2</v>
      </c>
      <c r="CT43">
        <f t="shared" si="84"/>
        <v>7.5426481513115275</v>
      </c>
      <c r="CU43" t="e">
        <f t="shared" si="85"/>
        <v>#N/A</v>
      </c>
      <c r="CV43">
        <f t="shared" si="86"/>
        <v>4.7022968967188143</v>
      </c>
      <c r="CW43">
        <f t="shared" si="87"/>
        <v>3.7364784329132155</v>
      </c>
      <c r="CX43">
        <f t="shared" si="88"/>
        <v>-1.9198421809391141E-2</v>
      </c>
      <c r="CY43">
        <f t="shared" si="89"/>
        <v>6.573031293710134E-2</v>
      </c>
      <c r="CZ43">
        <f t="shared" si="90"/>
        <v>1.0573260363803358E-2</v>
      </c>
      <c r="DB43" s="1">
        <v>44377</v>
      </c>
      <c r="DC43">
        <f t="shared" si="9"/>
        <v>-0.15785808461558032</v>
      </c>
      <c r="DD43">
        <f t="shared" si="10"/>
        <v>-1.8821754240587667E-2</v>
      </c>
      <c r="DE43">
        <f t="shared" si="11"/>
        <v>2.2543964434894436E-2</v>
      </c>
      <c r="DF43">
        <f t="shared" si="12"/>
        <v>1.6651185682606575</v>
      </c>
      <c r="DG43">
        <f t="shared" si="13"/>
        <v>4.7837329414160058E-2</v>
      </c>
      <c r="DH43">
        <f t="shared" si="14"/>
        <v>7.3145328587557685</v>
      </c>
      <c r="DI43">
        <f t="shared" si="15"/>
        <v>9.2641635634736161</v>
      </c>
      <c r="DJ43">
        <f t="shared" si="16"/>
        <v>-0.19474407679251185</v>
      </c>
      <c r="DK43">
        <f t="shared" si="17"/>
        <v>-0.16974277458709455</v>
      </c>
      <c r="DL43">
        <f t="shared" si="18"/>
        <v>-0.25464221837358075</v>
      </c>
      <c r="DM43">
        <f t="shared" si="19"/>
        <v>0.11689375147149943</v>
      </c>
      <c r="DN43">
        <f t="shared" si="20"/>
        <v>1.980262729617973E-2</v>
      </c>
      <c r="DO43">
        <f t="shared" si="21"/>
        <v>7.4854691610897106</v>
      </c>
      <c r="DP43" t="e">
        <f t="shared" si="22"/>
        <v>#N/A</v>
      </c>
      <c r="DQ43">
        <f t="shared" si="23"/>
        <v>4.6690835117317437</v>
      </c>
      <c r="DR43">
        <f t="shared" si="24"/>
        <v>3.7412346844478646</v>
      </c>
      <c r="DS43">
        <f t="shared" si="25"/>
        <v>-0.1688654174024187</v>
      </c>
      <c r="DT43">
        <f t="shared" si="26"/>
        <v>2.3524415360299956E-2</v>
      </c>
      <c r="DU43">
        <f t="shared" si="27"/>
        <v>-0.16182768141018405</v>
      </c>
    </row>
    <row r="44" spans="1:125" x14ac:dyDescent="0.35">
      <c r="A44" s="1">
        <v>44104</v>
      </c>
      <c r="B44">
        <f>'Sorting Q'!C44/100</f>
        <v>-2.5000000000000001E-2</v>
      </c>
      <c r="C44">
        <f>'Sorting Q'!D44/100</f>
        <v>-1.3999999999999999E-2</v>
      </c>
      <c r="D44">
        <f>'Sorting Q'!E44/100</f>
        <v>1.9699999999999999E-2</v>
      </c>
      <c r="E44">
        <f>'Sorting Q'!F44</f>
        <v>4.1565000000000003</v>
      </c>
      <c r="F44">
        <f>'Sorting Q'!G44/100</f>
        <v>4.5999999999999999E-2</v>
      </c>
      <c r="G44">
        <f>'Sorting Q'!H44</f>
        <v>1504.82</v>
      </c>
      <c r="H44">
        <f>'Sorting Q'!I44</f>
        <v>10831.56</v>
      </c>
      <c r="I44">
        <f>'Sorting Q'!J44/100</f>
        <v>-4.2000000000000003E-2</v>
      </c>
      <c r="J44">
        <f>'Sorting Q'!K44/100</f>
        <v>-7.8E-2</v>
      </c>
      <c r="K44">
        <f>'Sorting Q'!L44/100</f>
        <v>-0.114</v>
      </c>
      <c r="L44">
        <f>'Sorting Q'!M44/100</f>
        <v>0.11199999999999999</v>
      </c>
      <c r="M44">
        <f>'Sorting Q'!N44/100</f>
        <v>1.8000000000000002E-2</v>
      </c>
      <c r="N44">
        <f>'Sorting Q'!O44</f>
        <v>1885.82</v>
      </c>
      <c r="O44" t="e">
        <f>'Sorting Q'!P44</f>
        <v>#N/A</v>
      </c>
      <c r="P44">
        <f>'Sorting Q'!Q44</f>
        <v>109.2</v>
      </c>
      <c r="Q44">
        <f>'Sorting Q'!R44</f>
        <v>40.950000000000003</v>
      </c>
      <c r="R44">
        <f>'Sorting Q'!S44/100</f>
        <v>-1.9383896548761603E-2</v>
      </c>
      <c r="S44">
        <f>'Sorting Q'!T44/100</f>
        <v>6.7938669083297487E-2</v>
      </c>
      <c r="T44">
        <f>'Sorting Q'!U44/100</f>
        <v>1.0629354807231373E-2</v>
      </c>
      <c r="V44" s="1">
        <v>44104</v>
      </c>
      <c r="W44">
        <f t="shared" si="5"/>
        <v>-2.4692612590371414E-2</v>
      </c>
      <c r="X44">
        <f t="shared" si="31"/>
        <v>-1.3902905168991434E-2</v>
      </c>
      <c r="Y44">
        <f t="shared" si="32"/>
        <v>1.9508466388043013E-2</v>
      </c>
      <c r="Z44">
        <f t="shared" si="33"/>
        <v>1.6402580547739867</v>
      </c>
      <c r="AA44">
        <f t="shared" si="34"/>
        <v>4.4973365642731196E-2</v>
      </c>
      <c r="AB44">
        <f t="shared" si="35"/>
        <v>7.317092879304175</v>
      </c>
      <c r="AC44">
        <f t="shared" si="36"/>
        <v>9.2903116924863323</v>
      </c>
      <c r="AD44">
        <f t="shared" si="37"/>
        <v>-4.1141943331175213E-2</v>
      </c>
      <c r="AE44">
        <f t="shared" si="38"/>
        <v>-7.5107472486805479E-2</v>
      </c>
      <c r="AF44">
        <f t="shared" si="39"/>
        <v>-0.10795714150509236</v>
      </c>
      <c r="AG44">
        <f t="shared" si="40"/>
        <v>0.10616019582839072</v>
      </c>
      <c r="AH44">
        <f t="shared" si="41"/>
        <v>1.7839918128331016E-2</v>
      </c>
      <c r="AI44">
        <f t="shared" si="42"/>
        <v>7.5426481513115275</v>
      </c>
      <c r="AJ44" t="e">
        <f t="shared" si="43"/>
        <v>#N/A</v>
      </c>
      <c r="AK44">
        <f t="shared" si="44"/>
        <v>4.7022968967188143</v>
      </c>
      <c r="AL44">
        <f t="shared" si="45"/>
        <v>3.7364784329132155</v>
      </c>
      <c r="AM44">
        <f t="shared" si="28"/>
        <v>-1.9198421809391141E-2</v>
      </c>
      <c r="AN44">
        <f t="shared" si="29"/>
        <v>6.573031293710134E-2</v>
      </c>
      <c r="AO44">
        <f t="shared" si="30"/>
        <v>1.0573260363803358E-2</v>
      </c>
      <c r="AQ44" s="1">
        <v>44469</v>
      </c>
      <c r="AR44">
        <f t="shared" si="6"/>
        <v>0.14755756435761469</v>
      </c>
      <c r="AS44">
        <f t="shared" si="91"/>
        <v>3.3434776086237419E-2</v>
      </c>
      <c r="AT44">
        <f t="shared" si="92"/>
        <v>1.9214218923804371E-2</v>
      </c>
      <c r="AU44">
        <f t="shared" si="93"/>
        <v>1.6388025210640043</v>
      </c>
      <c r="AV44">
        <f t="shared" si="46"/>
        <v>4.6883585898850458E-2</v>
      </c>
      <c r="AW44">
        <f t="shared" si="47"/>
        <v>7.3353927533554417</v>
      </c>
      <c r="AX44">
        <f t="shared" si="48"/>
        <v>9.3198421009611092</v>
      </c>
      <c r="AY44">
        <f t="shared" si="49"/>
        <v>0.31554040058017735</v>
      </c>
      <c r="AZ44">
        <f t="shared" si="50"/>
        <v>0.30380145433166422</v>
      </c>
      <c r="BA44">
        <f t="shared" si="51"/>
        <v>0.15186234930924603</v>
      </c>
      <c r="BB44">
        <f t="shared" si="52"/>
        <v>8.0657903017454541E-2</v>
      </c>
      <c r="BC44">
        <f t="shared" si="53"/>
        <v>1.7839918128331016E-2</v>
      </c>
      <c r="BD44">
        <f t="shared" si="54"/>
        <v>7.4793617476552177</v>
      </c>
      <c r="BE44" t="e">
        <f t="shared" si="55"/>
        <v>#N/A</v>
      </c>
      <c r="BF44">
        <f t="shared" si="56"/>
        <v>4.6737629774537028</v>
      </c>
      <c r="BG44">
        <f t="shared" si="57"/>
        <v>4.3324424053181207</v>
      </c>
      <c r="BH44">
        <f t="shared" si="58"/>
        <v>0.11077846868433874</v>
      </c>
      <c r="BI44">
        <f t="shared" si="59"/>
        <v>7.9210693194482873E-2</v>
      </c>
      <c r="BJ44">
        <f t="shared" si="60"/>
        <v>0.20021759667542879</v>
      </c>
      <c r="BL44" s="1">
        <v>44469</v>
      </c>
      <c r="BM44">
        <f t="shared" si="7"/>
        <v>-4.9875415110389679E-3</v>
      </c>
      <c r="BN44">
        <f t="shared" si="94"/>
        <v>1.6857117066422806E-2</v>
      </c>
      <c r="BO44">
        <f t="shared" si="95"/>
        <v>1.9214218923804371E-2</v>
      </c>
      <c r="BP44">
        <f t="shared" si="96"/>
        <v>1.6380253692860129</v>
      </c>
      <c r="BQ44">
        <f t="shared" si="61"/>
        <v>4.5928931888399735E-2</v>
      </c>
      <c r="BR44">
        <f t="shared" si="62"/>
        <v>7.3616993917435209</v>
      </c>
      <c r="BS44">
        <f t="shared" si="63"/>
        <v>9.3601008575592797</v>
      </c>
      <c r="BT44">
        <f t="shared" si="64"/>
        <v>0.11064652008706365</v>
      </c>
      <c r="BU44">
        <f t="shared" si="65"/>
        <v>0.11511280710050448</v>
      </c>
      <c r="BV44">
        <f t="shared" si="66"/>
        <v>-3.2467190137501413E-2</v>
      </c>
      <c r="BW44">
        <f t="shared" si="67"/>
        <v>0.10255658832509215</v>
      </c>
      <c r="BX44">
        <f t="shared" si="68"/>
        <v>1.7839918128331016E-2</v>
      </c>
      <c r="BY44">
        <f t="shared" si="69"/>
        <v>7.4434939788395136</v>
      </c>
      <c r="BZ44" t="e">
        <f t="shared" si="70"/>
        <v>#N/A</v>
      </c>
      <c r="CA44">
        <f t="shared" si="71"/>
        <v>4.7361984483944957</v>
      </c>
      <c r="CB44">
        <f t="shared" si="72"/>
        <v>4.1672851866238156</v>
      </c>
      <c r="CC44">
        <f t="shared" si="73"/>
        <v>-1.4598226052534271E-2</v>
      </c>
      <c r="CD44">
        <f t="shared" si="74"/>
        <v>5.4582080692040749E-2</v>
      </c>
      <c r="CE44">
        <f t="shared" si="75"/>
        <v>3.8401806189490455E-2</v>
      </c>
      <c r="CG44" s="1">
        <v>44469</v>
      </c>
      <c r="CH44">
        <f t="shared" si="8"/>
        <v>-3.2467190137501413E-2</v>
      </c>
      <c r="CI44">
        <f t="shared" si="97"/>
        <v>-1.3902905168991434E-2</v>
      </c>
      <c r="CJ44">
        <f t="shared" si="98"/>
        <v>1.9214218923804371E-2</v>
      </c>
      <c r="CK44">
        <f t="shared" si="99"/>
        <v>1.6134896928741982</v>
      </c>
      <c r="CL44">
        <f t="shared" si="76"/>
        <v>4.6883585898850458E-2</v>
      </c>
      <c r="CM44">
        <f t="shared" si="77"/>
        <v>7.3952365308726442</v>
      </c>
      <c r="CN44">
        <f t="shared" si="78"/>
        <v>9.3727083400798605</v>
      </c>
      <c r="CO44">
        <f t="shared" si="79"/>
        <v>-1.8821754240587667E-2</v>
      </c>
      <c r="CP44">
        <f t="shared" si="80"/>
        <v>-3.3434776086237419E-2</v>
      </c>
      <c r="CQ44">
        <f t="shared" si="81"/>
        <v>-0.11064652008706365</v>
      </c>
      <c r="CR44">
        <f t="shared" si="82"/>
        <v>0.15871169115482081</v>
      </c>
      <c r="CS44">
        <f t="shared" si="83"/>
        <v>1.7839918128331016E-2</v>
      </c>
      <c r="CT44">
        <f t="shared" si="84"/>
        <v>7.5492722663052234</v>
      </c>
      <c r="CU44" t="e">
        <f t="shared" si="85"/>
        <v>#N/A</v>
      </c>
      <c r="CV44">
        <f t="shared" si="86"/>
        <v>4.7022968967188143</v>
      </c>
      <c r="CW44">
        <f t="shared" si="87"/>
        <v>3.9665111907122159</v>
      </c>
      <c r="CX44">
        <f t="shared" si="88"/>
        <v>-3.2756910551648963E-2</v>
      </c>
      <c r="CY44">
        <f t="shared" si="89"/>
        <v>5.2774848825810301E-2</v>
      </c>
      <c r="CZ44">
        <f t="shared" si="90"/>
        <v>-2.1972072026854835E-3</v>
      </c>
      <c r="DB44" s="1">
        <v>44469</v>
      </c>
      <c r="DC44">
        <f t="shared" si="9"/>
        <v>-2.4692612590371414E-2</v>
      </c>
      <c r="DD44">
        <f t="shared" si="10"/>
        <v>-1.3902905168991434E-2</v>
      </c>
      <c r="DE44">
        <f t="shared" si="11"/>
        <v>1.9508466388043013E-2</v>
      </c>
      <c r="DF44">
        <f t="shared" si="12"/>
        <v>1.6402580547739867</v>
      </c>
      <c r="DG44">
        <f t="shared" si="13"/>
        <v>4.4973365642731196E-2</v>
      </c>
      <c r="DH44">
        <f t="shared" si="14"/>
        <v>7.317092879304175</v>
      </c>
      <c r="DI44">
        <f t="shared" si="15"/>
        <v>9.2903116924863323</v>
      </c>
      <c r="DJ44">
        <f t="shared" si="16"/>
        <v>-4.1141943331175213E-2</v>
      </c>
      <c r="DK44">
        <f t="shared" si="17"/>
        <v>-7.5107472486805479E-2</v>
      </c>
      <c r="DL44">
        <f t="shared" si="18"/>
        <v>-0.10795714150509236</v>
      </c>
      <c r="DM44">
        <f t="shared" si="19"/>
        <v>0.10616019582839072</v>
      </c>
      <c r="DN44">
        <f t="shared" si="20"/>
        <v>1.7839918128331016E-2</v>
      </c>
      <c r="DO44">
        <f t="shared" si="21"/>
        <v>7.5426481513115275</v>
      </c>
      <c r="DP44" t="e">
        <f t="shared" si="22"/>
        <v>#N/A</v>
      </c>
      <c r="DQ44">
        <f t="shared" si="23"/>
        <v>4.7022968967188143</v>
      </c>
      <c r="DR44">
        <f t="shared" si="24"/>
        <v>3.7364784329132155</v>
      </c>
      <c r="DS44">
        <f t="shared" si="25"/>
        <v>-1.9198421809391141E-2</v>
      </c>
      <c r="DT44">
        <f t="shared" si="26"/>
        <v>6.573031293710134E-2</v>
      </c>
      <c r="DU44">
        <f t="shared" si="27"/>
        <v>1.0573260363803358E-2</v>
      </c>
    </row>
    <row r="45" spans="1:125" x14ac:dyDescent="0.35">
      <c r="A45" s="1">
        <v>44196</v>
      </c>
      <c r="B45">
        <f>'Sorting Q'!C45/100</f>
        <v>-3.3000000000000002E-2</v>
      </c>
      <c r="C45">
        <f>'Sorting Q'!D45/100</f>
        <v>-1.3999999999999999E-2</v>
      </c>
      <c r="D45">
        <f>'Sorting Q'!E45/100</f>
        <v>1.9400000000000001E-2</v>
      </c>
      <c r="E45">
        <f>'Sorting Q'!F45</f>
        <v>4.0202999999999998</v>
      </c>
      <c r="F45">
        <f>'Sorting Q'!G45/100</f>
        <v>4.8000000000000001E-2</v>
      </c>
      <c r="G45">
        <f>'Sorting Q'!H45</f>
        <v>1627.21</v>
      </c>
      <c r="H45">
        <f>'Sorting Q'!I45</f>
        <v>11761.93</v>
      </c>
      <c r="I45">
        <f>'Sorting Q'!J45/100</f>
        <v>-1.9E-2</v>
      </c>
      <c r="J45">
        <f>'Sorting Q'!K45/100</f>
        <v>-3.4000000000000002E-2</v>
      </c>
      <c r="K45">
        <f>'Sorting Q'!L45/100</f>
        <v>-0.11699999999999999</v>
      </c>
      <c r="L45">
        <f>'Sorting Q'!M45/100</f>
        <v>0.17199999999999999</v>
      </c>
      <c r="M45">
        <f>'Sorting Q'!N45/100</f>
        <v>1.8000000000000002E-2</v>
      </c>
      <c r="N45">
        <f>'Sorting Q'!O45</f>
        <v>1898.36</v>
      </c>
      <c r="O45" t="e">
        <f>'Sorting Q'!P45</f>
        <v>#N/A</v>
      </c>
      <c r="P45">
        <f>'Sorting Q'!Q45</f>
        <v>109.2</v>
      </c>
      <c r="Q45">
        <f>'Sorting Q'!R45</f>
        <v>51.8</v>
      </c>
      <c r="R45">
        <f>'Sorting Q'!S45/100</f>
        <v>-3.3299324545936426E-2</v>
      </c>
      <c r="S45">
        <f>'Sorting Q'!T45/100</f>
        <v>5.419226577077918E-2</v>
      </c>
      <c r="T45">
        <f>'Sorting Q'!U45/100</f>
        <v>-2.1996228313194699E-3</v>
      </c>
      <c r="V45" s="1">
        <v>44196</v>
      </c>
      <c r="W45">
        <f t="shared" si="5"/>
        <v>-3.2467190137501413E-2</v>
      </c>
      <c r="X45">
        <f t="shared" si="31"/>
        <v>-1.3902905168991434E-2</v>
      </c>
      <c r="Y45">
        <f t="shared" si="32"/>
        <v>1.9214218923804371E-2</v>
      </c>
      <c r="Z45">
        <f t="shared" si="33"/>
        <v>1.6134896928741982</v>
      </c>
      <c r="AA45">
        <f t="shared" si="34"/>
        <v>4.6883585898850458E-2</v>
      </c>
      <c r="AB45">
        <f t="shared" si="35"/>
        <v>7.3952365308726442</v>
      </c>
      <c r="AC45">
        <f t="shared" si="36"/>
        <v>9.3727083400798605</v>
      </c>
      <c r="AD45">
        <f t="shared" si="37"/>
        <v>-1.8821754240587667E-2</v>
      </c>
      <c r="AE45">
        <f t="shared" si="38"/>
        <v>-3.3434776086237419E-2</v>
      </c>
      <c r="AF45">
        <f t="shared" si="39"/>
        <v>-0.11064652008706365</v>
      </c>
      <c r="AG45">
        <f t="shared" si="40"/>
        <v>0.15871169115482081</v>
      </c>
      <c r="AH45">
        <f t="shared" si="41"/>
        <v>1.7839918128331016E-2</v>
      </c>
      <c r="AI45">
        <f t="shared" si="42"/>
        <v>7.5492722663052234</v>
      </c>
      <c r="AJ45" t="e">
        <f t="shared" si="43"/>
        <v>#N/A</v>
      </c>
      <c r="AK45">
        <f t="shared" si="44"/>
        <v>4.7022968967188143</v>
      </c>
      <c r="AL45">
        <f t="shared" si="45"/>
        <v>3.9665111907122159</v>
      </c>
      <c r="AM45">
        <f t="shared" si="28"/>
        <v>-3.2756910551648963E-2</v>
      </c>
      <c r="AN45">
        <f t="shared" si="29"/>
        <v>5.2774848825810301E-2</v>
      </c>
      <c r="AO45">
        <f t="shared" si="30"/>
        <v>-2.1972072026854835E-3</v>
      </c>
      <c r="AQ45" s="1">
        <v>44561</v>
      </c>
      <c r="AR45">
        <f t="shared" si="6"/>
        <v>-4.401688541677426E-2</v>
      </c>
      <c r="AS45">
        <f t="shared" si="91"/>
        <v>2.176149178151271E-2</v>
      </c>
      <c r="AT45">
        <f t="shared" si="92"/>
        <v>1.9116117192230143E-2</v>
      </c>
      <c r="AU45">
        <f t="shared" si="93"/>
        <v>1.6460012517411473</v>
      </c>
      <c r="AV45">
        <f t="shared" si="46"/>
        <v>4.401688541677426E-2</v>
      </c>
      <c r="AW45">
        <f t="shared" si="47"/>
        <v>7.3387581708781404</v>
      </c>
      <c r="AX45">
        <f t="shared" si="48"/>
        <v>9.3336264602471317</v>
      </c>
      <c r="AY45">
        <f t="shared" si="49"/>
        <v>4.1141943331175213E-2</v>
      </c>
      <c r="AZ45">
        <f t="shared" si="50"/>
        <v>0.10795714150509236</v>
      </c>
      <c r="BA45">
        <f t="shared" si="51"/>
        <v>-0.10255658832509215</v>
      </c>
      <c r="BB45">
        <f t="shared" si="52"/>
        <v>0.13102826240640419</v>
      </c>
      <c r="BC45">
        <f t="shared" si="53"/>
        <v>1.7839918128331016E-2</v>
      </c>
      <c r="BD45">
        <f t="shared" si="54"/>
        <v>7.471903636429964</v>
      </c>
      <c r="BE45" t="e">
        <f t="shared" si="55"/>
        <v>#N/A</v>
      </c>
      <c r="BF45">
        <f t="shared" si="56"/>
        <v>4.7059200890882344</v>
      </c>
      <c r="BG45">
        <f t="shared" si="57"/>
        <v>4.3760085623483187</v>
      </c>
      <c r="BH45">
        <f t="shared" si="58"/>
        <v>-4.1537411594861941E-2</v>
      </c>
      <c r="BI45">
        <f t="shared" si="59"/>
        <v>6.8829509884373322E-2</v>
      </c>
      <c r="BJ45">
        <f t="shared" si="60"/>
        <v>-1.2476951810242365E-2</v>
      </c>
      <c r="BL45" s="1">
        <v>44561</v>
      </c>
      <c r="BM45">
        <f t="shared" si="7"/>
        <v>0.14755756435761469</v>
      </c>
      <c r="BN45">
        <f t="shared" si="94"/>
        <v>3.3434776086237419E-2</v>
      </c>
      <c r="BO45">
        <f t="shared" si="95"/>
        <v>1.9214218923804371E-2</v>
      </c>
      <c r="BP45">
        <f t="shared" si="96"/>
        <v>1.6388025210640043</v>
      </c>
      <c r="BQ45">
        <f t="shared" si="61"/>
        <v>4.6883585898850458E-2</v>
      </c>
      <c r="BR45">
        <f t="shared" si="62"/>
        <v>7.3353927533554417</v>
      </c>
      <c r="BS45">
        <f t="shared" si="63"/>
        <v>9.3198421009611092</v>
      </c>
      <c r="BT45">
        <f t="shared" si="64"/>
        <v>0.31554040058017735</v>
      </c>
      <c r="BU45">
        <f t="shared" si="65"/>
        <v>0.30380145433166422</v>
      </c>
      <c r="BV45">
        <f t="shared" si="66"/>
        <v>0.15186234930924603</v>
      </c>
      <c r="BW45">
        <f t="shared" si="67"/>
        <v>8.0657903017454541E-2</v>
      </c>
      <c r="BX45">
        <f t="shared" si="68"/>
        <v>1.7839918128331016E-2</v>
      </c>
      <c r="BY45">
        <f t="shared" si="69"/>
        <v>7.4793617476552177</v>
      </c>
      <c r="BZ45" t="e">
        <f t="shared" si="70"/>
        <v>#N/A</v>
      </c>
      <c r="CA45">
        <f t="shared" si="71"/>
        <v>4.6737629774537028</v>
      </c>
      <c r="CB45">
        <f t="shared" si="72"/>
        <v>4.3324424053181207</v>
      </c>
      <c r="CC45">
        <f t="shared" si="73"/>
        <v>0.11077846868433874</v>
      </c>
      <c r="CD45">
        <f t="shared" si="74"/>
        <v>7.9210693194482873E-2</v>
      </c>
      <c r="CE45">
        <f t="shared" si="75"/>
        <v>0.20021759667542879</v>
      </c>
      <c r="CG45" s="1">
        <v>44561</v>
      </c>
      <c r="CH45">
        <f t="shared" si="8"/>
        <v>-4.9875415110389679E-3</v>
      </c>
      <c r="CI45">
        <f t="shared" si="97"/>
        <v>1.6857117066422806E-2</v>
      </c>
      <c r="CJ45">
        <f t="shared" si="98"/>
        <v>1.9214218923804371E-2</v>
      </c>
      <c r="CK45">
        <f t="shared" si="99"/>
        <v>1.6380253692860129</v>
      </c>
      <c r="CL45">
        <f t="shared" si="76"/>
        <v>4.5928931888399735E-2</v>
      </c>
      <c r="CM45">
        <f t="shared" si="77"/>
        <v>7.3616993917435209</v>
      </c>
      <c r="CN45">
        <f t="shared" si="78"/>
        <v>9.3601008575592797</v>
      </c>
      <c r="CO45">
        <f t="shared" si="79"/>
        <v>0.11064652008706365</v>
      </c>
      <c r="CP45">
        <f t="shared" si="80"/>
        <v>0.11511280710050448</v>
      </c>
      <c r="CQ45">
        <f t="shared" si="81"/>
        <v>-3.2467190137501413E-2</v>
      </c>
      <c r="CR45">
        <f t="shared" si="82"/>
        <v>0.10255658832509215</v>
      </c>
      <c r="CS45">
        <f t="shared" si="83"/>
        <v>1.7839918128331016E-2</v>
      </c>
      <c r="CT45">
        <f t="shared" si="84"/>
        <v>7.4434939788395136</v>
      </c>
      <c r="CU45" t="e">
        <f t="shared" si="85"/>
        <v>#N/A</v>
      </c>
      <c r="CV45">
        <f t="shared" si="86"/>
        <v>4.7361984483944957</v>
      </c>
      <c r="CW45">
        <f t="shared" si="87"/>
        <v>4.1672851866238156</v>
      </c>
      <c r="CX45">
        <f t="shared" si="88"/>
        <v>-1.4598226052534271E-2</v>
      </c>
      <c r="CY45">
        <f t="shared" si="89"/>
        <v>5.4582080692040749E-2</v>
      </c>
      <c r="CZ45">
        <f t="shared" si="90"/>
        <v>3.8401806189490455E-2</v>
      </c>
      <c r="DB45" s="1">
        <v>44561</v>
      </c>
      <c r="DC45">
        <f t="shared" si="9"/>
        <v>-3.2467190137501413E-2</v>
      </c>
      <c r="DD45">
        <f t="shared" si="10"/>
        <v>-1.3902905168991434E-2</v>
      </c>
      <c r="DE45">
        <f t="shared" si="11"/>
        <v>1.9214218923804371E-2</v>
      </c>
      <c r="DF45">
        <f t="shared" si="12"/>
        <v>1.6134896928741982</v>
      </c>
      <c r="DG45">
        <f t="shared" si="13"/>
        <v>4.6883585898850458E-2</v>
      </c>
      <c r="DH45">
        <f t="shared" si="14"/>
        <v>7.3952365308726442</v>
      </c>
      <c r="DI45">
        <f t="shared" si="15"/>
        <v>9.3727083400798605</v>
      </c>
      <c r="DJ45">
        <f t="shared" si="16"/>
        <v>-1.8821754240587667E-2</v>
      </c>
      <c r="DK45">
        <f t="shared" si="17"/>
        <v>-3.3434776086237419E-2</v>
      </c>
      <c r="DL45">
        <f t="shared" si="18"/>
        <v>-0.11064652008706365</v>
      </c>
      <c r="DM45">
        <f t="shared" si="19"/>
        <v>0.15871169115482081</v>
      </c>
      <c r="DN45">
        <f t="shared" si="20"/>
        <v>1.7839918128331016E-2</v>
      </c>
      <c r="DO45">
        <f t="shared" si="21"/>
        <v>7.5492722663052234</v>
      </c>
      <c r="DP45" t="e">
        <f t="shared" si="22"/>
        <v>#N/A</v>
      </c>
      <c r="DQ45">
        <f t="shared" si="23"/>
        <v>4.7022968967188143</v>
      </c>
      <c r="DR45">
        <f t="shared" si="24"/>
        <v>3.9665111907122159</v>
      </c>
      <c r="DS45">
        <f t="shared" si="25"/>
        <v>-3.2756910551648963E-2</v>
      </c>
      <c r="DT45">
        <f t="shared" si="26"/>
        <v>5.2774848825810301E-2</v>
      </c>
      <c r="DU45">
        <f t="shared" si="27"/>
        <v>-2.1972072026854835E-3</v>
      </c>
    </row>
    <row r="46" spans="1:125" x14ac:dyDescent="0.35">
      <c r="A46" s="1">
        <v>44286</v>
      </c>
      <c r="B46">
        <f>'Sorting Q'!C46/100</f>
        <v>-5.0000000000000001E-3</v>
      </c>
      <c r="C46">
        <f>'Sorting Q'!D46/100</f>
        <v>1.7000000000000001E-2</v>
      </c>
      <c r="D46">
        <f>'Sorting Q'!E46/100</f>
        <v>1.9400000000000001E-2</v>
      </c>
      <c r="E46">
        <f>'Sorting Q'!F46</f>
        <v>4.1449999999999996</v>
      </c>
      <c r="F46">
        <f>'Sorting Q'!G46/100</f>
        <v>4.7E-2</v>
      </c>
      <c r="G46">
        <f>'Sorting Q'!H46</f>
        <v>1573.51</v>
      </c>
      <c r="H46">
        <f>'Sorting Q'!I46</f>
        <v>11614.56</v>
      </c>
      <c r="I46">
        <f>'Sorting Q'!J46/100</f>
        <v>0.11699999999999999</v>
      </c>
      <c r="J46">
        <f>'Sorting Q'!K46/100</f>
        <v>0.122</v>
      </c>
      <c r="K46">
        <f>'Sorting Q'!L46/100</f>
        <v>-3.3000000000000002E-2</v>
      </c>
      <c r="L46">
        <f>'Sorting Q'!M46/100</f>
        <v>0.10800000000000001</v>
      </c>
      <c r="M46">
        <f>'Sorting Q'!N46/100</f>
        <v>1.8000000000000002E-2</v>
      </c>
      <c r="N46">
        <f>'Sorting Q'!O46</f>
        <v>1707.71</v>
      </c>
      <c r="O46" t="e">
        <f>'Sorting Q'!P46</f>
        <v>#N/A</v>
      </c>
      <c r="P46">
        <f>'Sorting Q'!Q46</f>
        <v>113</v>
      </c>
      <c r="Q46">
        <f>'Sorting Q'!R46</f>
        <v>63.54</v>
      </c>
      <c r="R46">
        <f>'Sorting Q'!S46/100</f>
        <v>-1.4705300552598111E-2</v>
      </c>
      <c r="S46">
        <f>'Sorting Q'!T46/100</f>
        <v>5.6099158205994648E-2</v>
      </c>
      <c r="T46">
        <f>'Sorting Q'!U46/100</f>
        <v>3.9148685378968207E-2</v>
      </c>
      <c r="V46" s="1">
        <v>44286</v>
      </c>
      <c r="W46">
        <f t="shared" si="5"/>
        <v>-4.9875415110389679E-3</v>
      </c>
      <c r="X46">
        <f t="shared" si="31"/>
        <v>1.6857117066422806E-2</v>
      </c>
      <c r="Y46">
        <f t="shared" si="32"/>
        <v>1.9214218923804371E-2</v>
      </c>
      <c r="Z46">
        <f t="shared" si="33"/>
        <v>1.6380253692860129</v>
      </c>
      <c r="AA46">
        <f t="shared" si="34"/>
        <v>4.5928931888399735E-2</v>
      </c>
      <c r="AB46">
        <f t="shared" si="35"/>
        <v>7.3616993917435209</v>
      </c>
      <c r="AC46">
        <f t="shared" si="36"/>
        <v>9.3601008575592797</v>
      </c>
      <c r="AD46">
        <f t="shared" si="37"/>
        <v>0.11064652008706365</v>
      </c>
      <c r="AE46">
        <f t="shared" si="38"/>
        <v>0.11511280710050448</v>
      </c>
      <c r="AF46">
        <f t="shared" si="39"/>
        <v>-3.2467190137501413E-2</v>
      </c>
      <c r="AG46">
        <f t="shared" si="40"/>
        <v>0.10255658832509215</v>
      </c>
      <c r="AH46">
        <f t="shared" si="41"/>
        <v>1.7839918128331016E-2</v>
      </c>
      <c r="AI46">
        <f t="shared" si="42"/>
        <v>7.4434939788395136</v>
      </c>
      <c r="AJ46" t="e">
        <f t="shared" si="43"/>
        <v>#N/A</v>
      </c>
      <c r="AK46">
        <f t="shared" si="44"/>
        <v>4.7361984483944957</v>
      </c>
      <c r="AL46">
        <f t="shared" si="45"/>
        <v>4.1672851866238156</v>
      </c>
      <c r="AM46">
        <f t="shared" si="28"/>
        <v>-1.4598226052534271E-2</v>
      </c>
      <c r="AN46">
        <f t="shared" si="29"/>
        <v>5.4582080692040749E-2</v>
      </c>
      <c r="AO46">
        <f t="shared" si="30"/>
        <v>3.8401806189490455E-2</v>
      </c>
    </row>
    <row r="47" spans="1:125" x14ac:dyDescent="0.35">
      <c r="A47" s="1">
        <v>44377</v>
      </c>
      <c r="B47">
        <f>'Sorting Q'!C47/100</f>
        <v>0.159</v>
      </c>
      <c r="C47">
        <f>'Sorting Q'!D47/100</f>
        <v>3.4000000000000002E-2</v>
      </c>
      <c r="D47">
        <f>'Sorting Q'!E47/100</f>
        <v>1.9400000000000001E-2</v>
      </c>
      <c r="E47">
        <f>'Sorting Q'!F47</f>
        <v>4.149</v>
      </c>
      <c r="F47">
        <f>'Sorting Q'!G47/100</f>
        <v>4.8000000000000001E-2</v>
      </c>
      <c r="G47">
        <f>'Sorting Q'!H47</f>
        <v>1532.63</v>
      </c>
      <c r="H47">
        <f>'Sorting Q'!I47</f>
        <v>11156.22</v>
      </c>
      <c r="I47">
        <f>'Sorting Q'!J47/100</f>
        <v>0.371</v>
      </c>
      <c r="J47">
        <f>'Sorting Q'!K47/100</f>
        <v>0.35499999999999998</v>
      </c>
      <c r="K47">
        <f>'Sorting Q'!L47/100</f>
        <v>0.16399999999999998</v>
      </c>
      <c r="L47">
        <f>'Sorting Q'!M47/100</f>
        <v>8.4000000000000005E-2</v>
      </c>
      <c r="M47">
        <f>'Sorting Q'!N47/100</f>
        <v>1.8000000000000002E-2</v>
      </c>
      <c r="N47">
        <f>'Sorting Q'!O47</f>
        <v>1770.11</v>
      </c>
      <c r="O47" t="e">
        <f>'Sorting Q'!P47</f>
        <v>#N/A</v>
      </c>
      <c r="P47">
        <f>'Sorting Q'!Q47</f>
        <v>106.1</v>
      </c>
      <c r="Q47">
        <f>'Sorting Q'!R47</f>
        <v>75.13</v>
      </c>
      <c r="R47">
        <f>'Sorting Q'!S47/100</f>
        <v>0.11714739630731043</v>
      </c>
      <c r="S47">
        <f>'Sorting Q'!T47/100</f>
        <v>8.2432359178104667E-2</v>
      </c>
      <c r="T47">
        <f>'Sorting Q'!U47/100</f>
        <v>0.22166856025748261</v>
      </c>
      <c r="V47" s="1">
        <v>44377</v>
      </c>
      <c r="W47">
        <f t="shared" si="5"/>
        <v>0.14755756435761469</v>
      </c>
      <c r="X47">
        <f t="shared" si="31"/>
        <v>3.3434776086237419E-2</v>
      </c>
      <c r="Y47">
        <f t="shared" si="32"/>
        <v>1.9214218923804371E-2</v>
      </c>
      <c r="Z47">
        <f t="shared" si="33"/>
        <v>1.6388025210640043</v>
      </c>
      <c r="AA47">
        <f t="shared" si="34"/>
        <v>4.6883585898850458E-2</v>
      </c>
      <c r="AB47">
        <f t="shared" si="35"/>
        <v>7.3353927533554417</v>
      </c>
      <c r="AC47">
        <f t="shared" si="36"/>
        <v>9.3198421009611092</v>
      </c>
      <c r="AD47">
        <f t="shared" si="37"/>
        <v>0.31554040058017735</v>
      </c>
      <c r="AE47">
        <f t="shared" si="38"/>
        <v>0.30380145433166422</v>
      </c>
      <c r="AF47">
        <f t="shared" si="39"/>
        <v>0.15186234930924603</v>
      </c>
      <c r="AG47">
        <f t="shared" si="40"/>
        <v>8.0657903017454541E-2</v>
      </c>
      <c r="AH47">
        <f t="shared" si="41"/>
        <v>1.7839918128331016E-2</v>
      </c>
      <c r="AI47">
        <f t="shared" si="42"/>
        <v>7.4793617476552177</v>
      </c>
      <c r="AJ47" t="e">
        <f t="shared" si="43"/>
        <v>#N/A</v>
      </c>
      <c r="AK47">
        <f t="shared" si="44"/>
        <v>4.6737629774537028</v>
      </c>
      <c r="AL47">
        <f t="shared" si="45"/>
        <v>4.3324424053181207</v>
      </c>
      <c r="AM47">
        <f t="shared" si="28"/>
        <v>0.11077846868433874</v>
      </c>
      <c r="AN47">
        <f t="shared" si="29"/>
        <v>7.9210693194482873E-2</v>
      </c>
      <c r="AO47">
        <f t="shared" si="30"/>
        <v>0.20021759667542879</v>
      </c>
    </row>
    <row r="48" spans="1:125" x14ac:dyDescent="0.35">
      <c r="A48" s="1">
        <v>44469</v>
      </c>
      <c r="B48">
        <f>'Sorting Q'!C48/100</f>
        <v>-4.4999999999999998E-2</v>
      </c>
      <c r="C48">
        <f>'Sorting Q'!D48/100</f>
        <v>2.2000000000000002E-2</v>
      </c>
      <c r="D48">
        <f>'Sorting Q'!E48/100</f>
        <v>1.9299999999999998E-2</v>
      </c>
      <c r="E48">
        <f>'Sorting Q'!F48</f>
        <v>4.1862000000000004</v>
      </c>
      <c r="F48">
        <f>'Sorting Q'!G48/100</f>
        <v>4.4999999999999998E-2</v>
      </c>
      <c r="G48">
        <f>'Sorting Q'!H48</f>
        <v>1537.8</v>
      </c>
      <c r="H48">
        <f>'Sorting Q'!I48</f>
        <v>11311.08</v>
      </c>
      <c r="I48">
        <f>'Sorting Q'!J48/100</f>
        <v>4.2000000000000003E-2</v>
      </c>
      <c r="J48">
        <f>'Sorting Q'!K48/100</f>
        <v>0.114</v>
      </c>
      <c r="K48">
        <f>'Sorting Q'!L48/100</f>
        <v>-0.10800000000000001</v>
      </c>
      <c r="L48">
        <f>'Sorting Q'!M48/100</f>
        <v>0.14000000000000001</v>
      </c>
      <c r="M48">
        <f>'Sorting Q'!N48/100</f>
        <v>1.8000000000000002E-2</v>
      </c>
      <c r="N48">
        <f>'Sorting Q'!O48</f>
        <v>1756.95</v>
      </c>
      <c r="O48" t="e">
        <f>'Sorting Q'!P48</f>
        <v>#N/A</v>
      </c>
      <c r="P48">
        <f>'Sorting Q'!Q48</f>
        <v>109.6</v>
      </c>
      <c r="Q48">
        <f>'Sorting Q'!R48</f>
        <v>78.52</v>
      </c>
      <c r="R48">
        <f>'Sorting Q'!S48/100</f>
        <v>-4.2412159423375728E-2</v>
      </c>
      <c r="S48">
        <f>'Sorting Q'!T48/100</f>
        <v>7.1253555435930593E-2</v>
      </c>
      <c r="T48">
        <f>'Sorting Q'!U48/100</f>
        <v>-1.255511370928708E-2</v>
      </c>
      <c r="V48" s="1">
        <v>44469</v>
      </c>
      <c r="W48">
        <f t="shared" si="5"/>
        <v>-4.401688541677426E-2</v>
      </c>
      <c r="X48">
        <f t="shared" si="31"/>
        <v>2.176149178151271E-2</v>
      </c>
      <c r="Y48">
        <f t="shared" si="32"/>
        <v>1.9116117192230143E-2</v>
      </c>
      <c r="Z48">
        <f t="shared" si="33"/>
        <v>1.6460012517411473</v>
      </c>
      <c r="AA48">
        <f t="shared" si="34"/>
        <v>4.401688541677426E-2</v>
      </c>
      <c r="AB48">
        <f t="shared" si="35"/>
        <v>7.3387581708781404</v>
      </c>
      <c r="AC48">
        <f t="shared" si="36"/>
        <v>9.3336264602471317</v>
      </c>
      <c r="AD48">
        <f t="shared" si="37"/>
        <v>4.1141943331175213E-2</v>
      </c>
      <c r="AE48">
        <f t="shared" si="38"/>
        <v>0.10795714150509236</v>
      </c>
      <c r="AF48">
        <f t="shared" si="39"/>
        <v>-0.10255658832509215</v>
      </c>
      <c r="AG48">
        <f t="shared" si="40"/>
        <v>0.13102826240640419</v>
      </c>
      <c r="AH48">
        <f t="shared" si="41"/>
        <v>1.7839918128331016E-2</v>
      </c>
      <c r="AI48">
        <f t="shared" si="42"/>
        <v>7.471903636429964</v>
      </c>
      <c r="AJ48" t="e">
        <f t="shared" si="43"/>
        <v>#N/A</v>
      </c>
      <c r="AK48">
        <f t="shared" si="44"/>
        <v>4.7059200890882344</v>
      </c>
      <c r="AL48">
        <f t="shared" si="45"/>
        <v>4.3760085623483187</v>
      </c>
      <c r="AM48">
        <f t="shared" si="28"/>
        <v>-4.1537411594861941E-2</v>
      </c>
      <c r="AN48">
        <f t="shared" si="29"/>
        <v>6.8829509884373322E-2</v>
      </c>
      <c r="AO48">
        <f t="shared" si="30"/>
        <v>-1.2476951810242365E-2</v>
      </c>
    </row>
    <row r="49" spans="1:41" x14ac:dyDescent="0.35">
      <c r="A49" s="1">
        <v>44561</v>
      </c>
      <c r="B49">
        <f>'Sorting Q'!C49/100</f>
        <v>3.6000000000000004E-2</v>
      </c>
      <c r="C49">
        <f>'Sorting Q'!D49/100</f>
        <v>3.2000000000000001E-2</v>
      </c>
      <c r="D49">
        <f>'Sorting Q'!E49/100</f>
        <v>2.0499999999999997E-2</v>
      </c>
      <c r="E49">
        <f>'Sorting Q'!F49</f>
        <v>4.1660000000000004</v>
      </c>
      <c r="F49">
        <f>'Sorting Q'!G49/100</f>
        <v>4.2999999999999997E-2</v>
      </c>
      <c r="G49">
        <f>'Sorting Q'!H49</f>
        <v>1567.53</v>
      </c>
      <c r="H49">
        <f>'Sorting Q'!I49</f>
        <v>11308.79</v>
      </c>
      <c r="I49">
        <f>'Sorting Q'!J49/100</f>
        <v>0.13</v>
      </c>
      <c r="J49">
        <f>'Sorting Q'!K49/100</f>
        <v>0.14499999999999999</v>
      </c>
      <c r="K49">
        <f>'Sorting Q'!L49/100</f>
        <v>-0.03</v>
      </c>
      <c r="L49">
        <f>'Sorting Q'!M49/100</f>
        <v>0.11</v>
      </c>
      <c r="M49">
        <f>'Sorting Q'!N49/100</f>
        <v>1.8000000000000002E-2</v>
      </c>
      <c r="N49">
        <f>'Sorting Q'!O49</f>
        <v>1829.2</v>
      </c>
      <c r="O49" t="e">
        <f>'Sorting Q'!P49</f>
        <v>#N/A</v>
      </c>
      <c r="P49">
        <f>'Sorting Q'!Q49</f>
        <v>111.4</v>
      </c>
      <c r="Q49">
        <f>'Sorting Q'!R49</f>
        <v>77.78</v>
      </c>
      <c r="R49">
        <f>'Sorting Q'!S49/100</f>
        <v>3.6702078823249495E-2</v>
      </c>
      <c r="S49">
        <f>'Sorting Q'!T49/100</f>
        <v>1.5872969223999389E-2</v>
      </c>
      <c r="T49">
        <f>'Sorting Q'!U49/100</f>
        <v>6.8345026604946346E-2</v>
      </c>
      <c r="V49" s="1">
        <v>44561</v>
      </c>
      <c r="W49">
        <f t="shared" si="5"/>
        <v>3.5367143837291344E-2</v>
      </c>
      <c r="X49">
        <f t="shared" si="31"/>
        <v>3.1498667059371016E-2</v>
      </c>
      <c r="Y49">
        <f t="shared" si="32"/>
        <v>2.0292703267762394E-2</v>
      </c>
      <c r="Z49">
        <f t="shared" si="33"/>
        <v>1.6420986946736489</v>
      </c>
      <c r="AA49">
        <f t="shared" si="34"/>
        <v>4.2101176018635326E-2</v>
      </c>
      <c r="AB49">
        <f t="shared" si="35"/>
        <v>7.3578941540018548</v>
      </c>
      <c r="AC49">
        <f t="shared" si="36"/>
        <v>9.3334240012985283</v>
      </c>
      <c r="AD49">
        <f t="shared" si="37"/>
        <v>0.12221763272424911</v>
      </c>
      <c r="AE49">
        <f t="shared" si="38"/>
        <v>0.13540463700620298</v>
      </c>
      <c r="AF49">
        <f t="shared" si="39"/>
        <v>-2.9558802241544429E-2</v>
      </c>
      <c r="AG49">
        <f t="shared" si="40"/>
        <v>0.10436001532424286</v>
      </c>
      <c r="AH49">
        <f t="shared" si="41"/>
        <v>1.7839918128331016E-2</v>
      </c>
      <c r="AI49">
        <f t="shared" si="42"/>
        <v>7.5121805294812782</v>
      </c>
      <c r="AJ49" t="e">
        <f t="shared" si="43"/>
        <v>#N/A</v>
      </c>
      <c r="AK49">
        <f t="shared" si="44"/>
        <v>4.7220639374595912</v>
      </c>
      <c r="AL49">
        <f t="shared" si="45"/>
        <v>4.3666591575427596</v>
      </c>
      <c r="AM49">
        <f t="shared" si="28"/>
        <v>3.6044596576181052E-2</v>
      </c>
      <c r="AN49">
        <f t="shared" si="29"/>
        <v>1.5748311048012512E-2</v>
      </c>
      <c r="AO49">
        <f t="shared" si="30"/>
        <v>6.6110746984667262E-2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E1F9-FB1F-4285-BD6C-47C689EDDE23}">
  <dimension ref="A1:DP12"/>
  <sheetViews>
    <sheetView workbookViewId="0">
      <selection activeCell="B3" sqref="B3"/>
    </sheetView>
  </sheetViews>
  <sheetFormatPr defaultRowHeight="14.5" x14ac:dyDescent="0.35"/>
  <cols>
    <col min="1" max="1" width="7.81640625" bestFit="1" customWidth="1"/>
    <col min="2" max="5" width="12.7265625" bestFit="1" customWidth="1"/>
    <col min="6" max="6" width="18.26953125" bestFit="1" customWidth="1"/>
    <col min="7" max="8" width="12.7265625" bestFit="1" customWidth="1"/>
    <col min="9" max="9" width="14.453125" bestFit="1" customWidth="1"/>
    <col min="10" max="10" width="14.54296875" bestFit="1" customWidth="1"/>
    <col min="11" max="11" width="25.26953125" bestFit="1" customWidth="1"/>
    <col min="12" max="12" width="22.453125" bestFit="1" customWidth="1"/>
    <col min="13" max="13" width="12" bestFit="1" customWidth="1"/>
    <col min="14" max="16" width="12.7265625" bestFit="1" customWidth="1"/>
    <col min="17" max="17" width="16.81640625" bestFit="1" customWidth="1"/>
    <col min="18" max="18" width="16.26953125" bestFit="1" customWidth="1"/>
    <col min="19" max="19" width="12.7265625" bestFit="1" customWidth="1"/>
    <col min="20" max="20" width="15.7265625" bestFit="1" customWidth="1"/>
    <col min="21" max="21" width="14.81640625" bestFit="1" customWidth="1"/>
    <col min="22" max="22" width="16.54296875" bestFit="1" customWidth="1"/>
    <col min="23" max="23" width="15" bestFit="1" customWidth="1"/>
    <col min="24" max="24" width="22.81640625" bestFit="1" customWidth="1"/>
    <col min="25" max="26" width="12.7265625" bestFit="1" customWidth="1"/>
    <col min="27" max="27" width="19" bestFit="1" customWidth="1"/>
    <col min="28" max="28" width="19.1796875" bestFit="1" customWidth="1"/>
    <col min="29" max="29" width="30" bestFit="1" customWidth="1"/>
    <col min="30" max="30" width="27" bestFit="1" customWidth="1"/>
    <col min="31" max="32" width="12.7265625" bestFit="1" customWidth="1"/>
    <col min="33" max="33" width="13.26953125" bestFit="1" customWidth="1"/>
    <col min="34" max="34" width="16.81640625" bestFit="1" customWidth="1"/>
    <col min="35" max="35" width="21.54296875" bestFit="1" customWidth="1"/>
    <col min="36" max="36" width="20.81640625" bestFit="1" customWidth="1"/>
    <col min="37" max="37" width="14.26953125" bestFit="1" customWidth="1"/>
    <col min="38" max="38" width="15.7265625" bestFit="1" customWidth="1"/>
    <col min="39" max="39" width="14.81640625" bestFit="1" customWidth="1"/>
    <col min="40" max="40" width="16.54296875" bestFit="1" customWidth="1"/>
    <col min="41" max="41" width="15" bestFit="1" customWidth="1"/>
    <col min="42" max="42" width="22.81640625" bestFit="1" customWidth="1"/>
    <col min="43" max="44" width="12.7265625" bestFit="1" customWidth="1"/>
    <col min="45" max="45" width="19" bestFit="1" customWidth="1"/>
    <col min="46" max="46" width="19.1796875" bestFit="1" customWidth="1"/>
    <col min="47" max="47" width="30" bestFit="1" customWidth="1"/>
    <col min="48" max="48" width="27" bestFit="1" customWidth="1"/>
    <col min="49" max="50" width="12.7265625" bestFit="1" customWidth="1"/>
    <col min="51" max="51" width="13.26953125" bestFit="1" customWidth="1"/>
    <col min="52" max="52" width="16.81640625" bestFit="1" customWidth="1"/>
    <col min="53" max="53" width="21.54296875" bestFit="1" customWidth="1"/>
    <col min="54" max="54" width="20.81640625" bestFit="1" customWidth="1"/>
    <col min="55" max="55" width="14.26953125" bestFit="1" customWidth="1"/>
    <col min="56" max="56" width="16.1796875" bestFit="1" customWidth="1"/>
    <col min="57" max="57" width="15.26953125" bestFit="1" customWidth="1"/>
    <col min="58" max="58" width="17" bestFit="1" customWidth="1"/>
    <col min="59" max="59" width="15.453125" bestFit="1" customWidth="1"/>
    <col min="60" max="60" width="23.26953125" bestFit="1" customWidth="1"/>
    <col min="61" max="61" width="12.7265625" bestFit="1" customWidth="1"/>
    <col min="62" max="62" width="12.81640625" bestFit="1" customWidth="1"/>
    <col min="63" max="63" width="19.453125" bestFit="1" customWidth="1"/>
    <col min="64" max="64" width="19.54296875" bestFit="1" customWidth="1"/>
    <col min="65" max="65" width="30.453125" bestFit="1" customWidth="1"/>
    <col min="66" max="66" width="27.453125" bestFit="1" customWidth="1"/>
    <col min="67" max="68" width="12.7265625" bestFit="1" customWidth="1"/>
    <col min="69" max="69" width="13.7265625" bestFit="1" customWidth="1"/>
    <col min="70" max="70" width="17.453125" bestFit="1" customWidth="1"/>
    <col min="71" max="71" width="22" bestFit="1" customWidth="1"/>
    <col min="72" max="72" width="21.453125" bestFit="1" customWidth="1"/>
    <col min="73" max="73" width="14.7265625" bestFit="1" customWidth="1"/>
    <col min="74" max="74" width="20.7265625" bestFit="1" customWidth="1"/>
    <col min="75" max="75" width="19.81640625" bestFit="1" customWidth="1"/>
    <col min="76" max="76" width="21.7265625" bestFit="1" customWidth="1"/>
    <col min="77" max="77" width="20" bestFit="1" customWidth="1"/>
    <col min="78" max="78" width="27.81640625" bestFit="1" customWidth="1"/>
    <col min="79" max="79" width="16.1796875" bestFit="1" customWidth="1"/>
    <col min="80" max="80" width="17.54296875" bestFit="1" customWidth="1"/>
    <col min="81" max="81" width="24" bestFit="1" customWidth="1"/>
    <col min="82" max="82" width="24.1796875" bestFit="1" customWidth="1"/>
    <col min="83" max="83" width="35" bestFit="1" customWidth="1"/>
    <col min="84" max="84" width="32" bestFit="1" customWidth="1"/>
    <col min="85" max="85" width="16.1796875" bestFit="1" customWidth="1"/>
    <col min="86" max="86" width="17.453125" bestFit="1" customWidth="1"/>
    <col min="87" max="87" width="18.26953125" bestFit="1" customWidth="1"/>
    <col min="88" max="88" width="22" bestFit="1" customWidth="1"/>
    <col min="89" max="89" width="26.54296875" bestFit="1" customWidth="1"/>
    <col min="90" max="90" width="26" bestFit="1" customWidth="1"/>
    <col min="91" max="91" width="19.26953125" bestFit="1" customWidth="1"/>
    <col min="92" max="92" width="20.7265625" bestFit="1" customWidth="1"/>
    <col min="93" max="93" width="19.81640625" bestFit="1" customWidth="1"/>
    <col min="94" max="94" width="21.7265625" bestFit="1" customWidth="1"/>
    <col min="95" max="95" width="20" bestFit="1" customWidth="1"/>
    <col min="96" max="96" width="27.81640625" bestFit="1" customWidth="1"/>
    <col min="97" max="97" width="16.1796875" bestFit="1" customWidth="1"/>
    <col min="98" max="98" width="17.54296875" bestFit="1" customWidth="1"/>
    <col min="99" max="99" width="24" bestFit="1" customWidth="1"/>
    <col min="100" max="100" width="24.1796875" bestFit="1" customWidth="1"/>
    <col min="101" max="101" width="35" bestFit="1" customWidth="1"/>
    <col min="102" max="102" width="32" bestFit="1" customWidth="1"/>
    <col min="103" max="103" width="16.1796875" bestFit="1" customWidth="1"/>
    <col min="104" max="104" width="17.453125" bestFit="1" customWidth="1"/>
    <col min="105" max="105" width="18.26953125" bestFit="1" customWidth="1"/>
    <col min="106" max="106" width="22" bestFit="1" customWidth="1"/>
    <col min="107" max="107" width="26.54296875" bestFit="1" customWidth="1"/>
    <col min="108" max="108" width="26" bestFit="1" customWidth="1"/>
    <col min="109" max="109" width="19.26953125" bestFit="1" customWidth="1"/>
    <col min="110" max="110" width="16.26953125" bestFit="1" customWidth="1"/>
    <col min="111" max="111" width="14.7265625" bestFit="1" customWidth="1"/>
    <col min="112" max="112" width="22.54296875" bestFit="1" customWidth="1"/>
    <col min="113" max="114" width="12.7265625" bestFit="1" customWidth="1"/>
    <col min="115" max="115" width="26.7265625" bestFit="1" customWidth="1"/>
    <col min="116" max="117" width="12.7265625" bestFit="1" customWidth="1"/>
    <col min="118" max="118" width="12.81640625" bestFit="1" customWidth="1"/>
    <col min="119" max="119" width="16.54296875" bestFit="1" customWidth="1"/>
    <col min="120" max="120" width="12.7265625" bestFit="1" customWidth="1"/>
  </cols>
  <sheetData>
    <row r="1" spans="1:120" x14ac:dyDescent="0.35">
      <c r="A1" t="s">
        <v>34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120</v>
      </c>
      <c r="U1" t="s">
        <v>121</v>
      </c>
      <c r="V1" t="s">
        <v>122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197</v>
      </c>
      <c r="BR1" t="s">
        <v>198</v>
      </c>
      <c r="BS1" t="s">
        <v>199</v>
      </c>
      <c r="BT1" t="s">
        <v>200</v>
      </c>
      <c r="BU1" t="s">
        <v>201</v>
      </c>
      <c r="BV1" t="s">
        <v>202</v>
      </c>
      <c r="BW1" t="s">
        <v>203</v>
      </c>
      <c r="BX1" t="s">
        <v>204</v>
      </c>
      <c r="BY1" t="s">
        <v>205</v>
      </c>
      <c r="BZ1" t="s">
        <v>206</v>
      </c>
      <c r="CA1" t="s">
        <v>207</v>
      </c>
      <c r="CB1" t="s">
        <v>208</v>
      </c>
      <c r="CC1" t="s">
        <v>209</v>
      </c>
      <c r="CD1" t="s">
        <v>210</v>
      </c>
      <c r="CE1" t="s">
        <v>211</v>
      </c>
      <c r="CF1" t="s">
        <v>212</v>
      </c>
      <c r="CG1" t="s">
        <v>213</v>
      </c>
      <c r="CH1" t="s">
        <v>214</v>
      </c>
      <c r="CI1" t="s">
        <v>215</v>
      </c>
      <c r="CJ1" t="s">
        <v>216</v>
      </c>
      <c r="CK1" t="s">
        <v>217</v>
      </c>
      <c r="CL1" t="s">
        <v>218</v>
      </c>
      <c r="CM1" t="s">
        <v>219</v>
      </c>
      <c r="CN1" t="s">
        <v>220</v>
      </c>
      <c r="CO1" t="s">
        <v>221</v>
      </c>
      <c r="CP1" t="s">
        <v>222</v>
      </c>
      <c r="CQ1" t="s">
        <v>223</v>
      </c>
      <c r="CR1" t="s">
        <v>224</v>
      </c>
      <c r="CS1" t="s">
        <v>225</v>
      </c>
      <c r="CT1" t="s">
        <v>226</v>
      </c>
      <c r="CU1" t="s">
        <v>227</v>
      </c>
      <c r="CV1" t="s">
        <v>228</v>
      </c>
      <c r="CW1" t="s">
        <v>229</v>
      </c>
      <c r="CX1" t="s">
        <v>230</v>
      </c>
      <c r="CY1" t="s">
        <v>231</v>
      </c>
      <c r="CZ1" t="s">
        <v>232</v>
      </c>
      <c r="DA1" t="s">
        <v>233</v>
      </c>
      <c r="DB1" t="s">
        <v>234</v>
      </c>
      <c r="DC1" t="s">
        <v>235</v>
      </c>
      <c r="DD1" t="s">
        <v>236</v>
      </c>
      <c r="DE1" t="s">
        <v>237</v>
      </c>
      <c r="DF1" t="s">
        <v>238</v>
      </c>
      <c r="DG1" t="s">
        <v>239</v>
      </c>
      <c r="DH1" t="s">
        <v>240</v>
      </c>
      <c r="DI1" t="s">
        <v>241</v>
      </c>
      <c r="DJ1" t="s">
        <v>242</v>
      </c>
      <c r="DK1" t="s">
        <v>243</v>
      </c>
      <c r="DL1" t="s">
        <v>244</v>
      </c>
      <c r="DM1" t="s">
        <v>245</v>
      </c>
      <c r="DN1" t="s">
        <v>246</v>
      </c>
      <c r="DO1" t="s">
        <v>247</v>
      </c>
      <c r="DP1" t="s">
        <v>248</v>
      </c>
    </row>
    <row r="2" spans="1:120" x14ac:dyDescent="0.35">
      <c r="A2" t="s">
        <v>35</v>
      </c>
      <c r="B2">
        <v>0.47300177306701102</v>
      </c>
      <c r="C2">
        <v>0.71088849841910473</v>
      </c>
      <c r="D2">
        <v>1.2726794517311792E-2</v>
      </c>
      <c r="E2">
        <v>-1.3558227593488401</v>
      </c>
      <c r="F2">
        <v>-0.67961520939762277</v>
      </c>
      <c r="G2">
        <v>-1.4467059597252703</v>
      </c>
      <c r="H2">
        <v>-1.7599925825903164</v>
      </c>
      <c r="I2">
        <v>0.59256225727901013</v>
      </c>
      <c r="J2">
        <v>0.76775602890665307</v>
      </c>
      <c r="K2">
        <v>0.59366916333431841</v>
      </c>
      <c r="L2">
        <v>-0.50724993047532474</v>
      </c>
      <c r="M2">
        <v>0.25125945381480397</v>
      </c>
      <c r="N2">
        <v>0.4885974289757562</v>
      </c>
      <c r="O2">
        <v>-1.3335534488053751</v>
      </c>
      <c r="P2">
        <v>1.342334046975689</v>
      </c>
      <c r="Q2">
        <v>0.40917035309950189</v>
      </c>
      <c r="R2">
        <v>2.6453564273955466</v>
      </c>
      <c r="S2">
        <v>-0.22112635784633317</v>
      </c>
      <c r="T2">
        <v>0.23654368603763024</v>
      </c>
      <c r="U2">
        <v>0.25814816266596646</v>
      </c>
      <c r="V2">
        <v>-0.60237839572024299</v>
      </c>
      <c r="W2">
        <v>-1.2405393755077565</v>
      </c>
      <c r="X2">
        <v>-0.54525630647091183</v>
      </c>
      <c r="Y2">
        <v>-1.4328798867625465</v>
      </c>
      <c r="Z2">
        <v>-1.5690129881301287</v>
      </c>
      <c r="AA2">
        <v>0.17919935393883171</v>
      </c>
      <c r="AB2">
        <v>0.49663977811075583</v>
      </c>
      <c r="AC2">
        <v>1.2790751302693142</v>
      </c>
      <c r="AD2">
        <v>-1.5452083175971358</v>
      </c>
      <c r="AE2">
        <v>-0.3718568433708383</v>
      </c>
      <c r="AF2">
        <v>0.13471094809102954</v>
      </c>
      <c r="AG2">
        <v>-1.2359184668750431</v>
      </c>
      <c r="AH2">
        <v>0.77279694006327837</v>
      </c>
      <c r="AI2">
        <v>0.18476365055924449</v>
      </c>
      <c r="AJ2">
        <v>-0.2226653115308769</v>
      </c>
      <c r="AK2">
        <v>8.5355527264647263E-2</v>
      </c>
      <c r="AL2">
        <v>0.27249875719180844</v>
      </c>
      <c r="AM2">
        <v>0.18195493864971579</v>
      </c>
      <c r="AN2">
        <v>-0.34462880972492133</v>
      </c>
      <c r="AO2">
        <v>-1.3324688301044372</v>
      </c>
      <c r="AP2">
        <v>-0.6399800528806403</v>
      </c>
      <c r="AQ2">
        <v>-1.3583986594085264</v>
      </c>
      <c r="AR2">
        <v>-1.5974092103284205</v>
      </c>
      <c r="AS2">
        <v>-7.0966527192106763E-2</v>
      </c>
      <c r="AT2">
        <v>0.18219430617887877</v>
      </c>
      <c r="AU2">
        <v>1.3686800458373403</v>
      </c>
      <c r="AV2">
        <v>-1.4712678213250543</v>
      </c>
      <c r="AW2">
        <v>-0.11265837386640741</v>
      </c>
      <c r="AX2">
        <v>-8.973154904809667E-3</v>
      </c>
      <c r="AY2">
        <v>-1.1741021696063081</v>
      </c>
      <c r="AZ2">
        <v>0.79747175470070641</v>
      </c>
      <c r="BA2">
        <v>0.25196014319376331</v>
      </c>
      <c r="BB2">
        <v>-0.19103833121137523</v>
      </c>
      <c r="BC2">
        <v>-5.0802103166581881E-2</v>
      </c>
      <c r="BD2">
        <v>0.38886650674220608</v>
      </c>
      <c r="BE2">
        <v>0.91016840891854756</v>
      </c>
      <c r="BF2">
        <v>-1.9503203064795398E-2</v>
      </c>
      <c r="BG2">
        <v>-1.3958684410023978</v>
      </c>
      <c r="BH2">
        <v>-0.52684279445536975</v>
      </c>
      <c r="BI2">
        <v>-1.3638108295278137</v>
      </c>
      <c r="BJ2">
        <v>-1.6890066297890187</v>
      </c>
      <c r="BK2">
        <v>0.26856468652708315</v>
      </c>
      <c r="BL2">
        <v>0.44254900308704903</v>
      </c>
      <c r="BM2">
        <v>0.40601905786728681</v>
      </c>
      <c r="BN2">
        <v>-0.14209132168296254</v>
      </c>
      <c r="BO2">
        <v>0.1277410015122718</v>
      </c>
      <c r="BP2">
        <v>0.45252664147714944</v>
      </c>
      <c r="BQ2">
        <v>-1.5450826161892186</v>
      </c>
      <c r="BR2">
        <v>1.3196029189021949</v>
      </c>
      <c r="BS2">
        <v>0.33201935447413933</v>
      </c>
      <c r="BT2">
        <v>2.5896227914464176</v>
      </c>
      <c r="BU2">
        <v>-0.36070910191310329</v>
      </c>
      <c r="BV2">
        <v>0.99533216413600312</v>
      </c>
      <c r="BW2">
        <v>-0.11426088230707947</v>
      </c>
      <c r="BX2">
        <v>-0.68686472148454714</v>
      </c>
      <c r="BY2">
        <v>-1.1310796821783826</v>
      </c>
      <c r="BZ2">
        <v>-0.25433984996786385</v>
      </c>
      <c r="CA2">
        <v>-1.8142572619501169</v>
      </c>
      <c r="CB2">
        <v>-2.0366994212964591</v>
      </c>
      <c r="CC2">
        <v>1.2714468727834243</v>
      </c>
      <c r="CD2">
        <v>1.6329382357394913</v>
      </c>
      <c r="CE2">
        <v>0.97527361987461225</v>
      </c>
      <c r="CF2">
        <v>-1.1551714858540669</v>
      </c>
      <c r="CG2">
        <v>-0.5444661719231183</v>
      </c>
      <c r="CH2">
        <v>-0.6388137102919087</v>
      </c>
      <c r="CI2">
        <v>-1.4663611901555165</v>
      </c>
      <c r="CJ2">
        <v>0.3062934881712317</v>
      </c>
      <c r="CK2">
        <v>0.32141228472601024</v>
      </c>
      <c r="CL2">
        <v>-0.3586535504954047</v>
      </c>
      <c r="CM2">
        <v>1.1821673464106925</v>
      </c>
      <c r="CN2">
        <v>0.93286428898600848</v>
      </c>
      <c r="CO2">
        <v>-6.4271845278437281E-2</v>
      </c>
      <c r="CP2">
        <v>-1.1332556435091194</v>
      </c>
      <c r="CQ2">
        <v>-1.0428245803268732</v>
      </c>
      <c r="CR2">
        <v>-8.3277102321831928E-2</v>
      </c>
      <c r="CS2">
        <v>-1.8330132853489347</v>
      </c>
      <c r="CT2">
        <v>-1.9543843284816715</v>
      </c>
      <c r="CU2">
        <v>1.7780783699230436</v>
      </c>
      <c r="CV2">
        <v>2.107355081601582</v>
      </c>
      <c r="CW2">
        <v>0.89704738214404678</v>
      </c>
      <c r="CX2">
        <v>-1.2672867086488586</v>
      </c>
      <c r="CY2">
        <v>-0.98637171206275154</v>
      </c>
      <c r="CZ2">
        <v>-0.54430543958117039</v>
      </c>
      <c r="DA2">
        <v>-1.6557892171507158</v>
      </c>
      <c r="DB2">
        <v>0.28448535759391358</v>
      </c>
      <c r="DC2">
        <v>0.23441012476595016</v>
      </c>
      <c r="DD2">
        <v>-0.3281818753044301</v>
      </c>
      <c r="DE2">
        <v>1.3842925518158558</v>
      </c>
      <c r="DF2">
        <v>0.65223309556499987</v>
      </c>
      <c r="DG2">
        <v>-3.7846407474549169E-2</v>
      </c>
      <c r="DH2">
        <v>-0.25474568805491693</v>
      </c>
      <c r="DI2">
        <v>4.3373641968414318E-2</v>
      </c>
      <c r="DJ2">
        <v>6.4150798278379099E-3</v>
      </c>
      <c r="DK2">
        <v>1.2932431095618324</v>
      </c>
      <c r="DL2">
        <v>0.71750302432821744</v>
      </c>
      <c r="DM2">
        <v>0.45760412794541933</v>
      </c>
      <c r="DN2">
        <v>-0.65180788178029025</v>
      </c>
      <c r="DO2">
        <v>0.31176006180809906</v>
      </c>
      <c r="DP2">
        <v>0.69792883886159485</v>
      </c>
    </row>
    <row r="3" spans="1:120" x14ac:dyDescent="0.35">
      <c r="A3" t="s">
        <v>36</v>
      </c>
      <c r="B3">
        <v>0.85003217188854163</v>
      </c>
      <c r="C3">
        <v>-0.46207752397241864</v>
      </c>
      <c r="D3">
        <v>-2.8281765594028604E-3</v>
      </c>
      <c r="E3">
        <v>-1.5773775462276058</v>
      </c>
      <c r="F3">
        <v>-0.32362629018934386</v>
      </c>
      <c r="G3">
        <v>0.11236003227781349</v>
      </c>
      <c r="H3">
        <v>-0.40815712232125184</v>
      </c>
      <c r="I3">
        <v>-1.4066254222310051</v>
      </c>
      <c r="J3">
        <v>-1.2270537857139441</v>
      </c>
      <c r="K3">
        <v>1.9504336210915161</v>
      </c>
      <c r="L3">
        <v>0.10255872911249678</v>
      </c>
      <c r="M3">
        <v>0.25125945381480397</v>
      </c>
      <c r="N3">
        <v>0.87178660704763844</v>
      </c>
      <c r="O3">
        <v>-1.0459242735728431</v>
      </c>
      <c r="P3">
        <v>1.4856826478642984</v>
      </c>
      <c r="Q3">
        <v>0.28741367761063374</v>
      </c>
      <c r="R3">
        <v>-0.57131380860942649</v>
      </c>
      <c r="S3">
        <v>1.2364488692664162</v>
      </c>
      <c r="T3">
        <v>0.42509300099516134</v>
      </c>
      <c r="U3">
        <v>0.79903002729941985</v>
      </c>
      <c r="V3">
        <v>-0.14540168172557472</v>
      </c>
      <c r="W3">
        <v>-1.0807579999792469</v>
      </c>
      <c r="X3">
        <v>-0.54525630647091183</v>
      </c>
      <c r="Y3">
        <v>-1.3230566486646647</v>
      </c>
      <c r="Z3">
        <v>-1.4274839006089215</v>
      </c>
      <c r="AA3">
        <v>1.1206646164234395</v>
      </c>
      <c r="AB3">
        <v>1.2880143778106055</v>
      </c>
      <c r="AC3">
        <v>0.35416622132955111</v>
      </c>
      <c r="AD3">
        <v>-0.41769312731066843</v>
      </c>
      <c r="AE3">
        <v>0.10936965981494998</v>
      </c>
      <c r="AF3">
        <v>0.69698071823454633</v>
      </c>
      <c r="AG3">
        <v>-1.2593179559208687</v>
      </c>
      <c r="AH3">
        <v>1.2430552681391014</v>
      </c>
      <c r="AI3">
        <v>0.33415026135445597</v>
      </c>
      <c r="AJ3">
        <v>2.644568270998374</v>
      </c>
      <c r="AK3">
        <v>-0.10332573259644501</v>
      </c>
      <c r="AL3">
        <v>0.46948581058347705</v>
      </c>
      <c r="AM3">
        <v>0.72781975459886272</v>
      </c>
      <c r="AN3">
        <v>4.4599022434990643E-2</v>
      </c>
      <c r="AO3">
        <v>-1.1696154452750498</v>
      </c>
      <c r="AP3">
        <v>-0.6399800528806403</v>
      </c>
      <c r="AQ3">
        <v>-1.2479836670299698</v>
      </c>
      <c r="AR3">
        <v>-1.4501062187331542</v>
      </c>
      <c r="AS3">
        <v>0.62778081746863756</v>
      </c>
      <c r="AT3">
        <v>0.7873396802730126</v>
      </c>
      <c r="AU3">
        <v>0.43741321052533549</v>
      </c>
      <c r="AV3">
        <v>-0.33770673908424181</v>
      </c>
      <c r="AW3">
        <v>0.27359890796126979</v>
      </c>
      <c r="AX3">
        <v>0.51325900206280428</v>
      </c>
      <c r="AY3">
        <v>-1.1927881457804126</v>
      </c>
      <c r="AZ3">
        <v>1.2902343898215436</v>
      </c>
      <c r="BA3">
        <v>0.40488296475295582</v>
      </c>
      <c r="BB3">
        <v>2.7868148292092942</v>
      </c>
      <c r="BC3">
        <v>-0.22727122560638843</v>
      </c>
      <c r="BD3">
        <v>0.44281735542535883</v>
      </c>
      <c r="BE3">
        <v>-0.25846245758488356</v>
      </c>
      <c r="BF3">
        <v>-2.8084612413305038E-2</v>
      </c>
      <c r="BG3">
        <v>-1.4175923821809344</v>
      </c>
      <c r="BH3">
        <v>-0.61398972286152009</v>
      </c>
      <c r="BI3">
        <v>-0.30951282470467245</v>
      </c>
      <c r="BJ3">
        <v>-0.70472454164086995</v>
      </c>
      <c r="BK3">
        <v>-0.64852872783554594</v>
      </c>
      <c r="BL3">
        <v>-4.7942808667763639E-2</v>
      </c>
      <c r="BM3">
        <v>1.9604351568592029</v>
      </c>
      <c r="BN3">
        <v>0.45624635321638934</v>
      </c>
      <c r="BO3">
        <v>0.22810893127191334</v>
      </c>
      <c r="BP3">
        <v>1.0991640324334984</v>
      </c>
      <c r="BQ3">
        <v>-1.1398821420097949</v>
      </c>
      <c r="BR3">
        <v>1.3595039967421874</v>
      </c>
      <c r="BS3">
        <v>0.74608071578317281</v>
      </c>
      <c r="BT3">
        <v>0.36053007037661355</v>
      </c>
      <c r="BU3">
        <v>0.25693101146770497</v>
      </c>
      <c r="BV3">
        <v>0.29680856308425801</v>
      </c>
      <c r="BW3">
        <v>0.96436184667175207</v>
      </c>
      <c r="BX3">
        <v>4.2471379366847271E-2</v>
      </c>
      <c r="BY3">
        <v>-1.2651509288063014</v>
      </c>
      <c r="BZ3">
        <v>-0.52766028575422552</v>
      </c>
      <c r="CA3">
        <v>-1.008994233563721</v>
      </c>
      <c r="CB3">
        <v>-1.1739188807251939</v>
      </c>
      <c r="CC3">
        <v>0.14252206833560502</v>
      </c>
      <c r="CD3">
        <v>0.24962641389415294</v>
      </c>
      <c r="CE3">
        <v>0.3165932236296089</v>
      </c>
      <c r="CF3">
        <v>-3.3800198381272434E-2</v>
      </c>
      <c r="CG3">
        <v>0.18148872397437349</v>
      </c>
      <c r="CH3">
        <v>0.52298467093257672</v>
      </c>
      <c r="CI3">
        <v>-1.3040623616110811</v>
      </c>
      <c r="CJ3">
        <v>1.349712863487448</v>
      </c>
      <c r="CK3">
        <v>0.31721712756730597</v>
      </c>
      <c r="CL3">
        <v>2.7312445267868459</v>
      </c>
      <c r="CM3">
        <v>-0.45859062284773056</v>
      </c>
      <c r="CN3">
        <v>0.26538955469366077</v>
      </c>
      <c r="CO3">
        <v>0.97853884436420879</v>
      </c>
      <c r="CP3">
        <v>-0.19478634416778126</v>
      </c>
      <c r="CQ3">
        <v>-1.1755085603741402</v>
      </c>
      <c r="CR3">
        <v>-0.42679514939938806</v>
      </c>
      <c r="CS3">
        <v>-1.0465405878119338</v>
      </c>
      <c r="CT3">
        <v>-1.1311063420630865</v>
      </c>
      <c r="CU3">
        <v>0.39610243498989867</v>
      </c>
      <c r="CV3">
        <v>0.48818627769765294</v>
      </c>
      <c r="CW3">
        <v>0.26053042281774524</v>
      </c>
      <c r="CX3">
        <v>-0.1322720211279238</v>
      </c>
      <c r="CY3">
        <v>-2.4971435748422716E-2</v>
      </c>
      <c r="CZ3">
        <v>0.7329619747328735</v>
      </c>
      <c r="DA3">
        <v>-1.4440816344554068</v>
      </c>
      <c r="DB3">
        <v>1.2797326270144624</v>
      </c>
      <c r="DC3">
        <v>0.23021520936475737</v>
      </c>
      <c r="DD3">
        <v>2.621859523439849</v>
      </c>
      <c r="DE3">
        <v>-0.35268270476939412</v>
      </c>
      <c r="DF3">
        <v>0.10845877643304044</v>
      </c>
      <c r="DG3">
        <v>-0.79693753272501922</v>
      </c>
      <c r="DH3">
        <v>0.16609296278540053</v>
      </c>
      <c r="DI3">
        <v>1.4650743868470766</v>
      </c>
      <c r="DJ3">
        <v>1.0389367731367281</v>
      </c>
      <c r="DK3">
        <v>0.31805549948779238</v>
      </c>
      <c r="DL3">
        <v>0.20317917395076276</v>
      </c>
      <c r="DM3">
        <v>0.25123842541407443</v>
      </c>
      <c r="DN3">
        <v>7.8342436661836736E-3</v>
      </c>
      <c r="DO3">
        <v>8.5158547478799227E-3</v>
      </c>
      <c r="DP3">
        <v>0.57952064689990568</v>
      </c>
    </row>
    <row r="4" spans="1:120" x14ac:dyDescent="0.35">
      <c r="A4" t="s">
        <v>37</v>
      </c>
      <c r="B4">
        <v>0.28448657365624591</v>
      </c>
      <c r="C4">
        <v>0.8412180564626075</v>
      </c>
      <c r="D4">
        <v>0.16827650528445398</v>
      </c>
      <c r="E4">
        <v>-1.1391151145713421</v>
      </c>
      <c r="F4">
        <v>-0.85760966900176228</v>
      </c>
      <c r="G4">
        <v>1.8664324456039978</v>
      </c>
      <c r="H4">
        <v>1.608037231789887</v>
      </c>
      <c r="I4">
        <v>0.48843789897119688</v>
      </c>
      <c r="J4">
        <v>0.67454061700849433</v>
      </c>
      <c r="K4">
        <v>0.54894066472693825</v>
      </c>
      <c r="L4">
        <v>-0.32430733259897804</v>
      </c>
      <c r="M4">
        <v>0.25125945381480397</v>
      </c>
      <c r="N4">
        <v>-0.77182572131555915</v>
      </c>
      <c r="O4">
        <v>-0.60489287154962801</v>
      </c>
      <c r="P4">
        <v>1.4737689571738242</v>
      </c>
      <c r="Q4">
        <v>0.5326570898384414</v>
      </c>
      <c r="R4">
        <v>0.1727140998302896</v>
      </c>
      <c r="S4">
        <v>-0.4109647712527506</v>
      </c>
      <c r="T4">
        <v>0.80219163091022383</v>
      </c>
      <c r="U4">
        <v>-0.41795416812585068</v>
      </c>
      <c r="V4">
        <v>-0.16444237814201978</v>
      </c>
      <c r="W4">
        <v>-1.2877003482139278</v>
      </c>
      <c r="X4">
        <v>-0.14540168172557666</v>
      </c>
      <c r="Y4">
        <v>0.14701380242221662</v>
      </c>
      <c r="Z4">
        <v>-0.25015888444841722</v>
      </c>
      <c r="AA4">
        <v>-1.703731171030384</v>
      </c>
      <c r="AB4">
        <v>-1.4435044017985525</v>
      </c>
      <c r="AC4">
        <v>1.6294194139586182</v>
      </c>
      <c r="AD4">
        <v>0.14606446783256491</v>
      </c>
      <c r="AE4">
        <v>0.10936965981494998</v>
      </c>
      <c r="AF4">
        <v>1.129682783697928</v>
      </c>
      <c r="AG4">
        <v>-0.90832562023346486</v>
      </c>
      <c r="AH4">
        <v>1.3819359936911857</v>
      </c>
      <c r="AI4">
        <v>0.20979704258356141</v>
      </c>
      <c r="AJ4">
        <v>-0.59789682749203321</v>
      </c>
      <c r="AK4">
        <v>1.5309742496624619</v>
      </c>
      <c r="AL4">
        <v>0.8634599173668146</v>
      </c>
      <c r="AM4">
        <v>-0.50037608128671829</v>
      </c>
      <c r="AN4">
        <v>2.838119609499384E-2</v>
      </c>
      <c r="AO4">
        <v>-1.3805365351898524</v>
      </c>
      <c r="AP4">
        <v>-0.27427716552027442</v>
      </c>
      <c r="AQ4">
        <v>0.23000788069721378</v>
      </c>
      <c r="AR4">
        <v>-0.22475035727887047</v>
      </c>
      <c r="AS4">
        <v>-1.4684612165135957</v>
      </c>
      <c r="AT4">
        <v>-1.3013879012777068</v>
      </c>
      <c r="AU4">
        <v>1.7214326349706752</v>
      </c>
      <c r="AV4">
        <v>0.22907380203616409</v>
      </c>
      <c r="AW4">
        <v>0.27359890796126979</v>
      </c>
      <c r="AX4">
        <v>0.91514959794813067</v>
      </c>
      <c r="AY4">
        <v>-0.91249850316882763</v>
      </c>
      <c r="AZ4">
        <v>1.4357612804787665</v>
      </c>
      <c r="BA4">
        <v>0.2775861140968976</v>
      </c>
      <c r="BB4">
        <v>-0.58074650235685221</v>
      </c>
      <c r="BC4">
        <v>1.3012509174243727</v>
      </c>
      <c r="BD4">
        <v>0.2115994324975605</v>
      </c>
      <c r="BE4">
        <v>0.26480509458083179</v>
      </c>
      <c r="BF4">
        <v>3.6275957700516677E-2</v>
      </c>
      <c r="BG4">
        <v>-1.198928449662549</v>
      </c>
      <c r="BH4">
        <v>-0.70113665126767299</v>
      </c>
      <c r="BI4">
        <v>0.92224389487305403</v>
      </c>
      <c r="BJ4">
        <v>0.73174997853877666</v>
      </c>
      <c r="BK4">
        <v>-0.33632671443550194</v>
      </c>
      <c r="BL4">
        <v>-0.24708986005693573</v>
      </c>
      <c r="BM4">
        <v>0.63120609836510977</v>
      </c>
      <c r="BN4">
        <v>0.34634759660222197</v>
      </c>
      <c r="BO4">
        <v>0.22810893127191334</v>
      </c>
      <c r="BP4">
        <v>-0.3756785611059002</v>
      </c>
      <c r="BQ4">
        <v>-0.4926869401954363</v>
      </c>
      <c r="BR4">
        <v>1.2376157041976388</v>
      </c>
      <c r="BS4">
        <v>0.43495088888900335</v>
      </c>
      <c r="BT4">
        <v>0.16785258078148074</v>
      </c>
      <c r="BU4">
        <v>-1.5131432746682519E-3</v>
      </c>
      <c r="BV4">
        <v>0.3505411477805459</v>
      </c>
      <c r="BW4">
        <v>-0.26051481166014151</v>
      </c>
      <c r="BX4">
        <v>3.3684197428878411E-2</v>
      </c>
      <c r="BY4">
        <v>-1.2864407846300729</v>
      </c>
      <c r="BZ4">
        <v>-0.61876709768301141</v>
      </c>
      <c r="CA4">
        <v>-0.10148670877207698</v>
      </c>
      <c r="CB4">
        <v>-0.38190802979594068</v>
      </c>
      <c r="CC4">
        <v>-0.73886440689774224</v>
      </c>
      <c r="CD4">
        <v>-0.19157375950016362</v>
      </c>
      <c r="CE4">
        <v>1.8680821190503047</v>
      </c>
      <c r="CF4">
        <v>0.55074440891837639</v>
      </c>
      <c r="CG4">
        <v>0.28519656624544293</v>
      </c>
      <c r="CH4">
        <v>1.1873182432695344</v>
      </c>
      <c r="CI4">
        <v>-0.92711024370142103</v>
      </c>
      <c r="CJ4">
        <v>1.3913663315639435</v>
      </c>
      <c r="CK4">
        <v>0.7492580200562623</v>
      </c>
      <c r="CL4">
        <v>0.40831238409959053</v>
      </c>
      <c r="CM4">
        <v>0.14263160623511342</v>
      </c>
      <c r="CN4">
        <v>0.31673376502384121</v>
      </c>
      <c r="CO4">
        <v>-0.20566990489099959</v>
      </c>
      <c r="CP4">
        <v>-0.20609320319599048</v>
      </c>
      <c r="CQ4">
        <v>-1.1965781250748406</v>
      </c>
      <c r="CR4">
        <v>-0.54130116509190518</v>
      </c>
      <c r="CS4">
        <v>-0.16020920800402338</v>
      </c>
      <c r="CT4">
        <v>-0.37535784298014158</v>
      </c>
      <c r="CU4">
        <v>-0.68284887633664293</v>
      </c>
      <c r="CV4">
        <v>-2.8239264075062987E-2</v>
      </c>
      <c r="CW4">
        <v>1.7598144454962854</v>
      </c>
      <c r="CX4">
        <v>0.45938457130320254</v>
      </c>
      <c r="CY4">
        <v>0.11237146086790889</v>
      </c>
      <c r="CZ4">
        <v>1.4633224554270556</v>
      </c>
      <c r="DA4">
        <v>-0.9523737004533942</v>
      </c>
      <c r="DB4">
        <v>1.3194630569314503</v>
      </c>
      <c r="DC4">
        <v>0.66223120430468452</v>
      </c>
      <c r="DD4">
        <v>0.40406922226960629</v>
      </c>
      <c r="DE4">
        <v>0.28379638306214444</v>
      </c>
      <c r="DF4">
        <v>0.35143035635763803</v>
      </c>
      <c r="DG4">
        <v>0.49370245437205718</v>
      </c>
      <c r="DH4">
        <v>-0.8477456051480915</v>
      </c>
      <c r="DI4">
        <v>1.4953347542042006</v>
      </c>
      <c r="DJ4">
        <v>1.4711174908839022</v>
      </c>
      <c r="DK4">
        <v>-0.51142760884577243</v>
      </c>
      <c r="DL4">
        <v>0.20317917395076276</v>
      </c>
      <c r="DM4">
        <v>-2.147961051895952</v>
      </c>
      <c r="DN4">
        <v>0.32278247266451532</v>
      </c>
      <c r="DO4">
        <v>-0.10694163716227344</v>
      </c>
      <c r="DP4">
        <v>1.1763752968224717</v>
      </c>
    </row>
    <row r="5" spans="1:120" x14ac:dyDescent="0.35">
      <c r="A5" t="s">
        <v>38</v>
      </c>
      <c r="B5">
        <v>0.54840785283131721</v>
      </c>
      <c r="C5">
        <v>0.51539416135385108</v>
      </c>
      <c r="D5">
        <v>1.0082449434270204</v>
      </c>
      <c r="E5">
        <v>-0.69277411274629908</v>
      </c>
      <c r="F5">
        <v>-0.85760966900176228</v>
      </c>
      <c r="G5">
        <v>0.82478874686397741</v>
      </c>
      <c r="H5">
        <v>0.48655235749942755</v>
      </c>
      <c r="I5">
        <v>-0.2404326091834961</v>
      </c>
      <c r="J5">
        <v>-0.18304117245456622</v>
      </c>
      <c r="K5">
        <v>0.28056967308265723</v>
      </c>
      <c r="L5">
        <v>1.1087430174323428E-2</v>
      </c>
      <c r="M5">
        <v>0.80403025220737523</v>
      </c>
      <c r="N5">
        <v>-0.83174673820528655</v>
      </c>
      <c r="O5">
        <v>8.7160356131072755E-3</v>
      </c>
      <c r="P5">
        <v>-0.581150530631519</v>
      </c>
      <c r="Q5">
        <v>0.54359213718465804</v>
      </c>
      <c r="R5">
        <v>-0.29840927637523934</v>
      </c>
      <c r="S5">
        <v>0.92743066007929742</v>
      </c>
      <c r="T5">
        <v>0.23654368603763024</v>
      </c>
      <c r="U5">
        <v>0.93425049345778344</v>
      </c>
      <c r="V5">
        <v>4.5005282438870628E-2</v>
      </c>
      <c r="W5">
        <v>-0.87834310512435898</v>
      </c>
      <c r="X5">
        <v>-0.74518361884357942</v>
      </c>
      <c r="Y5">
        <v>1.8009592012212035</v>
      </c>
      <c r="Z5">
        <v>1.505761950816666</v>
      </c>
      <c r="AA5">
        <v>0.97356066916021933</v>
      </c>
      <c r="AB5">
        <v>1.1603733133428877</v>
      </c>
      <c r="AC5">
        <v>0.31212490728683456</v>
      </c>
      <c r="AD5">
        <v>-0.24856584876769819</v>
      </c>
      <c r="AE5">
        <v>0.10936965981494998</v>
      </c>
      <c r="AF5">
        <v>-0.72630504164306042</v>
      </c>
      <c r="AG5">
        <v>-0.37013737217944648</v>
      </c>
      <c r="AH5">
        <v>1.3703936277605835</v>
      </c>
      <c r="AI5">
        <v>0.46027043609924989</v>
      </c>
      <c r="AJ5">
        <v>0.15209752953439395</v>
      </c>
      <c r="AK5">
        <v>-0.31618124076581355</v>
      </c>
      <c r="AL5">
        <v>0.27249875719180844</v>
      </c>
      <c r="AM5">
        <v>0.86428595858614954</v>
      </c>
      <c r="AN5">
        <v>0.20677728583495414</v>
      </c>
      <c r="AO5">
        <v>-0.96330885504844732</v>
      </c>
      <c r="AP5">
        <v>-0.82283149656082322</v>
      </c>
      <c r="AQ5">
        <v>1.8928651390142148</v>
      </c>
      <c r="AR5">
        <v>1.60280605934996</v>
      </c>
      <c r="AS5">
        <v>0.51860154486539622</v>
      </c>
      <c r="AT5">
        <v>0.68973558767718446</v>
      </c>
      <c r="AU5">
        <v>0.39508289982933525</v>
      </c>
      <c r="AV5">
        <v>-0.16767257674811978</v>
      </c>
      <c r="AW5">
        <v>0.27359890796126979</v>
      </c>
      <c r="AX5">
        <v>-0.80867867239629354</v>
      </c>
      <c r="AY5">
        <v>-0.48272105116439801</v>
      </c>
      <c r="AZ5">
        <v>1.4236665523008203</v>
      </c>
      <c r="BA5">
        <v>0.53398859794756415</v>
      </c>
      <c r="BB5">
        <v>0.19818308328182671</v>
      </c>
      <c r="BC5">
        <v>-0.42634995107589779</v>
      </c>
      <c r="BD5">
        <v>0.62008442967000399</v>
      </c>
      <c r="BE5">
        <v>0.77063039500769026</v>
      </c>
      <c r="BF5">
        <v>0.69704447753573995</v>
      </c>
      <c r="BG5">
        <v>-0.96276326242421939</v>
      </c>
      <c r="BH5">
        <v>-1.0061509006892031</v>
      </c>
      <c r="BI5">
        <v>1.4916832259961372</v>
      </c>
      <c r="BJ5">
        <v>1.3651969366797443</v>
      </c>
      <c r="BK5">
        <v>0.42076316805960468</v>
      </c>
      <c r="BL5">
        <v>9.9573525694586024E-2</v>
      </c>
      <c r="BM5">
        <v>0.19334240850823189</v>
      </c>
      <c r="BN5">
        <v>0.52340670448060234</v>
      </c>
      <c r="BO5">
        <v>0.52921272055084001</v>
      </c>
      <c r="BP5">
        <v>-0.76755750687833735</v>
      </c>
      <c r="BQ5">
        <v>-0.15501987837924927</v>
      </c>
      <c r="BR5">
        <v>0.67491550408745826</v>
      </c>
      <c r="BS5">
        <v>0.36493295082547439</v>
      </c>
      <c r="BT5">
        <v>-0.13000334404151764</v>
      </c>
      <c r="BU5">
        <v>0.5922170367493238</v>
      </c>
      <c r="BV5">
        <v>0.12025864193931114</v>
      </c>
      <c r="BW5">
        <v>0.28793742341384065</v>
      </c>
      <c r="BX5">
        <v>9.9588061963644281E-2</v>
      </c>
      <c r="BY5">
        <v>-1.0721461702727659</v>
      </c>
      <c r="BZ5">
        <v>-0.70987390961179997</v>
      </c>
      <c r="CA5">
        <v>0.95877185817548505</v>
      </c>
      <c r="CB5">
        <v>0.77396326031985774</v>
      </c>
      <c r="CC5">
        <v>-0.43881794724383677</v>
      </c>
      <c r="CD5">
        <v>-0.37070766448732978</v>
      </c>
      <c r="CE5">
        <v>0.54135620244306992</v>
      </c>
      <c r="CF5">
        <v>0.44337907288374639</v>
      </c>
      <c r="CG5">
        <v>0.28519656624544293</v>
      </c>
      <c r="CH5">
        <v>-0.32788558271347712</v>
      </c>
      <c r="CI5">
        <v>-0.32503394426237991</v>
      </c>
      <c r="CJ5">
        <v>1.2641249040826488</v>
      </c>
      <c r="CK5">
        <v>0.42461819453299432</v>
      </c>
      <c r="CL5">
        <v>0.20752363739459989</v>
      </c>
      <c r="CM5">
        <v>-0.10894268021645245</v>
      </c>
      <c r="CN5">
        <v>9.6687149323067129E-2</v>
      </c>
      <c r="CO5">
        <v>0.3245728186561086</v>
      </c>
      <c r="CP5">
        <v>-0.12129176048442208</v>
      </c>
      <c r="CQ5">
        <v>-0.98450086726779085</v>
      </c>
      <c r="CR5">
        <v>-0.65580718078442546</v>
      </c>
      <c r="CS5">
        <v>0.8753088598065405</v>
      </c>
      <c r="CT5">
        <v>0.72759168304360233</v>
      </c>
      <c r="CU5">
        <v>-0.31554630226803304</v>
      </c>
      <c r="CV5">
        <v>-0.23791579983240635</v>
      </c>
      <c r="CW5">
        <v>0.47773052268264449</v>
      </c>
      <c r="CX5">
        <v>0.35071295228523991</v>
      </c>
      <c r="CY5">
        <v>0.11237146086790889</v>
      </c>
      <c r="CZ5">
        <v>-0.20247472956499374</v>
      </c>
      <c r="DA5">
        <v>-0.16700686142240054</v>
      </c>
      <c r="DB5">
        <v>1.1980960531612228</v>
      </c>
      <c r="DC5">
        <v>0.33761008704749346</v>
      </c>
      <c r="DD5">
        <v>0.21236868705237505</v>
      </c>
      <c r="DE5">
        <v>1.7469283668586844E-2</v>
      </c>
      <c r="DF5">
        <v>1.1860683370160616</v>
      </c>
      <c r="DG5">
        <v>0.45116980827996817</v>
      </c>
      <c r="DH5">
        <v>-0.25474568805491693</v>
      </c>
      <c r="DI5">
        <v>-0.9145858708163731</v>
      </c>
      <c r="DJ5">
        <v>-0.93214334784884023</v>
      </c>
      <c r="DK5">
        <v>7.3204112096797405E-2</v>
      </c>
      <c r="DL5">
        <v>0.9232325644791991</v>
      </c>
      <c r="DM5">
        <v>-0.32556510250238058</v>
      </c>
      <c r="DN5">
        <v>0.65748661775570383</v>
      </c>
      <c r="DO5">
        <v>-1.5831123745281837</v>
      </c>
      <c r="DP5">
        <v>-0.76051736125060376</v>
      </c>
    </row>
    <row r="6" spans="1:120" x14ac:dyDescent="0.35">
      <c r="A6" t="s">
        <v>39</v>
      </c>
      <c r="B6">
        <v>0.17137745400978666</v>
      </c>
      <c r="C6">
        <v>0.51539416135385108</v>
      </c>
      <c r="D6">
        <v>0.9771350012735921</v>
      </c>
      <c r="E6">
        <v>0.9148613508407335</v>
      </c>
      <c r="F6">
        <v>-0.14563183058520435</v>
      </c>
      <c r="G6">
        <v>0.14743950978717321</v>
      </c>
      <c r="H6">
        <v>9.822388696178902E-2</v>
      </c>
      <c r="I6">
        <v>0.21771456737088235</v>
      </c>
      <c r="J6">
        <v>7.7961980860278349E-2</v>
      </c>
      <c r="K6">
        <v>2.710818097416981E-2</v>
      </c>
      <c r="L6">
        <v>1.7490421099996154</v>
      </c>
      <c r="M6">
        <v>0.80403025220737523</v>
      </c>
      <c r="N6">
        <v>-1.2594516456746907</v>
      </c>
      <c r="O6">
        <v>-0.2213873045729188</v>
      </c>
      <c r="P6">
        <v>-1.3516972994831578</v>
      </c>
      <c r="Q6">
        <v>-0.27299319315522896</v>
      </c>
      <c r="R6">
        <v>-0.13579373523243179</v>
      </c>
      <c r="S6">
        <v>-0.32255124114451533</v>
      </c>
      <c r="T6">
        <v>0.50051272697817395</v>
      </c>
      <c r="U6">
        <v>0.59619932806187503</v>
      </c>
      <c r="V6">
        <v>1.0732028889268737</v>
      </c>
      <c r="W6">
        <v>-0.46144010640180266</v>
      </c>
      <c r="X6">
        <v>-0.74518361884357942</v>
      </c>
      <c r="Y6">
        <v>0.81877523342702918</v>
      </c>
      <c r="Z6">
        <v>0.52905122191998644</v>
      </c>
      <c r="AA6">
        <v>-5.6166961682320243E-2</v>
      </c>
      <c r="AB6">
        <v>-1.392447976011469E-2</v>
      </c>
      <c r="AC6">
        <v>5.9877023030535555E-2</v>
      </c>
      <c r="AD6">
        <v>6.1500828561079801E-2</v>
      </c>
      <c r="AE6">
        <v>0.8312094145936324</v>
      </c>
      <c r="AF6">
        <v>-0.79396861164082122</v>
      </c>
      <c r="AG6">
        <v>0.3786462772870155</v>
      </c>
      <c r="AH6">
        <v>-0.62047832807585923</v>
      </c>
      <c r="AI6">
        <v>0.47143868071051548</v>
      </c>
      <c r="AJ6">
        <v>-0.32280384124666484</v>
      </c>
      <c r="AK6">
        <v>1.1844889057858528</v>
      </c>
      <c r="AL6">
        <v>0.54828063194014465</v>
      </c>
      <c r="AM6">
        <v>0.52312044861793283</v>
      </c>
      <c r="AN6">
        <v>1.0825399081947555</v>
      </c>
      <c r="AO6">
        <v>-0.53839034209337577</v>
      </c>
      <c r="AP6">
        <v>-0.82283149656082322</v>
      </c>
      <c r="AQ6">
        <v>0.90538892544930138</v>
      </c>
      <c r="AR6">
        <v>0.58624886386803698</v>
      </c>
      <c r="AS6">
        <v>-0.24565336335729288</v>
      </c>
      <c r="AT6">
        <v>-0.20822206420443315</v>
      </c>
      <c r="AU6">
        <v>0.14110103565333396</v>
      </c>
      <c r="AV6">
        <v>0.14405672086810312</v>
      </c>
      <c r="AW6">
        <v>0.85298483070278563</v>
      </c>
      <c r="AX6">
        <v>-0.87152411418314324</v>
      </c>
      <c r="AY6">
        <v>0.11523018640698367</v>
      </c>
      <c r="AZ6">
        <v>-0.66247898213395195</v>
      </c>
      <c r="BA6">
        <v>0.54542121208029426</v>
      </c>
      <c r="BB6">
        <v>-0.29504026499557401</v>
      </c>
      <c r="BC6">
        <v>0.97719136526124772</v>
      </c>
      <c r="BD6">
        <v>0.33491565805905293</v>
      </c>
      <c r="BE6">
        <v>0.17759383588654581</v>
      </c>
      <c r="BF6">
        <v>0.92016112059698352</v>
      </c>
      <c r="BG6">
        <v>0.51822954251068054</v>
      </c>
      <c r="BH6">
        <v>-0.4832693302522939</v>
      </c>
      <c r="BI6">
        <v>0.41652067180088564</v>
      </c>
      <c r="BJ6">
        <v>0.23711013623920713</v>
      </c>
      <c r="BK6">
        <v>-0.344131764770503</v>
      </c>
      <c r="BL6">
        <v>-0.38723037770116797</v>
      </c>
      <c r="BM6">
        <v>5.5728105981784452E-2</v>
      </c>
      <c r="BN6">
        <v>1.6284997571008324</v>
      </c>
      <c r="BO6">
        <v>0.83031650982976668</v>
      </c>
      <c r="BP6">
        <v>-1.282742248457168</v>
      </c>
      <c r="BQ6">
        <v>-3.1208622379981329E-2</v>
      </c>
      <c r="BR6">
        <v>-0.91894255048767204</v>
      </c>
      <c r="BS6">
        <v>0.12305624947838334</v>
      </c>
      <c r="BT6">
        <v>-0.18666765200109428</v>
      </c>
      <c r="BU6">
        <v>0.44528443228054226</v>
      </c>
      <c r="BV6">
        <v>0.5270910689254924</v>
      </c>
      <c r="BW6">
        <v>0.81810791731869026</v>
      </c>
      <c r="BX6">
        <v>0.77620107118722725</v>
      </c>
      <c r="BY6">
        <v>-0.84070000930333488</v>
      </c>
      <c r="BZ6">
        <v>-1.0287477513625545</v>
      </c>
      <c r="CA6">
        <v>1.4489278439996325</v>
      </c>
      <c r="CB6">
        <v>1.283671676613076</v>
      </c>
      <c r="CC6">
        <v>0.28879471741688406</v>
      </c>
      <c r="CD6">
        <v>-5.8881978028188738E-2</v>
      </c>
      <c r="CE6">
        <v>0.10431707697245135</v>
      </c>
      <c r="CF6">
        <v>0.61635655871731665</v>
      </c>
      <c r="CG6">
        <v>0.5963200930586533</v>
      </c>
      <c r="CH6">
        <v>-0.73048887106278648</v>
      </c>
      <c r="CI6">
        <v>-1.0907179337662797E-2</v>
      </c>
      <c r="CJ6">
        <v>0.67671182928006823</v>
      </c>
      <c r="CK6">
        <v>0.35155991071832543</v>
      </c>
      <c r="CL6">
        <v>-0.10287130271768037</v>
      </c>
      <c r="CM6">
        <v>0.46900518064033647</v>
      </c>
      <c r="CN6">
        <v>0.48543617039443449</v>
      </c>
      <c r="CO6">
        <v>0.83714078475164677</v>
      </c>
      <c r="CP6">
        <v>0.74933638468766306</v>
      </c>
      <c r="CQ6">
        <v>-0.75544953391732061</v>
      </c>
      <c r="CR6">
        <v>-1.0565782357082403</v>
      </c>
      <c r="CS6">
        <v>1.3540273490404089</v>
      </c>
      <c r="CT6">
        <v>1.2139630125924117</v>
      </c>
      <c r="CU6">
        <v>0.57516243984834625</v>
      </c>
      <c r="CV6">
        <v>0.12707668833778391</v>
      </c>
      <c r="CW6">
        <v>5.5396995167562746E-2</v>
      </c>
      <c r="CX6">
        <v>0.52579500514751265</v>
      </c>
      <c r="CY6">
        <v>0.5244001507169066</v>
      </c>
      <c r="CZ6">
        <v>-0.6450920282414434</v>
      </c>
      <c r="DA6">
        <v>0.24274975024594397</v>
      </c>
      <c r="DB6">
        <v>0.63780239506998537</v>
      </c>
      <c r="DC6">
        <v>0.26455601341809842</v>
      </c>
      <c r="DD6">
        <v>-8.397698532571557E-2</v>
      </c>
      <c r="DE6">
        <v>0.62930914836133223</v>
      </c>
      <c r="DF6">
        <v>9.4963922031045395E-2</v>
      </c>
      <c r="DG6">
        <v>2.4094142840428763</v>
      </c>
      <c r="DH6">
        <v>0.61498752368173937</v>
      </c>
      <c r="DI6">
        <v>-0.65291053998780335</v>
      </c>
      <c r="DJ6">
        <v>-0.42993625335730928</v>
      </c>
      <c r="DK6">
        <v>1.1030054305257799</v>
      </c>
      <c r="DL6">
        <v>0.20317917395076276</v>
      </c>
      <c r="DM6">
        <v>-0.93471678527246693</v>
      </c>
      <c r="DN6">
        <v>-1.0710951758150526</v>
      </c>
      <c r="DO6">
        <v>-1.1743686695543702</v>
      </c>
      <c r="DP6">
        <v>-0.64389955671947774</v>
      </c>
    </row>
    <row r="7" spans="1:120" x14ac:dyDescent="0.35">
      <c r="A7" t="s">
        <v>40</v>
      </c>
      <c r="B7">
        <v>0.20908049389193972</v>
      </c>
      <c r="C7">
        <v>-0.13625362886366205</v>
      </c>
      <c r="D7">
        <v>0.30827124497488156</v>
      </c>
      <c r="E7">
        <v>1.3060661112638587</v>
      </c>
      <c r="F7">
        <v>3.2362629018935128E-2</v>
      </c>
      <c r="G7">
        <v>-0.35293573401207173</v>
      </c>
      <c r="H7">
        <v>-0.36770475624536347</v>
      </c>
      <c r="I7">
        <v>-7.3833635890994814E-2</v>
      </c>
      <c r="J7">
        <v>-0.22032733721382966</v>
      </c>
      <c r="K7">
        <v>-4.7439316704797126E-2</v>
      </c>
      <c r="L7">
        <v>1.4746282131850963</v>
      </c>
      <c r="M7">
        <v>0.25125945381480397</v>
      </c>
      <c r="N7">
        <v>-0.95967307825880233</v>
      </c>
      <c r="O7">
        <v>-0.27891313961942465</v>
      </c>
      <c r="P7">
        <v>-0.60075047338036358</v>
      </c>
      <c r="Q7">
        <v>6.3000915911985769E-2</v>
      </c>
      <c r="R7">
        <v>-1.3357828070778905</v>
      </c>
      <c r="S7">
        <v>0.73756898259749926</v>
      </c>
      <c r="T7">
        <v>0.12341409706311141</v>
      </c>
      <c r="U7">
        <v>0.59619932806187503</v>
      </c>
      <c r="V7">
        <v>1.0351214960939847</v>
      </c>
      <c r="W7">
        <v>1.0401652645626986</v>
      </c>
      <c r="X7">
        <v>5.4525630647090907E-2</v>
      </c>
      <c r="Y7">
        <v>0.18009085213697593</v>
      </c>
      <c r="Z7">
        <v>0.19085264946922986</v>
      </c>
      <c r="AA7">
        <v>0.59109040627584752</v>
      </c>
      <c r="AB7">
        <v>0.34347050074949487</v>
      </c>
      <c r="AC7">
        <v>-0.17835708987819118</v>
      </c>
      <c r="AD7">
        <v>1.6682099747192956</v>
      </c>
      <c r="AE7">
        <v>0.8312094145936324</v>
      </c>
      <c r="AF7">
        <v>-1.2769384016595746</v>
      </c>
      <c r="AG7">
        <v>9.7852408737091834E-2</v>
      </c>
      <c r="AH7">
        <v>-1.3670087697164179</v>
      </c>
      <c r="AI7">
        <v>-0.36256088293676192</v>
      </c>
      <c r="AJ7">
        <v>-0.15888426667362826</v>
      </c>
      <c r="AK7">
        <v>-0.2170479487068103</v>
      </c>
      <c r="AL7">
        <v>0.15430652515680712</v>
      </c>
      <c r="AM7">
        <v>0.52312044861793283</v>
      </c>
      <c r="AN7">
        <v>1.0501042555147631</v>
      </c>
      <c r="AO7">
        <v>0.99208538782624822</v>
      </c>
      <c r="AP7">
        <v>-9.142572184009147E-2</v>
      </c>
      <c r="AQ7">
        <v>0.26326315758957058</v>
      </c>
      <c r="AR7">
        <v>0.23425294311584516</v>
      </c>
      <c r="AS7">
        <v>0.2347354360969689</v>
      </c>
      <c r="AT7">
        <v>6.5069395063885344E-2</v>
      </c>
      <c r="AU7">
        <v>-9.8770724957333814E-2</v>
      </c>
      <c r="AV7">
        <v>1.7593812630612606</v>
      </c>
      <c r="AW7">
        <v>0.85298483070278563</v>
      </c>
      <c r="AX7">
        <v>-1.3201030145343227</v>
      </c>
      <c r="AY7">
        <v>-0.10900152768228479</v>
      </c>
      <c r="AZ7">
        <v>-1.4447347884817578</v>
      </c>
      <c r="BA7">
        <v>-0.30832040353821311</v>
      </c>
      <c r="BB7">
        <v>-0.12479657568772921</v>
      </c>
      <c r="BC7">
        <v>-0.33363292625265639</v>
      </c>
      <c r="BD7">
        <v>0.13452679152162814</v>
      </c>
      <c r="BE7">
        <v>-4.9155436718597241E-2</v>
      </c>
      <c r="BF7">
        <v>0.56403263263384351</v>
      </c>
      <c r="BG7">
        <v>0.71583091847657399</v>
      </c>
      <c r="BH7">
        <v>3.9612240184615802E-2</v>
      </c>
      <c r="BI7">
        <v>9.2878057331544153E-3</v>
      </c>
      <c r="BJ7">
        <v>3.7957057870113332E-3</v>
      </c>
      <c r="BK7">
        <v>-0.17632318256797941</v>
      </c>
      <c r="BL7">
        <v>-0.28396894364752318</v>
      </c>
      <c r="BM7">
        <v>-8.8141392114046854E-2</v>
      </c>
      <c r="BN7">
        <v>1.6040778111865726</v>
      </c>
      <c r="BO7">
        <v>0.52921272055084001</v>
      </c>
      <c r="BP7">
        <v>-0.75209377409454048</v>
      </c>
      <c r="BQ7">
        <v>-0.22255329074248603</v>
      </c>
      <c r="BR7">
        <v>-1.0062499089042272</v>
      </c>
      <c r="BS7">
        <v>5.4631018250711039E-2</v>
      </c>
      <c r="BT7">
        <v>-1.1639904412455839</v>
      </c>
      <c r="BU7">
        <v>0.22525108017833231</v>
      </c>
      <c r="BV7">
        <v>0.24307597838796968</v>
      </c>
      <c r="BW7">
        <v>0.19652871756817686</v>
      </c>
      <c r="BX7">
        <v>1.0046678015744104</v>
      </c>
      <c r="BY7">
        <v>0.61069976360062206</v>
      </c>
      <c r="BZ7">
        <v>-0.48210687978983191</v>
      </c>
      <c r="CA7">
        <v>0.52346075230190003</v>
      </c>
      <c r="CB7">
        <v>0.37594715587132471</v>
      </c>
      <c r="CC7">
        <v>-0.44631910873518443</v>
      </c>
      <c r="CD7">
        <v>-0.49676485688570599</v>
      </c>
      <c r="CE7">
        <v>-3.3038076746886053E-2</v>
      </c>
      <c r="CF7">
        <v>1.6959746599544219</v>
      </c>
      <c r="CG7">
        <v>0.90744361987186384</v>
      </c>
      <c r="CH7">
        <v>-1.2597723993171259</v>
      </c>
      <c r="CI7">
        <v>0.10427263446806621</v>
      </c>
      <c r="CJ7">
        <v>-0.98714587052794978</v>
      </c>
      <c r="CK7">
        <v>9.9180346510960929E-2</v>
      </c>
      <c r="CL7">
        <v>-0.1619210412315894</v>
      </c>
      <c r="CM7">
        <v>0.32597828509088428</v>
      </c>
      <c r="CN7">
        <v>0.21404534436347997</v>
      </c>
      <c r="CO7">
        <v>0.23619903139825715</v>
      </c>
      <c r="CP7">
        <v>1.0433147194210934</v>
      </c>
      <c r="CQ7">
        <v>0.6809322657018555</v>
      </c>
      <c r="CR7">
        <v>-0.3695421415531287</v>
      </c>
      <c r="CS7">
        <v>0.45015547807207462</v>
      </c>
      <c r="CT7">
        <v>0.34779881379831906</v>
      </c>
      <c r="CU7">
        <v>-0.32472886661974831</v>
      </c>
      <c r="CV7">
        <v>-0.38546595462461092</v>
      </c>
      <c r="CW7">
        <v>-7.7336399194320213E-2</v>
      </c>
      <c r="CX7">
        <v>1.6185485074947956</v>
      </c>
      <c r="CY7">
        <v>0.93642884056590425</v>
      </c>
      <c r="CZ7">
        <v>-1.2269800860126383</v>
      </c>
      <c r="DA7">
        <v>0.39299384119100284</v>
      </c>
      <c r="DB7">
        <v>-0.94923908759026965</v>
      </c>
      <c r="DC7">
        <v>1.219099327978637E-2</v>
      </c>
      <c r="DD7">
        <v>-0.14035398186220802</v>
      </c>
      <c r="DE7">
        <v>0.47789487322123536</v>
      </c>
      <c r="DF7">
        <v>-0.59934709974218248</v>
      </c>
      <c r="DG7">
        <v>0.17800076954124247</v>
      </c>
      <c r="DH7">
        <v>-6.2892773701242813E-2</v>
      </c>
      <c r="DI7">
        <v>-0.5186496672034806</v>
      </c>
      <c r="DJ7">
        <v>-0.49672809281978464</v>
      </c>
      <c r="DK7">
        <v>-0.34626997017769678</v>
      </c>
      <c r="DL7">
        <v>-0.4514148174387248</v>
      </c>
      <c r="DM7">
        <v>0.32492842360924207</v>
      </c>
      <c r="DN7">
        <v>-0.72712397835094389</v>
      </c>
      <c r="DO7">
        <v>1.5142658715746706</v>
      </c>
      <c r="DP7">
        <v>-0.1066125639154664</v>
      </c>
    </row>
    <row r="8" spans="1:120" x14ac:dyDescent="0.35">
      <c r="A8" t="s">
        <v>41</v>
      </c>
      <c r="B8">
        <v>0.58611089271347006</v>
      </c>
      <c r="C8">
        <v>1.0367123935278615</v>
      </c>
      <c r="D8">
        <v>0.35493615820502444</v>
      </c>
      <c r="E8">
        <v>0.41802928546082074</v>
      </c>
      <c r="F8">
        <v>-0.32362629018934386</v>
      </c>
      <c r="G8">
        <v>1.1751893705248899</v>
      </c>
      <c r="H8">
        <v>1.7347215078035967</v>
      </c>
      <c r="I8">
        <v>0.48843789897119688</v>
      </c>
      <c r="J8">
        <v>0.54403904035107198</v>
      </c>
      <c r="K8">
        <v>0.29547917261845075</v>
      </c>
      <c r="L8">
        <v>-0.78166382728984474</v>
      </c>
      <c r="M8">
        <v>0.25125945381480397</v>
      </c>
      <c r="N8">
        <v>-0.42083498196612407</v>
      </c>
      <c r="O8">
        <v>8.5417149008450211E-2</v>
      </c>
      <c r="P8">
        <v>-0.21451630744724767</v>
      </c>
      <c r="Q8">
        <v>0.33254441861498674</v>
      </c>
      <c r="R8">
        <v>0.41511085354541205</v>
      </c>
      <c r="S8">
        <v>-3.1893231767394573E-2</v>
      </c>
      <c r="T8">
        <v>0.16112396005461768</v>
      </c>
      <c r="U8">
        <v>-7.9903002729942108E-2</v>
      </c>
      <c r="V8">
        <v>0.2163715501868709</v>
      </c>
      <c r="W8">
        <v>1.4055684810901152</v>
      </c>
      <c r="X8">
        <v>0.25445294301975846</v>
      </c>
      <c r="Y8">
        <v>-0.29172167160333368</v>
      </c>
      <c r="Z8">
        <v>-0.21492857429325474</v>
      </c>
      <c r="AA8">
        <v>0.17919935393883171</v>
      </c>
      <c r="AB8">
        <v>-6.4980905547201706E-2</v>
      </c>
      <c r="AC8">
        <v>-0.24842594661605202</v>
      </c>
      <c r="AD8">
        <v>1.4145190569048409</v>
      </c>
      <c r="AE8">
        <v>0.10936965981494998</v>
      </c>
      <c r="AF8">
        <v>-0.9384246525103872</v>
      </c>
      <c r="AG8">
        <v>2.7653941599611754E-2</v>
      </c>
      <c r="AH8">
        <v>-0.63946738170362405</v>
      </c>
      <c r="AI8">
        <v>-1.9401472721203211E-2</v>
      </c>
      <c r="AJ8">
        <v>-1.3684961940874965</v>
      </c>
      <c r="AK8">
        <v>0.97160731287157731</v>
      </c>
      <c r="AL8">
        <v>0.19370393583514089</v>
      </c>
      <c r="AM8">
        <v>-0.15921057131850122</v>
      </c>
      <c r="AN8">
        <v>0.35273772289492084</v>
      </c>
      <c r="AO8">
        <v>1.3645139668280457</v>
      </c>
      <c r="AP8">
        <v>9.142572184009147E-2</v>
      </c>
      <c r="AQ8">
        <v>-0.21109160662219995</v>
      </c>
      <c r="AR8">
        <v>-0.18808277062530071</v>
      </c>
      <c r="AS8">
        <v>-7.0966527192106763E-2</v>
      </c>
      <c r="AT8">
        <v>-0.24726370124276431</v>
      </c>
      <c r="AU8">
        <v>-0.16932124278400085</v>
      </c>
      <c r="AV8">
        <v>1.5043300195570783</v>
      </c>
      <c r="AW8">
        <v>0.27359890796126979</v>
      </c>
      <c r="AX8">
        <v>-1.0056938558554718</v>
      </c>
      <c r="AY8">
        <v>-0.16505945620460125</v>
      </c>
      <c r="AZ8">
        <v>-0.68237676074928266</v>
      </c>
      <c r="BA8">
        <v>4.2962117535179804E-2</v>
      </c>
      <c r="BB8">
        <v>-1.3810760510956865</v>
      </c>
      <c r="BC8">
        <v>0.77808824334639881</v>
      </c>
      <c r="BD8">
        <v>0.55071905279166444</v>
      </c>
      <c r="BE8">
        <v>1.4508782128231201</v>
      </c>
      <c r="BF8">
        <v>0.37524162696663738</v>
      </c>
      <c r="BG8">
        <v>0.93607199894937487</v>
      </c>
      <c r="BH8">
        <v>-0.13468161662768743</v>
      </c>
      <c r="BI8">
        <v>0.86810170979351908</v>
      </c>
      <c r="BJ8">
        <v>1.2353076683020445</v>
      </c>
      <c r="BK8">
        <v>0.97882426701218328</v>
      </c>
      <c r="BL8">
        <v>1.0104868903820952</v>
      </c>
      <c r="BM8">
        <v>0.35597749331221501</v>
      </c>
      <c r="BN8">
        <v>-0.78316740193226742</v>
      </c>
      <c r="BO8">
        <v>0.22810893127191334</v>
      </c>
      <c r="BP8">
        <v>-0.69165853594091653</v>
      </c>
      <c r="BQ8">
        <v>0.18827496780054218</v>
      </c>
      <c r="BR8">
        <v>-0.72124221004713762</v>
      </c>
      <c r="BS8">
        <v>0.34633054642580086</v>
      </c>
      <c r="BT8">
        <v>0.11396994225995941</v>
      </c>
      <c r="BU8">
        <v>0.34508659860475227</v>
      </c>
      <c r="BV8">
        <v>4.3497806658899976E-2</v>
      </c>
      <c r="BW8">
        <v>-4.1133917630548446E-2</v>
      </c>
      <c r="BX8">
        <v>0.63999975114871299</v>
      </c>
      <c r="BY8">
        <v>0.80435269104682539</v>
      </c>
      <c r="BZ8">
        <v>6.4533991782891362E-2</v>
      </c>
      <c r="CA8">
        <v>0.17292713788902939</v>
      </c>
      <c r="CB8">
        <v>0.18820873939340094</v>
      </c>
      <c r="CC8">
        <v>-0.28504413667121026</v>
      </c>
      <c r="CD8">
        <v>-0.40388060985532354</v>
      </c>
      <c r="CE8">
        <v>-0.17663664654437503</v>
      </c>
      <c r="CF8">
        <v>1.6721156963911703</v>
      </c>
      <c r="CG8">
        <v>0.5963200930586533</v>
      </c>
      <c r="CH8">
        <v>-0.71460195053267239</v>
      </c>
      <c r="CI8">
        <v>-7.3732532322605626E-2</v>
      </c>
      <c r="CJ8">
        <v>-1.0782876256762819</v>
      </c>
      <c r="CK8">
        <v>2.7783928659011522E-2</v>
      </c>
      <c r="CL8">
        <v>-1.1803867602471845</v>
      </c>
      <c r="CM8">
        <v>0.11179377932854936</v>
      </c>
      <c r="CN8">
        <v>2.3338277422809504E-2</v>
      </c>
      <c r="CO8">
        <v>6.4271845278438752E-3</v>
      </c>
      <c r="CP8">
        <v>0.57408006975042403</v>
      </c>
      <c r="CQ8">
        <v>0.87258142096536928</v>
      </c>
      <c r="CR8">
        <v>0.31749395260198354</v>
      </c>
      <c r="CS8">
        <v>0.10780135577105539</v>
      </c>
      <c r="CT8">
        <v>0.16865603272791987</v>
      </c>
      <c r="CU8">
        <v>-0.12730373305787046</v>
      </c>
      <c r="CV8">
        <v>-0.27674478793561808</v>
      </c>
      <c r="CW8">
        <v>-0.21610312966356138</v>
      </c>
      <c r="CX8">
        <v>1.5943992588241367</v>
      </c>
      <c r="CY8">
        <v>0.5244001507169066</v>
      </c>
      <c r="CZ8">
        <v>-0.62762613550579949</v>
      </c>
      <c r="DA8">
        <v>0.16079842791227586</v>
      </c>
      <c r="DB8">
        <v>-1.0361730520991075</v>
      </c>
      <c r="DC8">
        <v>-5.9201310156502651E-2</v>
      </c>
      <c r="DD8">
        <v>-1.1127213412867343</v>
      </c>
      <c r="DE8">
        <v>0.25115016509023341</v>
      </c>
      <c r="DF8">
        <v>0.18584381627840835</v>
      </c>
      <c r="DG8">
        <v>-1.5718258019585267</v>
      </c>
      <c r="DH8">
        <v>-0.62748849308491239</v>
      </c>
      <c r="DI8">
        <v>1.3326758473106177</v>
      </c>
      <c r="DJ8">
        <v>1.5357200124680876</v>
      </c>
      <c r="DK8">
        <v>-1.471700584883386</v>
      </c>
      <c r="DL8">
        <v>0.20317917395076276</v>
      </c>
      <c r="DM8">
        <v>0.6910141234104914</v>
      </c>
      <c r="DN8">
        <v>0.12945347963563589</v>
      </c>
      <c r="DO8">
        <v>0.44583065780498837</v>
      </c>
      <c r="DP8">
        <v>2.4368187026683849E-2</v>
      </c>
    </row>
    <row r="9" spans="1:120" x14ac:dyDescent="0.35">
      <c r="A9" t="s">
        <v>42</v>
      </c>
      <c r="B9">
        <v>0.20908049389193972</v>
      </c>
      <c r="C9">
        <v>-1.1137253141899315</v>
      </c>
      <c r="D9">
        <v>0.74381043512287992</v>
      </c>
      <c r="E9">
        <v>0.5937381866317647</v>
      </c>
      <c r="F9">
        <v>-0.32362629018934386</v>
      </c>
      <c r="G9">
        <v>0.12842170315990706</v>
      </c>
      <c r="H9">
        <v>-0.28086036330005487</v>
      </c>
      <c r="I9">
        <v>3.0290722416818419E-2</v>
      </c>
      <c r="J9">
        <v>-0.23897041959346144</v>
      </c>
      <c r="K9">
        <v>-0.27108180974169788</v>
      </c>
      <c r="L9">
        <v>-1.3914724868776667</v>
      </c>
      <c r="M9">
        <v>0.80403025220737523</v>
      </c>
      <c r="N9">
        <v>-0.49130376326492814</v>
      </c>
      <c r="O9">
        <v>-0.31726369631709611</v>
      </c>
      <c r="P9">
        <v>-0.71681287946175765</v>
      </c>
      <c r="Q9">
        <v>0.7771589141901053</v>
      </c>
      <c r="R9">
        <v>-2.2461516121882474E-2</v>
      </c>
      <c r="S9">
        <v>-0.25818324291409023</v>
      </c>
      <c r="T9">
        <v>0.53822258996967998</v>
      </c>
      <c r="U9">
        <v>1.1370811926953286</v>
      </c>
      <c r="V9">
        <v>0.27349363943620475</v>
      </c>
      <c r="W9">
        <v>0.57610129313397018</v>
      </c>
      <c r="X9">
        <v>-0.14540168172557666</v>
      </c>
      <c r="Y9">
        <v>1.1491740783306406</v>
      </c>
      <c r="Z9">
        <v>1.6160923657884974</v>
      </c>
      <c r="AA9">
        <v>0.97356066916021933</v>
      </c>
      <c r="AB9">
        <v>0.98167582308808288</v>
      </c>
      <c r="AC9">
        <v>7.3890794378107832E-2</v>
      </c>
      <c r="AD9">
        <v>-0.67138404512512373</v>
      </c>
      <c r="AE9">
        <v>0.10936965981494998</v>
      </c>
      <c r="AF9">
        <v>-0.32996186034755431</v>
      </c>
      <c r="AG9">
        <v>0.47224423347032451</v>
      </c>
      <c r="AH9">
        <v>-0.26527132492119915</v>
      </c>
      <c r="AI9">
        <v>0.25589022709992082</v>
      </c>
      <c r="AJ9">
        <v>0.39643809174409272</v>
      </c>
      <c r="AK9">
        <v>0.10885109974874688</v>
      </c>
      <c r="AL9">
        <v>0.58767804261847811</v>
      </c>
      <c r="AM9">
        <v>1.0689852645670799</v>
      </c>
      <c r="AN9">
        <v>0.40139120191491012</v>
      </c>
      <c r="AO9">
        <v>0.51909916978576076</v>
      </c>
      <c r="AP9">
        <v>-0.27427716552027442</v>
      </c>
      <c r="AQ9">
        <v>1.2375680395763304</v>
      </c>
      <c r="AR9">
        <v>1.7176375789615215</v>
      </c>
      <c r="AS9">
        <v>0.51860154486539622</v>
      </c>
      <c r="AT9">
        <v>0.55308985804302524</v>
      </c>
      <c r="AU9">
        <v>0.15521113921866747</v>
      </c>
      <c r="AV9">
        <v>-0.59275798258842483</v>
      </c>
      <c r="AW9">
        <v>0.27359890796126979</v>
      </c>
      <c r="AX9">
        <v>-0.44055794910980645</v>
      </c>
      <c r="AY9">
        <v>0.18997409110340738</v>
      </c>
      <c r="AZ9">
        <v>-0.29027347627070643</v>
      </c>
      <c r="BA9">
        <v>0.32477039516043255</v>
      </c>
      <c r="BB9">
        <v>0.45195044978751386</v>
      </c>
      <c r="BC9">
        <v>-2.8827249593193601E-2</v>
      </c>
      <c r="BD9">
        <v>0.25784301708312013</v>
      </c>
      <c r="BE9">
        <v>-0.886383520183742</v>
      </c>
      <c r="BF9">
        <v>0.81718420841487138</v>
      </c>
      <c r="BG9">
        <v>0.52296098637392141</v>
      </c>
      <c r="BH9">
        <v>-0.22182854503383906</v>
      </c>
      <c r="BI9">
        <v>0.82967396379804681</v>
      </c>
      <c r="BJ9">
        <v>0.7956092273980202</v>
      </c>
      <c r="BK9">
        <v>-8.2662578547966215E-2</v>
      </c>
      <c r="BL9">
        <v>-0.28028103528846443</v>
      </c>
      <c r="BM9">
        <v>-0.2413936835639541</v>
      </c>
      <c r="BN9">
        <v>-1.0457033205105541</v>
      </c>
      <c r="BO9">
        <v>0.83031650982976668</v>
      </c>
      <c r="BP9">
        <v>-0.7155858230378791</v>
      </c>
      <c r="BQ9">
        <v>5.8835927437669827E-2</v>
      </c>
      <c r="BR9">
        <v>-0.1410615377403894</v>
      </c>
      <c r="BS9">
        <v>0.63596379992971686</v>
      </c>
      <c r="BT9">
        <v>-0.63352788193627363</v>
      </c>
      <c r="BU9">
        <v>-0.12156797166377849</v>
      </c>
      <c r="BV9">
        <v>0.45800631717312196</v>
      </c>
      <c r="BW9">
        <v>1.531095822914867</v>
      </c>
      <c r="BX9">
        <v>0.44668174851340403</v>
      </c>
      <c r="BY9">
        <v>1.0201929389651105</v>
      </c>
      <c r="BZ9">
        <v>-0.11767963207468306</v>
      </c>
      <c r="CA9">
        <v>0.91216791873562797</v>
      </c>
      <c r="CB9">
        <v>1.1791551856466</v>
      </c>
      <c r="CC9">
        <v>0.82512776404824018</v>
      </c>
      <c r="CD9">
        <v>0.76048977256125627</v>
      </c>
      <c r="CE9">
        <v>0.26664589500439528</v>
      </c>
      <c r="CF9">
        <v>-0.66009799191660989</v>
      </c>
      <c r="CG9">
        <v>0.28519656624544293</v>
      </c>
      <c r="CH9">
        <v>-0.65251281337613876</v>
      </c>
      <c r="CI9">
        <v>0.30845503166913413</v>
      </c>
      <c r="CJ9">
        <v>-0.78076285370131293</v>
      </c>
      <c r="CK9">
        <v>0.33214974558273563</v>
      </c>
      <c r="CL9">
        <v>0.15137266988600298</v>
      </c>
      <c r="CM9">
        <v>0.22844387369703012</v>
      </c>
      <c r="CN9">
        <v>0.41942218568420225</v>
      </c>
      <c r="CO9">
        <v>1.5264563253628873</v>
      </c>
      <c r="CP9">
        <v>0.3253291711298289</v>
      </c>
      <c r="CQ9">
        <v>1.0861883193010431</v>
      </c>
      <c r="CR9">
        <v>8.8481921216946133E-2</v>
      </c>
      <c r="CS9">
        <v>0.82979239540290206</v>
      </c>
      <c r="CT9">
        <v>1.1142318269847209</v>
      </c>
      <c r="CU9">
        <v>1.2317157909959866</v>
      </c>
      <c r="CV9">
        <v>1.0861526944871134</v>
      </c>
      <c r="CW9">
        <v>0.21226373395887874</v>
      </c>
      <c r="CX9">
        <v>-0.76618979873270132</v>
      </c>
      <c r="CY9">
        <v>0.11237146086790889</v>
      </c>
      <c r="CZ9">
        <v>-0.55936607166466012</v>
      </c>
      <c r="DA9">
        <v>0.65933563877542911</v>
      </c>
      <c r="DB9">
        <v>-0.75238426697776495</v>
      </c>
      <c r="DC9">
        <v>0.24514696684685414</v>
      </c>
      <c r="DD9">
        <v>0.15875925574207023</v>
      </c>
      <c r="DE9">
        <v>0.37464085134176095</v>
      </c>
      <c r="DF9">
        <v>0.60111766671423206</v>
      </c>
      <c r="DG9">
        <v>-0.11081313657519649</v>
      </c>
      <c r="DH9">
        <v>-0.25474568805491693</v>
      </c>
      <c r="DI9">
        <v>-0.95177155726437956</v>
      </c>
      <c r="DJ9">
        <v>-1.5566914309662836</v>
      </c>
      <c r="DK9">
        <v>-0.75289676650990089</v>
      </c>
      <c r="DL9">
        <v>0.9232325644791991</v>
      </c>
      <c r="DM9">
        <v>-0.33383216401445726</v>
      </c>
      <c r="DN9">
        <v>-1.4132717496494165</v>
      </c>
      <c r="DO9">
        <v>-0.69970932401737274</v>
      </c>
      <c r="DP9">
        <v>-9.1377711981161486E-2</v>
      </c>
    </row>
    <row r="10" spans="1:120" x14ac:dyDescent="0.35">
      <c r="A10" t="s">
        <v>43</v>
      </c>
      <c r="B10">
        <v>-0.24335598469389674</v>
      </c>
      <c r="C10">
        <v>-0.59240708201592129</v>
      </c>
      <c r="D10">
        <v>0.21494141851459686</v>
      </c>
      <c r="E10">
        <v>0.50790337858848811</v>
      </c>
      <c r="F10">
        <v>-0.32362629018934386</v>
      </c>
      <c r="G10">
        <v>-0.87489076875106409</v>
      </c>
      <c r="H10">
        <v>-0.57146218466633469</v>
      </c>
      <c r="I10">
        <v>-1.2608513206000662</v>
      </c>
      <c r="J10">
        <v>-1.0406229619176266</v>
      </c>
      <c r="K10">
        <v>-0.46490530370701189</v>
      </c>
      <c r="L10">
        <v>1.1087430174323428E-2</v>
      </c>
      <c r="M10">
        <v>0.25125945381480397</v>
      </c>
      <c r="N10">
        <v>0.32330285777560647</v>
      </c>
      <c r="O10">
        <v>0.12376770570611895</v>
      </c>
      <c r="P10">
        <v>-0.24795150390115936</v>
      </c>
      <c r="Q10">
        <v>0.70107674609158588</v>
      </c>
      <c r="R10">
        <v>-0.59971537446031908</v>
      </c>
      <c r="S10">
        <v>-1.1620544777725292</v>
      </c>
      <c r="T10">
        <v>0.16112396005461768</v>
      </c>
      <c r="U10">
        <v>-1.0940564989176678</v>
      </c>
      <c r="V10">
        <v>0.74951104984731809</v>
      </c>
      <c r="W10">
        <v>0.74022147815144657</v>
      </c>
      <c r="X10">
        <v>-0.14540168172557666</v>
      </c>
      <c r="Y10">
        <v>0.1621586313646477</v>
      </c>
      <c r="Z10">
        <v>-0.13929505280874335</v>
      </c>
      <c r="AA10">
        <v>0.32630330120205159</v>
      </c>
      <c r="AB10">
        <v>-9.0509118440745259E-2</v>
      </c>
      <c r="AC10">
        <v>-0.45863251682963457</v>
      </c>
      <c r="AD10">
        <v>-1.2351416402683575</v>
      </c>
      <c r="AE10">
        <v>0.8312094145936324</v>
      </c>
      <c r="AF10">
        <v>-0.40953609929685958</v>
      </c>
      <c r="AG10">
        <v>-1.9145036492042744E-2</v>
      </c>
      <c r="AH10">
        <v>-0.75191236593078059</v>
      </c>
      <c r="AI10">
        <v>0.7099864268768159</v>
      </c>
      <c r="AJ10">
        <v>-4.4643222973475838E-2</v>
      </c>
      <c r="AK10">
        <v>-0.14487560630606519</v>
      </c>
      <c r="AL10">
        <v>0.19370393583514089</v>
      </c>
      <c r="AM10">
        <v>-1.182707101223152</v>
      </c>
      <c r="AN10">
        <v>0.80683686041481895</v>
      </c>
      <c r="AO10">
        <v>0.68637478348300551</v>
      </c>
      <c r="AP10">
        <v>-0.27427716552027442</v>
      </c>
      <c r="AQ10">
        <v>0.24523431365635381</v>
      </c>
      <c r="AR10">
        <v>-0.10936365941868068</v>
      </c>
      <c r="AS10">
        <v>3.8212745411134494E-2</v>
      </c>
      <c r="AT10">
        <v>-0.26678451976192991</v>
      </c>
      <c r="AU10">
        <v>-0.38097279626400193</v>
      </c>
      <c r="AV10">
        <v>-1.1595385237088311</v>
      </c>
      <c r="AW10">
        <v>0.85298483070278563</v>
      </c>
      <c r="AX10">
        <v>-0.51446593536868879</v>
      </c>
      <c r="AY10">
        <v>-0.20243140855281308</v>
      </c>
      <c r="AZ10">
        <v>-0.80020282235379014</v>
      </c>
      <c r="BA10">
        <v>0.78961575017276719</v>
      </c>
      <c r="BB10">
        <v>-6.1480445373083203E-3</v>
      </c>
      <c r="BC10">
        <v>-0.26613184036176746</v>
      </c>
      <c r="BD10">
        <v>0.12681952742403485</v>
      </c>
      <c r="BE10">
        <v>-0.67707649931745595</v>
      </c>
      <c r="BF10">
        <v>0.43960219708045789</v>
      </c>
      <c r="BG10">
        <v>0.68520372271666896</v>
      </c>
      <c r="BH10">
        <v>-0.22182854503383906</v>
      </c>
      <c r="BI10">
        <v>-0.38139427855416741</v>
      </c>
      <c r="BJ10">
        <v>-0.234985850769871</v>
      </c>
      <c r="BK10">
        <v>-0.5392580231455304</v>
      </c>
      <c r="BL10">
        <v>-0.85190683094256947</v>
      </c>
      <c r="BM10">
        <v>-0.66987458006675604</v>
      </c>
      <c r="BN10">
        <v>-0.84422226671791556</v>
      </c>
      <c r="BO10">
        <v>0.37866082591137734</v>
      </c>
      <c r="BP10">
        <v>-1.6397950333203081E-2</v>
      </c>
      <c r="BQ10">
        <v>7.0091496164875422E-2</v>
      </c>
      <c r="BR10">
        <v>-0.37391282770663092</v>
      </c>
      <c r="BS10">
        <v>0.56397464067536585</v>
      </c>
      <c r="BT10">
        <v>-1.1343831867418848</v>
      </c>
      <c r="BU10">
        <v>-0.33542138213796052</v>
      </c>
      <c r="BV10">
        <v>0.1663151431075581</v>
      </c>
      <c r="BW10">
        <v>-0.91865749374892003</v>
      </c>
      <c r="BX10">
        <v>0.89922161831878777</v>
      </c>
      <c r="BY10">
        <v>0.61533666428355105</v>
      </c>
      <c r="BZ10">
        <v>-0.20878644400347027</v>
      </c>
      <c r="CA10">
        <v>0.87909048854782912</v>
      </c>
      <c r="CB10">
        <v>0.82534814137958479</v>
      </c>
      <c r="CC10">
        <v>-0.19503019877503858</v>
      </c>
      <c r="CD10">
        <v>-0.40056331531852418</v>
      </c>
      <c r="CE10">
        <v>-0.32960034045909153</v>
      </c>
      <c r="CF10">
        <v>-0.91658185022155747</v>
      </c>
      <c r="CG10">
        <v>0.90744361987186384</v>
      </c>
      <c r="CH10">
        <v>-0.67709490580656273</v>
      </c>
      <c r="CI10">
        <v>0.1880397717813253</v>
      </c>
      <c r="CJ10">
        <v>-0.17510159288426824</v>
      </c>
      <c r="CK10">
        <v>0.63435956526431436</v>
      </c>
      <c r="CL10">
        <v>-0.62759300794406792</v>
      </c>
      <c r="CM10">
        <v>-0.22580625493015719</v>
      </c>
      <c r="CN10">
        <v>0.14069647246322195</v>
      </c>
      <c r="CO10">
        <v>-0.84196117314752938</v>
      </c>
      <c r="CP10">
        <v>0.90763241108258752</v>
      </c>
      <c r="CQ10">
        <v>0.68552118728772204</v>
      </c>
      <c r="CR10">
        <v>-2.6024094475572579E-2</v>
      </c>
      <c r="CS10">
        <v>0.79748680725300469</v>
      </c>
      <c r="CT10">
        <v>0.77662389856297442</v>
      </c>
      <c r="CU10">
        <v>-1.7112960837287465E-2</v>
      </c>
      <c r="CV10">
        <v>-0.27286188912529691</v>
      </c>
      <c r="CW10">
        <v>-0.36391986429383999</v>
      </c>
      <c r="CX10">
        <v>-1.0257942219422769</v>
      </c>
      <c r="CY10">
        <v>0.93642884056590425</v>
      </c>
      <c r="CZ10">
        <v>-0.58639133365886642</v>
      </c>
      <c r="DA10">
        <v>0.5022622709692296</v>
      </c>
      <c r="DB10">
        <v>-0.17468489673241891</v>
      </c>
      <c r="DC10">
        <v>0.54733937085335793</v>
      </c>
      <c r="DD10">
        <v>-0.58494844604103158</v>
      </c>
      <c r="DE10">
        <v>-0.10624740183716892</v>
      </c>
      <c r="DF10">
        <v>-0.47037524996791208</v>
      </c>
      <c r="DG10">
        <v>-0.49934204021243689</v>
      </c>
      <c r="DH10">
        <v>-0.25474568805491693</v>
      </c>
      <c r="DI10">
        <v>-0.96822867911007449</v>
      </c>
      <c r="DJ10">
        <v>-0.36633872287593061</v>
      </c>
      <c r="DK10">
        <v>1.3301605205430858</v>
      </c>
      <c r="DL10">
        <v>-0.4514148174387248</v>
      </c>
      <c r="DM10">
        <v>1.0151037020634317</v>
      </c>
      <c r="DN10">
        <v>0.2870630926568441</v>
      </c>
      <c r="DO10">
        <v>0.59933141446518179</v>
      </c>
      <c r="DP10">
        <v>-1.2709831353497647E-2</v>
      </c>
    </row>
    <row r="11" spans="1:120" x14ac:dyDescent="0.35">
      <c r="A11" t="s">
        <v>44</v>
      </c>
      <c r="B11">
        <v>-2.8448657365624572</v>
      </c>
      <c r="C11">
        <v>-2.1563617785379523</v>
      </c>
      <c r="D11">
        <v>-1.9783095033021065</v>
      </c>
      <c r="E11">
        <v>0.36511465085531747</v>
      </c>
      <c r="F11">
        <v>2.3462906038727458</v>
      </c>
      <c r="G11">
        <v>-0.49601270407833858</v>
      </c>
      <c r="H11">
        <v>5.3042582316469016E-2</v>
      </c>
      <c r="I11">
        <v>-0.96930311733818908</v>
      </c>
      <c r="J11">
        <v>-1.2456968680935758</v>
      </c>
      <c r="K11">
        <v>-2.1049502526442843</v>
      </c>
      <c r="L11">
        <v>0.77334825465910051</v>
      </c>
      <c r="M11">
        <v>-1.9598237397554787</v>
      </c>
      <c r="N11">
        <v>1.6455553375964485</v>
      </c>
      <c r="O11">
        <v>1.5810888602176156</v>
      </c>
      <c r="P11">
        <v>-0.79367540004546233</v>
      </c>
      <c r="Q11">
        <v>-2.7345539896709368</v>
      </c>
      <c r="R11">
        <v>0.16945462899758804</v>
      </c>
      <c r="S11">
        <v>-1.8605381714176874</v>
      </c>
      <c r="T11">
        <v>-0.29139439584345711</v>
      </c>
      <c r="U11">
        <v>-0.5531746342842141</v>
      </c>
      <c r="V11">
        <v>0.10212737168820449</v>
      </c>
      <c r="W11">
        <v>0.6600478245509559</v>
      </c>
      <c r="X11">
        <v>-0.14540168172557666</v>
      </c>
      <c r="Y11">
        <v>-0.7838821557018808</v>
      </c>
      <c r="Z11">
        <v>-0.39238265414169737</v>
      </c>
      <c r="AA11">
        <v>-1.4977856448618758</v>
      </c>
      <c r="AB11">
        <v>-1.1882222728631169</v>
      </c>
      <c r="AC11">
        <v>-0.64081154434807275</v>
      </c>
      <c r="AD11">
        <v>6.1500828561079801E-2</v>
      </c>
      <c r="AE11">
        <v>0.10936965981494998</v>
      </c>
      <c r="AF11">
        <v>0.51032799821756358</v>
      </c>
      <c r="AG11">
        <v>0.51904321156197564</v>
      </c>
      <c r="AH11">
        <v>-0.29766441640385699</v>
      </c>
      <c r="AI11">
        <v>0.63228175519346197</v>
      </c>
      <c r="AJ11">
        <v>-0.62652614888879887</v>
      </c>
      <c r="AK11">
        <v>-1.1583373581359184</v>
      </c>
      <c r="AL11">
        <v>-0.27906499230486392</v>
      </c>
      <c r="AM11">
        <v>-0.63684228527400499</v>
      </c>
      <c r="AN11">
        <v>0.25543076485494343</v>
      </c>
      <c r="AO11">
        <v>0.60465968483780042</v>
      </c>
      <c r="AP11">
        <v>-0.27427716552027442</v>
      </c>
      <c r="AQ11">
        <v>-0.70590397094471891</v>
      </c>
      <c r="AR11">
        <v>-0.37277637170955863</v>
      </c>
      <c r="AS11">
        <v>-1.3156102348690579</v>
      </c>
      <c r="AT11">
        <v>-1.1061797160860507</v>
      </c>
      <c r="AU11">
        <v>-0.56440414261333616</v>
      </c>
      <c r="AV11">
        <v>0.14405672086810312</v>
      </c>
      <c r="AW11">
        <v>0.27359890796126979</v>
      </c>
      <c r="AX11">
        <v>0.33989728540238212</v>
      </c>
      <c r="AY11">
        <v>0.22734604345161658</v>
      </c>
      <c r="AZ11">
        <v>-0.32421674567332959</v>
      </c>
      <c r="BA11">
        <v>0.71007168943737187</v>
      </c>
      <c r="BB11">
        <v>-0.61048036001028172</v>
      </c>
      <c r="BC11">
        <v>-1.2139986613878153</v>
      </c>
      <c r="BD11">
        <v>-2.9483788475156807</v>
      </c>
      <c r="BE11">
        <v>-2.194552400598031</v>
      </c>
      <c r="BF11">
        <v>-1.6585523886300892</v>
      </c>
      <c r="BG11">
        <v>0.83355738191248319</v>
      </c>
      <c r="BH11">
        <v>1.9132712009168731</v>
      </c>
      <c r="BI11">
        <v>-1.4918372891244176</v>
      </c>
      <c r="BJ11">
        <v>-1.3532832795264906</v>
      </c>
      <c r="BK11">
        <v>-1.7334307244006988</v>
      </c>
      <c r="BL11">
        <v>-1.6669345782945515</v>
      </c>
      <c r="BM11">
        <v>-2.1742491145036005</v>
      </c>
      <c r="BN11">
        <v>-0.54505342926823963</v>
      </c>
      <c r="BO11">
        <v>-1.729065699041108</v>
      </c>
      <c r="BP11">
        <v>1.5677937649322951</v>
      </c>
      <c r="BQ11">
        <v>1.0830926816134365</v>
      </c>
      <c r="BR11">
        <v>-1.3721997942367301</v>
      </c>
      <c r="BS11">
        <v>-2.7128890256029523</v>
      </c>
      <c r="BT11">
        <v>-0.1095324135545893</v>
      </c>
      <c r="BU11">
        <v>-2.5735313895930005</v>
      </c>
      <c r="BV11">
        <v>3.5821723130858817E-2</v>
      </c>
      <c r="BW11">
        <v>-0.69927659971932721</v>
      </c>
      <c r="BX11">
        <v>0.51258561304816874</v>
      </c>
      <c r="BY11">
        <v>0.77433748447560558</v>
      </c>
      <c r="BZ11">
        <v>-0.20878644400347027</v>
      </c>
      <c r="CA11">
        <v>-0.16336006902027631</v>
      </c>
      <c r="CB11">
        <v>-3.928846032580157E-3</v>
      </c>
      <c r="CC11">
        <v>-0.6338481460188754</v>
      </c>
      <c r="CD11">
        <v>-0.9147439685224269</v>
      </c>
      <c r="CE11">
        <v>-0.75727434181248254</v>
      </c>
      <c r="CF11">
        <v>-0.71974540082473726</v>
      </c>
      <c r="CG11">
        <v>0.44075832965204886</v>
      </c>
      <c r="CH11">
        <v>4.1227269348834354E-2</v>
      </c>
      <c r="CI11">
        <v>0.19851066394548195</v>
      </c>
      <c r="CJ11">
        <v>-0.41817933158781717</v>
      </c>
      <c r="CK11">
        <v>0.55924446513651871</v>
      </c>
      <c r="CL11">
        <v>-1.1495331118128755</v>
      </c>
      <c r="CM11">
        <v>-0.4339750920195703</v>
      </c>
      <c r="CN11">
        <v>1.6003390232783698E-2</v>
      </c>
      <c r="CO11">
        <v>-0.62986408372868619</v>
      </c>
      <c r="CP11">
        <v>0.41013061384139576</v>
      </c>
      <c r="CQ11">
        <v>0.84287678876438099</v>
      </c>
      <c r="CR11">
        <v>-2.6024094475572579E-2</v>
      </c>
      <c r="CS11">
        <v>-0.2206387904195844</v>
      </c>
      <c r="CT11">
        <v>-1.4684500590198872E-2</v>
      </c>
      <c r="CU11">
        <v>-0.55429297541262945</v>
      </c>
      <c r="CV11">
        <v>-0.87471120472507868</v>
      </c>
      <c r="CW11">
        <v>-0.77720338764788433</v>
      </c>
      <c r="CX11">
        <v>-0.82656292040934687</v>
      </c>
      <c r="CY11">
        <v>0.31838580579240866</v>
      </c>
      <c r="CZ11">
        <v>0.20332357912847915</v>
      </c>
      <c r="DA11">
        <v>0.51592082469150702</v>
      </c>
      <c r="DB11">
        <v>-0.40654033417655516</v>
      </c>
      <c r="DC11">
        <v>0.4722285994405539</v>
      </c>
      <c r="DD11">
        <v>-1.083264207780386</v>
      </c>
      <c r="DE11">
        <v>-0.32662367060511061</v>
      </c>
      <c r="DF11">
        <v>-2.6076655425211634</v>
      </c>
      <c r="DG11">
        <v>-0.58491589889738671</v>
      </c>
      <c r="DH11">
        <v>2.7102538974109538</v>
      </c>
      <c r="DI11">
        <v>0.28760143507897218</v>
      </c>
      <c r="DJ11">
        <v>0.36653838661048455</v>
      </c>
      <c r="DK11">
        <v>0.3724927430273397</v>
      </c>
      <c r="DL11">
        <v>-2.6770343881629795</v>
      </c>
      <c r="DM11">
        <v>1.4775422789656143</v>
      </c>
      <c r="DN11">
        <v>2.2884906093369786</v>
      </c>
      <c r="DO11">
        <v>-0.76031296520369529</v>
      </c>
      <c r="DP11">
        <v>-0.17890087816224745</v>
      </c>
    </row>
    <row r="12" spans="1:120" x14ac:dyDescent="0.35">
      <c r="A12" t="s">
        <v>45</v>
      </c>
      <c r="B12">
        <v>-0.24335598469389674</v>
      </c>
      <c r="C12">
        <v>0.8412180564626075</v>
      </c>
      <c r="D12">
        <v>-1.8072048214582506</v>
      </c>
      <c r="E12">
        <v>0.65937656925309573</v>
      </c>
      <c r="F12">
        <v>1.4563183058520486</v>
      </c>
      <c r="G12">
        <v>-1.0840866416509851</v>
      </c>
      <c r="H12">
        <v>-0.59240055724786589</v>
      </c>
      <c r="I12">
        <v>2.133602760234647</v>
      </c>
      <c r="J12">
        <v>2.0914148778605068</v>
      </c>
      <c r="K12">
        <v>-0.80782379303025964</v>
      </c>
      <c r="L12">
        <v>-1.1170585900631467</v>
      </c>
      <c r="M12">
        <v>-1.9598237397554787</v>
      </c>
      <c r="N12">
        <v>1.405593697289935</v>
      </c>
      <c r="O12">
        <v>2.0029449838919962</v>
      </c>
      <c r="P12">
        <v>0.2047687423368609</v>
      </c>
      <c r="Q12">
        <v>-0.63906706971573124</v>
      </c>
      <c r="R12">
        <v>-0.43915949189164682</v>
      </c>
      <c r="S12">
        <v>1.3658629821720865</v>
      </c>
      <c r="T12">
        <v>-2.8933749422573882</v>
      </c>
      <c r="U12">
        <v>-2.1758202281845751</v>
      </c>
      <c r="V12">
        <v>-2.5826108230304725</v>
      </c>
      <c r="W12">
        <v>0.5266765937379021</v>
      </c>
      <c r="X12">
        <v>2.8535080038644343</v>
      </c>
      <c r="Y12">
        <v>-0.42663143617027516</v>
      </c>
      <c r="Z12">
        <v>0.15150386643677657</v>
      </c>
      <c r="AA12">
        <v>-1.08589459252486</v>
      </c>
      <c r="AB12">
        <v>-1.469032614692096</v>
      </c>
      <c r="AC12">
        <v>-2.1823263925810106</v>
      </c>
      <c r="AD12">
        <v>0.76619782249012169</v>
      </c>
      <c r="AE12">
        <v>-2.777989359299776</v>
      </c>
      <c r="AF12">
        <v>2.0034322188571898</v>
      </c>
      <c r="AG12">
        <v>2.2974043790448233</v>
      </c>
      <c r="AH12">
        <v>-0.8263792429024075</v>
      </c>
      <c r="AI12">
        <v>-2.876616124819261</v>
      </c>
      <c r="AJ12">
        <v>0.14881192061611442</v>
      </c>
      <c r="AK12">
        <v>-1.9415092088222334</v>
      </c>
      <c r="AL12">
        <v>-2.9974863291098925</v>
      </c>
      <c r="AM12">
        <v>-2.2744367331214463</v>
      </c>
      <c r="AN12">
        <v>-2.0312827490845402</v>
      </c>
      <c r="AO12">
        <v>0.46872421485624505</v>
      </c>
      <c r="AP12">
        <v>2.4684944896824672</v>
      </c>
      <c r="AQ12">
        <v>-0.34672829776743236</v>
      </c>
      <c r="AR12">
        <v>0.19329886393798779</v>
      </c>
      <c r="AS12">
        <v>-1.0099082715799821</v>
      </c>
      <c r="AT12">
        <v>-1.3209087197968725</v>
      </c>
      <c r="AU12">
        <v>-2.1165155348000106</v>
      </c>
      <c r="AV12">
        <v>0.85253239726861063</v>
      </c>
      <c r="AW12">
        <v>-2.043944783004791</v>
      </c>
      <c r="AX12">
        <v>1.7266818488389926</v>
      </c>
      <c r="AY12">
        <v>1.6474802326836484</v>
      </c>
      <c r="AZ12">
        <v>-0.87823332672763621</v>
      </c>
      <c r="BA12">
        <v>-2.8818871984324814</v>
      </c>
      <c r="BB12">
        <v>0.1947707136162293</v>
      </c>
      <c r="BC12">
        <v>-1.9464807812969185</v>
      </c>
      <c r="BD12">
        <v>-0.11981292369895002</v>
      </c>
      <c r="BE12">
        <v>0.49155436718597512</v>
      </c>
      <c r="BF12">
        <v>-2.1434020168208709</v>
      </c>
      <c r="BG12">
        <v>0.76329798433037854</v>
      </c>
      <c r="BH12">
        <v>1.9568446651199489</v>
      </c>
      <c r="BI12">
        <v>-0.99095605008375187</v>
      </c>
      <c r="BJ12">
        <v>-0.38676935121856321</v>
      </c>
      <c r="BK12">
        <v>2.1925095941048545</v>
      </c>
      <c r="BL12">
        <v>2.212745015435245</v>
      </c>
      <c r="BM12">
        <v>-0.42904955064547329</v>
      </c>
      <c r="BN12">
        <v>-1.1983404824746746</v>
      </c>
      <c r="BO12">
        <v>-2.1807213829594971</v>
      </c>
      <c r="BP12">
        <v>1.4822299610049998</v>
      </c>
      <c r="BQ12">
        <v>2.1861384168796487</v>
      </c>
      <c r="BR12">
        <v>-5.8029294806690043E-2</v>
      </c>
      <c r="BS12">
        <v>-0.8890511391288205</v>
      </c>
      <c r="BT12">
        <v>0.12612953465647464</v>
      </c>
      <c r="BU12">
        <v>1.527972829301858</v>
      </c>
      <c r="BV12">
        <v>-3.0269356045575613</v>
      </c>
      <c r="BW12">
        <v>-2.2897880814338754</v>
      </c>
      <c r="BX12">
        <v>-1.635880370785157</v>
      </c>
      <c r="BY12">
        <v>0.91972675750164201</v>
      </c>
      <c r="BZ12">
        <v>2.023330448251814</v>
      </c>
      <c r="CA12">
        <v>-1.1191955001172336</v>
      </c>
      <c r="CB12">
        <v>-0.90377626661087174</v>
      </c>
      <c r="CC12">
        <v>-1.7815258541950638</v>
      </c>
      <c r="CD12">
        <v>-1.6478660611550884</v>
      </c>
      <c r="CE12">
        <v>-2.2588159086079647</v>
      </c>
      <c r="CF12">
        <v>-0.42747309717491283</v>
      </c>
      <c r="CG12">
        <v>-1.7371063580404229</v>
      </c>
      <c r="CH12">
        <v>1.6687727162838462</v>
      </c>
      <c r="CI12">
        <v>1.1408909587196334</v>
      </c>
      <c r="CJ12">
        <v>-1.460309432892142</v>
      </c>
      <c r="CK12">
        <v>-2.859908431592924</v>
      </c>
      <c r="CL12">
        <v>-8.1538595482433349E-2</v>
      </c>
      <c r="CM12">
        <v>-2.6125924752870722</v>
      </c>
      <c r="CN12">
        <v>-2.9106165985875094</v>
      </c>
      <c r="CO12">
        <v>-2.1675679820153002</v>
      </c>
      <c r="CP12">
        <v>-2.3543964185556803</v>
      </c>
      <c r="CQ12">
        <v>0.98676168494059191</v>
      </c>
      <c r="CR12">
        <v>2.7793732899911325</v>
      </c>
      <c r="CS12">
        <v>-1.1541703737615099</v>
      </c>
      <c r="CT12">
        <v>-0.87333225359484801</v>
      </c>
      <c r="CU12">
        <v>-1.9592253212250625</v>
      </c>
      <c r="CV12">
        <v>-1.7328318418060578</v>
      </c>
      <c r="CW12">
        <v>-2.228220721467558</v>
      </c>
      <c r="CX12">
        <v>-0.5307346241937837</v>
      </c>
      <c r="CY12">
        <v>-2.5658150231505732</v>
      </c>
      <c r="CZ12">
        <v>1.9926278149411512</v>
      </c>
      <c r="DA12">
        <v>1.7451906596965405</v>
      </c>
      <c r="DB12">
        <v>-1.4005578521949116</v>
      </c>
      <c r="DC12">
        <v>-2.9467272591650335</v>
      </c>
      <c r="DD12">
        <v>-6.3609850903397297E-2</v>
      </c>
      <c r="DE12">
        <v>-2.6329994793494742</v>
      </c>
      <c r="DF12">
        <v>0.49727192183583246</v>
      </c>
      <c r="DG12">
        <v>6.939350160697072E-2</v>
      </c>
      <c r="DH12">
        <v>-0.93422475972417962</v>
      </c>
      <c r="DI12">
        <v>-0.61791375102717128</v>
      </c>
      <c r="DJ12">
        <v>-0.63688989505889182</v>
      </c>
      <c r="DK12">
        <v>-1.4078664848258715</v>
      </c>
      <c r="DL12">
        <v>0.20317917395076276</v>
      </c>
      <c r="DM12">
        <v>-0.47535597772301685</v>
      </c>
      <c r="DN12">
        <v>0.1701882698798407</v>
      </c>
      <c r="DO12">
        <v>1.4447411100650753</v>
      </c>
      <c r="DP12">
        <v>-0.10527972113885134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7071A-BC86-4D3A-AFAB-86260B67D001}">
  <dimension ref="A1:L120"/>
  <sheetViews>
    <sheetView workbookViewId="0"/>
  </sheetViews>
  <sheetFormatPr defaultRowHeight="14.5" x14ac:dyDescent="0.35"/>
  <cols>
    <col min="1" max="1" width="35" bestFit="1" customWidth="1"/>
    <col min="2" max="12" width="12.7265625" bestFit="1" customWidth="1"/>
  </cols>
  <sheetData>
    <row r="1" spans="1:12" x14ac:dyDescent="0.3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35">
      <c r="A2" t="s">
        <v>131</v>
      </c>
      <c r="B2">
        <v>0.47300177306701102</v>
      </c>
      <c r="C2">
        <v>0.85003217188854163</v>
      </c>
      <c r="D2">
        <v>0.28448657365624591</v>
      </c>
      <c r="E2">
        <v>0.54840785283131721</v>
      </c>
      <c r="F2">
        <v>0.17137745400978666</v>
      </c>
      <c r="G2">
        <v>0.20908049389193972</v>
      </c>
      <c r="H2">
        <v>0.58611089271347006</v>
      </c>
      <c r="I2">
        <v>0.20908049389193972</v>
      </c>
      <c r="J2">
        <v>-0.24335598469389674</v>
      </c>
      <c r="K2">
        <v>-2.8448657365624572</v>
      </c>
      <c r="L2">
        <v>-0.24335598469389674</v>
      </c>
    </row>
    <row r="3" spans="1:12" x14ac:dyDescent="0.35">
      <c r="A3" t="s">
        <v>132</v>
      </c>
      <c r="B3">
        <v>0.71088849841910473</v>
      </c>
      <c r="C3">
        <v>-0.46207752397241864</v>
      </c>
      <c r="D3">
        <v>0.8412180564626075</v>
      </c>
      <c r="E3">
        <v>0.51539416135385108</v>
      </c>
      <c r="F3">
        <v>0.51539416135385108</v>
      </c>
      <c r="G3">
        <v>-0.13625362886366205</v>
      </c>
      <c r="H3">
        <v>1.0367123935278615</v>
      </c>
      <c r="I3">
        <v>-1.1137253141899315</v>
      </c>
      <c r="J3">
        <v>-0.59240708201592129</v>
      </c>
      <c r="K3">
        <v>-2.1563617785379523</v>
      </c>
      <c r="L3">
        <v>0.8412180564626075</v>
      </c>
    </row>
    <row r="4" spans="1:12" x14ac:dyDescent="0.35">
      <c r="A4" t="s">
        <v>133</v>
      </c>
      <c r="B4">
        <v>1.2726794517311792E-2</v>
      </c>
      <c r="C4">
        <v>-2.8281765594028604E-3</v>
      </c>
      <c r="D4">
        <v>0.16827650528445398</v>
      </c>
      <c r="E4">
        <v>1.0082449434270204</v>
      </c>
      <c r="F4">
        <v>0.9771350012735921</v>
      </c>
      <c r="G4">
        <v>0.30827124497488156</v>
      </c>
      <c r="H4">
        <v>0.35493615820502444</v>
      </c>
      <c r="I4">
        <v>0.74381043512287992</v>
      </c>
      <c r="J4">
        <v>0.21494141851459686</v>
      </c>
      <c r="K4">
        <v>-1.9783095033021065</v>
      </c>
      <c r="L4">
        <v>-1.8072048214582506</v>
      </c>
    </row>
    <row r="5" spans="1:12" x14ac:dyDescent="0.35">
      <c r="A5" t="s">
        <v>134</v>
      </c>
      <c r="B5">
        <v>-1.3558227593488401</v>
      </c>
      <c r="C5">
        <v>-1.5773775462276058</v>
      </c>
      <c r="D5">
        <v>-1.1391151145713421</v>
      </c>
      <c r="E5">
        <v>-0.69277411274629908</v>
      </c>
      <c r="F5">
        <v>0.9148613508407335</v>
      </c>
      <c r="G5">
        <v>1.3060661112638587</v>
      </c>
      <c r="H5">
        <v>0.41802928546082074</v>
      </c>
      <c r="I5">
        <v>0.5937381866317647</v>
      </c>
      <c r="J5">
        <v>0.50790337858848811</v>
      </c>
      <c r="K5">
        <v>0.36511465085531747</v>
      </c>
      <c r="L5">
        <v>0.65937656925309573</v>
      </c>
    </row>
    <row r="6" spans="1:12" x14ac:dyDescent="0.35">
      <c r="A6" t="s">
        <v>135</v>
      </c>
      <c r="B6">
        <v>-0.67961520939762277</v>
      </c>
      <c r="C6">
        <v>-0.32362629018934386</v>
      </c>
      <c r="D6">
        <v>-0.85760966900176228</v>
      </c>
      <c r="E6">
        <v>-0.85760966900176228</v>
      </c>
      <c r="F6">
        <v>-0.14563183058520435</v>
      </c>
      <c r="G6">
        <v>3.2362629018935128E-2</v>
      </c>
      <c r="H6">
        <v>-0.32362629018934386</v>
      </c>
      <c r="I6">
        <v>-0.32362629018934386</v>
      </c>
      <c r="J6">
        <v>-0.32362629018934386</v>
      </c>
      <c r="K6">
        <v>2.3462906038727458</v>
      </c>
      <c r="L6">
        <v>1.4563183058520486</v>
      </c>
    </row>
    <row r="7" spans="1:12" x14ac:dyDescent="0.35">
      <c r="A7" t="s">
        <v>136</v>
      </c>
      <c r="B7">
        <v>-1.4467059597252703</v>
      </c>
      <c r="C7">
        <v>0.11236003227781349</v>
      </c>
      <c r="D7">
        <v>1.8664324456039978</v>
      </c>
      <c r="E7">
        <v>0.82478874686397741</v>
      </c>
      <c r="F7">
        <v>0.14743950978717321</v>
      </c>
      <c r="G7">
        <v>-0.35293573401207173</v>
      </c>
      <c r="H7">
        <v>1.1751893705248899</v>
      </c>
      <c r="I7">
        <v>0.12842170315990706</v>
      </c>
      <c r="J7">
        <v>-0.87489076875106409</v>
      </c>
      <c r="K7">
        <v>-0.49601270407833858</v>
      </c>
      <c r="L7">
        <v>-1.0840866416509851</v>
      </c>
    </row>
    <row r="8" spans="1:12" x14ac:dyDescent="0.35">
      <c r="A8" t="s">
        <v>137</v>
      </c>
      <c r="B8">
        <v>-1.7599925825903164</v>
      </c>
      <c r="C8">
        <v>-0.40815712232125184</v>
      </c>
      <c r="D8">
        <v>1.608037231789887</v>
      </c>
      <c r="E8">
        <v>0.48655235749942755</v>
      </c>
      <c r="F8">
        <v>9.822388696178902E-2</v>
      </c>
      <c r="G8">
        <v>-0.36770475624536347</v>
      </c>
      <c r="H8">
        <v>1.7347215078035967</v>
      </c>
      <c r="I8">
        <v>-0.28086036330005487</v>
      </c>
      <c r="J8">
        <v>-0.57146218466633469</v>
      </c>
      <c r="K8">
        <v>5.3042582316469016E-2</v>
      </c>
      <c r="L8">
        <v>-0.59240055724786589</v>
      </c>
    </row>
    <row r="9" spans="1:12" x14ac:dyDescent="0.35">
      <c r="A9" t="s">
        <v>138</v>
      </c>
      <c r="B9">
        <v>0.59256225727901013</v>
      </c>
      <c r="C9">
        <v>-1.4066254222310051</v>
      </c>
      <c r="D9">
        <v>0.48843789897119688</v>
      </c>
      <c r="E9">
        <v>-0.2404326091834961</v>
      </c>
      <c r="F9">
        <v>0.21771456737088235</v>
      </c>
      <c r="G9">
        <v>-7.3833635890994814E-2</v>
      </c>
      <c r="H9">
        <v>0.48843789897119688</v>
      </c>
      <c r="I9">
        <v>3.0290722416818419E-2</v>
      </c>
      <c r="J9">
        <v>-1.2608513206000662</v>
      </c>
      <c r="K9">
        <v>-0.96930311733818908</v>
      </c>
      <c r="L9">
        <v>2.133602760234647</v>
      </c>
    </row>
    <row r="10" spans="1:12" x14ac:dyDescent="0.35">
      <c r="A10" t="s">
        <v>139</v>
      </c>
      <c r="B10">
        <v>0.76775602890665307</v>
      </c>
      <c r="C10">
        <v>-1.2270537857139441</v>
      </c>
      <c r="D10">
        <v>0.67454061700849433</v>
      </c>
      <c r="E10">
        <v>-0.18304117245456622</v>
      </c>
      <c r="F10">
        <v>7.7961980860278349E-2</v>
      </c>
      <c r="G10">
        <v>-0.22032733721382966</v>
      </c>
      <c r="H10">
        <v>0.54403904035107198</v>
      </c>
      <c r="I10">
        <v>-0.23897041959346144</v>
      </c>
      <c r="J10">
        <v>-1.0406229619176266</v>
      </c>
      <c r="K10">
        <v>-1.2456968680935758</v>
      </c>
      <c r="L10">
        <v>2.0914148778605068</v>
      </c>
    </row>
    <row r="11" spans="1:12" x14ac:dyDescent="0.35">
      <c r="A11" t="s">
        <v>140</v>
      </c>
      <c r="B11">
        <v>0.59366916333431841</v>
      </c>
      <c r="C11">
        <v>1.9504336210915161</v>
      </c>
      <c r="D11">
        <v>0.54894066472693825</v>
      </c>
      <c r="E11">
        <v>0.28056967308265723</v>
      </c>
      <c r="F11">
        <v>2.710818097416981E-2</v>
      </c>
      <c r="G11">
        <v>-4.7439316704797126E-2</v>
      </c>
      <c r="H11">
        <v>0.29547917261845075</v>
      </c>
      <c r="I11">
        <v>-0.27108180974169788</v>
      </c>
      <c r="J11">
        <v>-0.46490530370701189</v>
      </c>
      <c r="K11">
        <v>-2.1049502526442843</v>
      </c>
      <c r="L11">
        <v>-0.80782379303025964</v>
      </c>
    </row>
    <row r="12" spans="1:12" x14ac:dyDescent="0.35">
      <c r="A12" t="s">
        <v>141</v>
      </c>
      <c r="B12">
        <v>-0.50724993047532474</v>
      </c>
      <c r="C12">
        <v>0.10255872911249678</v>
      </c>
      <c r="D12">
        <v>-0.32430733259897804</v>
      </c>
      <c r="E12">
        <v>1.1087430174323428E-2</v>
      </c>
      <c r="F12">
        <v>1.7490421099996154</v>
      </c>
      <c r="G12">
        <v>1.4746282131850963</v>
      </c>
      <c r="H12">
        <v>-0.78166382728984474</v>
      </c>
      <c r="I12">
        <v>-1.3914724868776667</v>
      </c>
      <c r="J12">
        <v>1.1087430174323428E-2</v>
      </c>
      <c r="K12">
        <v>0.77334825465910051</v>
      </c>
      <c r="L12">
        <v>-1.1170585900631467</v>
      </c>
    </row>
    <row r="13" spans="1:12" x14ac:dyDescent="0.35">
      <c r="A13" t="s">
        <v>142</v>
      </c>
      <c r="B13">
        <v>0.25125945381480397</v>
      </c>
      <c r="C13">
        <v>0.25125945381480397</v>
      </c>
      <c r="D13">
        <v>0.25125945381480397</v>
      </c>
      <c r="E13">
        <v>0.80403025220737523</v>
      </c>
      <c r="F13">
        <v>0.80403025220737523</v>
      </c>
      <c r="G13">
        <v>0.25125945381480397</v>
      </c>
      <c r="H13">
        <v>0.25125945381480397</v>
      </c>
      <c r="I13">
        <v>0.80403025220737523</v>
      </c>
      <c r="J13">
        <v>0.25125945381480397</v>
      </c>
      <c r="K13">
        <v>-1.9598237397554787</v>
      </c>
      <c r="L13">
        <v>-1.9598237397554787</v>
      </c>
    </row>
    <row r="14" spans="1:12" x14ac:dyDescent="0.35">
      <c r="A14" t="s">
        <v>143</v>
      </c>
      <c r="B14">
        <v>0.4885974289757562</v>
      </c>
      <c r="C14">
        <v>0.87178660704763844</v>
      </c>
      <c r="D14">
        <v>-0.77182572131555915</v>
      </c>
      <c r="E14">
        <v>-0.83174673820528655</v>
      </c>
      <c r="F14">
        <v>-1.2594516456746907</v>
      </c>
      <c r="G14">
        <v>-0.95967307825880233</v>
      </c>
      <c r="H14">
        <v>-0.42083498196612407</v>
      </c>
      <c r="I14">
        <v>-0.49130376326492814</v>
      </c>
      <c r="J14">
        <v>0.32330285777560647</v>
      </c>
      <c r="K14">
        <v>1.6455553375964485</v>
      </c>
      <c r="L14">
        <v>1.405593697289935</v>
      </c>
    </row>
    <row r="15" spans="1:12" x14ac:dyDescent="0.35">
      <c r="A15" t="s">
        <v>145</v>
      </c>
      <c r="B15">
        <v>-1.3335534488053751</v>
      </c>
      <c r="C15">
        <v>-1.0459242735728431</v>
      </c>
      <c r="D15">
        <v>-0.60489287154962801</v>
      </c>
      <c r="E15">
        <v>8.7160356131072755E-3</v>
      </c>
      <c r="F15">
        <v>-0.2213873045729188</v>
      </c>
      <c r="G15">
        <v>-0.27891313961942465</v>
      </c>
      <c r="H15">
        <v>8.5417149008450211E-2</v>
      </c>
      <c r="I15">
        <v>-0.31726369631709611</v>
      </c>
      <c r="J15">
        <v>0.12376770570611895</v>
      </c>
      <c r="K15">
        <v>1.5810888602176156</v>
      </c>
      <c r="L15">
        <v>2.0029449838919962</v>
      </c>
    </row>
    <row r="16" spans="1:12" x14ac:dyDescent="0.35">
      <c r="A16" t="s">
        <v>146</v>
      </c>
      <c r="B16">
        <v>1.342334046975689</v>
      </c>
      <c r="C16">
        <v>1.4856826478642984</v>
      </c>
      <c r="D16">
        <v>1.4737689571738242</v>
      </c>
      <c r="E16">
        <v>-0.581150530631519</v>
      </c>
      <c r="F16">
        <v>-1.3516972994831578</v>
      </c>
      <c r="G16">
        <v>-0.60075047338036358</v>
      </c>
      <c r="H16">
        <v>-0.21451630744724767</v>
      </c>
      <c r="I16">
        <v>-0.71681287946175765</v>
      </c>
      <c r="J16">
        <v>-0.24795150390115936</v>
      </c>
      <c r="K16">
        <v>-0.79367540004546233</v>
      </c>
      <c r="L16">
        <v>0.2047687423368609</v>
      </c>
    </row>
    <row r="17" spans="1:12" x14ac:dyDescent="0.35">
      <c r="A17" t="s">
        <v>147</v>
      </c>
      <c r="B17">
        <v>0.40917035309950189</v>
      </c>
      <c r="C17">
        <v>0.28741367761063374</v>
      </c>
      <c r="D17">
        <v>0.5326570898384414</v>
      </c>
      <c r="E17">
        <v>0.54359213718465804</v>
      </c>
      <c r="F17">
        <v>-0.27299319315522896</v>
      </c>
      <c r="G17">
        <v>6.3000915911985769E-2</v>
      </c>
      <c r="H17">
        <v>0.33254441861498674</v>
      </c>
      <c r="I17">
        <v>0.7771589141901053</v>
      </c>
      <c r="J17">
        <v>0.70107674609158588</v>
      </c>
      <c r="K17">
        <v>-2.7345539896709368</v>
      </c>
      <c r="L17">
        <v>-0.63906706971573124</v>
      </c>
    </row>
    <row r="18" spans="1:12" x14ac:dyDescent="0.35">
      <c r="A18" t="s">
        <v>148</v>
      </c>
      <c r="B18">
        <v>2.6453564273955466</v>
      </c>
      <c r="C18">
        <v>-0.57131380860942649</v>
      </c>
      <c r="D18">
        <v>0.1727140998302896</v>
      </c>
      <c r="E18">
        <v>-0.29840927637523934</v>
      </c>
      <c r="F18">
        <v>-0.13579373523243179</v>
      </c>
      <c r="G18">
        <v>-1.3357828070778905</v>
      </c>
      <c r="H18">
        <v>0.41511085354541205</v>
      </c>
      <c r="I18">
        <v>-2.2461516121882474E-2</v>
      </c>
      <c r="J18">
        <v>-0.59971537446031908</v>
      </c>
      <c r="K18">
        <v>0.16945462899758804</v>
      </c>
      <c r="L18">
        <v>-0.43915949189164682</v>
      </c>
    </row>
    <row r="19" spans="1:12" x14ac:dyDescent="0.35">
      <c r="A19" t="s">
        <v>149</v>
      </c>
      <c r="B19">
        <v>-0.22112635784633317</v>
      </c>
      <c r="C19">
        <v>1.2364488692664162</v>
      </c>
      <c r="D19">
        <v>-0.4109647712527506</v>
      </c>
      <c r="E19">
        <v>0.92743066007929742</v>
      </c>
      <c r="F19">
        <v>-0.32255124114451533</v>
      </c>
      <c r="G19">
        <v>0.73756898259749926</v>
      </c>
      <c r="H19">
        <v>-3.1893231767394573E-2</v>
      </c>
      <c r="I19">
        <v>-0.25818324291409023</v>
      </c>
      <c r="J19">
        <v>-1.1620544777725292</v>
      </c>
      <c r="K19">
        <v>-1.8605381714176874</v>
      </c>
      <c r="L19">
        <v>1.3658629821720865</v>
      </c>
    </row>
    <row r="20" spans="1:12" x14ac:dyDescent="0.35">
      <c r="A20" t="s">
        <v>120</v>
      </c>
      <c r="B20">
        <v>0.23654368603763024</v>
      </c>
      <c r="C20">
        <v>0.42509300099516134</v>
      </c>
      <c r="D20">
        <v>0.80219163091022383</v>
      </c>
      <c r="E20">
        <v>0.23654368603763024</v>
      </c>
      <c r="F20">
        <v>0.50051272697817395</v>
      </c>
      <c r="G20">
        <v>0.12341409706311141</v>
      </c>
      <c r="H20">
        <v>0.16112396005461768</v>
      </c>
      <c r="I20">
        <v>0.53822258996967998</v>
      </c>
      <c r="J20">
        <v>0.16112396005461768</v>
      </c>
      <c r="K20">
        <v>-0.29139439584345711</v>
      </c>
      <c r="L20">
        <v>-2.8933749422573882</v>
      </c>
    </row>
    <row r="21" spans="1:12" x14ac:dyDescent="0.35">
      <c r="A21" t="s">
        <v>121</v>
      </c>
      <c r="B21">
        <v>0.25814816266596646</v>
      </c>
      <c r="C21">
        <v>0.79903002729941985</v>
      </c>
      <c r="D21">
        <v>-0.41795416812585068</v>
      </c>
      <c r="E21">
        <v>0.93425049345778344</v>
      </c>
      <c r="F21">
        <v>0.59619932806187503</v>
      </c>
      <c r="G21">
        <v>0.59619932806187503</v>
      </c>
      <c r="H21">
        <v>-7.9903002729942108E-2</v>
      </c>
      <c r="I21">
        <v>1.1370811926953286</v>
      </c>
      <c r="J21">
        <v>-1.0940564989176678</v>
      </c>
      <c r="K21">
        <v>-0.5531746342842141</v>
      </c>
      <c r="L21">
        <v>-2.1758202281845751</v>
      </c>
    </row>
    <row r="22" spans="1:12" x14ac:dyDescent="0.35">
      <c r="A22" t="s">
        <v>122</v>
      </c>
      <c r="B22">
        <v>-0.60237839572024299</v>
      </c>
      <c r="C22">
        <v>-0.14540168172557472</v>
      </c>
      <c r="D22">
        <v>-0.16444237814201978</v>
      </c>
      <c r="E22">
        <v>4.5005282438870628E-2</v>
      </c>
      <c r="F22">
        <v>1.0732028889268737</v>
      </c>
      <c r="G22">
        <v>1.0351214960939847</v>
      </c>
      <c r="H22">
        <v>0.2163715501868709</v>
      </c>
      <c r="I22">
        <v>0.27349363943620475</v>
      </c>
      <c r="J22">
        <v>0.74951104984731809</v>
      </c>
      <c r="K22">
        <v>0.10212737168820449</v>
      </c>
      <c r="L22">
        <v>-2.5826108230304725</v>
      </c>
    </row>
    <row r="23" spans="1:12" x14ac:dyDescent="0.35">
      <c r="A23" t="s">
        <v>150</v>
      </c>
      <c r="B23">
        <v>-1.2405393755077565</v>
      </c>
      <c r="C23">
        <v>-1.0807579999792469</v>
      </c>
      <c r="D23">
        <v>-1.2877003482139278</v>
      </c>
      <c r="E23">
        <v>-0.87834310512435898</v>
      </c>
      <c r="F23">
        <v>-0.46144010640180266</v>
      </c>
      <c r="G23">
        <v>1.0401652645626986</v>
      </c>
      <c r="H23">
        <v>1.4055684810901152</v>
      </c>
      <c r="I23">
        <v>0.57610129313397018</v>
      </c>
      <c r="J23">
        <v>0.74022147815144657</v>
      </c>
      <c r="K23">
        <v>0.6600478245509559</v>
      </c>
      <c r="L23">
        <v>0.5266765937379021</v>
      </c>
    </row>
    <row r="24" spans="1:12" x14ac:dyDescent="0.35">
      <c r="A24" t="s">
        <v>151</v>
      </c>
      <c r="B24">
        <v>-0.54525630647091183</v>
      </c>
      <c r="C24">
        <v>-0.54525630647091183</v>
      </c>
      <c r="D24">
        <v>-0.14540168172557666</v>
      </c>
      <c r="E24">
        <v>-0.74518361884357942</v>
      </c>
      <c r="F24">
        <v>-0.74518361884357942</v>
      </c>
      <c r="G24">
        <v>5.4525630647090907E-2</v>
      </c>
      <c r="H24">
        <v>0.25445294301975846</v>
      </c>
      <c r="I24">
        <v>-0.14540168172557666</v>
      </c>
      <c r="J24">
        <v>-0.14540168172557666</v>
      </c>
      <c r="K24">
        <v>-0.14540168172557666</v>
      </c>
      <c r="L24">
        <v>2.8535080038644343</v>
      </c>
    </row>
    <row r="25" spans="1:12" x14ac:dyDescent="0.35">
      <c r="A25" t="s">
        <v>152</v>
      </c>
      <c r="B25">
        <v>-1.4328798867625465</v>
      </c>
      <c r="C25">
        <v>-1.3230566486646647</v>
      </c>
      <c r="D25">
        <v>0.14701380242221662</v>
      </c>
      <c r="E25">
        <v>1.8009592012212035</v>
      </c>
      <c r="F25">
        <v>0.81877523342702918</v>
      </c>
      <c r="G25">
        <v>0.18009085213697593</v>
      </c>
      <c r="H25">
        <v>-0.29172167160333368</v>
      </c>
      <c r="I25">
        <v>1.1491740783306406</v>
      </c>
      <c r="J25">
        <v>0.1621586313646477</v>
      </c>
      <c r="K25">
        <v>-0.7838821557018808</v>
      </c>
      <c r="L25">
        <v>-0.42663143617027516</v>
      </c>
    </row>
    <row r="26" spans="1:12" x14ac:dyDescent="0.35">
      <c r="A26" t="s">
        <v>153</v>
      </c>
      <c r="B26">
        <v>-1.5690129881301287</v>
      </c>
      <c r="C26">
        <v>-1.4274839006089215</v>
      </c>
      <c r="D26">
        <v>-0.25015888444841722</v>
      </c>
      <c r="E26">
        <v>1.505761950816666</v>
      </c>
      <c r="F26">
        <v>0.52905122191998644</v>
      </c>
      <c r="G26">
        <v>0.19085264946922986</v>
      </c>
      <c r="H26">
        <v>-0.21492857429325474</v>
      </c>
      <c r="I26">
        <v>1.6160923657884974</v>
      </c>
      <c r="J26">
        <v>-0.13929505280874335</v>
      </c>
      <c r="K26">
        <v>-0.39238265414169737</v>
      </c>
      <c r="L26">
        <v>0.15150386643677657</v>
      </c>
    </row>
    <row r="27" spans="1:12" x14ac:dyDescent="0.35">
      <c r="A27" t="s">
        <v>154</v>
      </c>
      <c r="B27">
        <v>0.17919935393883171</v>
      </c>
      <c r="C27">
        <v>1.1206646164234395</v>
      </c>
      <c r="D27">
        <v>-1.703731171030384</v>
      </c>
      <c r="E27">
        <v>0.97356066916021933</v>
      </c>
      <c r="F27">
        <v>-5.6166961682320243E-2</v>
      </c>
      <c r="G27">
        <v>0.59109040627584752</v>
      </c>
      <c r="H27">
        <v>0.17919935393883171</v>
      </c>
      <c r="I27">
        <v>0.97356066916021933</v>
      </c>
      <c r="J27">
        <v>0.32630330120205159</v>
      </c>
      <c r="K27">
        <v>-1.4977856448618758</v>
      </c>
      <c r="L27">
        <v>-1.08589459252486</v>
      </c>
    </row>
    <row r="28" spans="1:12" x14ac:dyDescent="0.35">
      <c r="A28" t="s">
        <v>155</v>
      </c>
      <c r="B28">
        <v>0.49663977811075583</v>
      </c>
      <c r="C28">
        <v>1.2880143778106055</v>
      </c>
      <c r="D28">
        <v>-1.4435044017985525</v>
      </c>
      <c r="E28">
        <v>1.1603733133428877</v>
      </c>
      <c r="F28">
        <v>-1.392447976011469E-2</v>
      </c>
      <c r="G28">
        <v>0.34347050074949487</v>
      </c>
      <c r="H28">
        <v>-6.4980905547201706E-2</v>
      </c>
      <c r="I28">
        <v>0.98167582308808288</v>
      </c>
      <c r="J28">
        <v>-9.0509118440745259E-2</v>
      </c>
      <c r="K28">
        <v>-1.1882222728631169</v>
      </c>
      <c r="L28">
        <v>-1.469032614692096</v>
      </c>
    </row>
    <row r="29" spans="1:12" x14ac:dyDescent="0.35">
      <c r="A29" t="s">
        <v>156</v>
      </c>
      <c r="B29">
        <v>1.2790751302693142</v>
      </c>
      <c r="C29">
        <v>0.35416622132955111</v>
      </c>
      <c r="D29">
        <v>1.6294194139586182</v>
      </c>
      <c r="E29">
        <v>0.31212490728683456</v>
      </c>
      <c r="F29">
        <v>5.9877023030535555E-2</v>
      </c>
      <c r="G29">
        <v>-0.17835708987819118</v>
      </c>
      <c r="H29">
        <v>-0.24842594661605202</v>
      </c>
      <c r="I29">
        <v>7.3890794378107832E-2</v>
      </c>
      <c r="J29">
        <v>-0.45863251682963457</v>
      </c>
      <c r="K29">
        <v>-0.64081154434807275</v>
      </c>
      <c r="L29">
        <v>-2.1823263925810106</v>
      </c>
    </row>
    <row r="30" spans="1:12" x14ac:dyDescent="0.35">
      <c r="A30" t="s">
        <v>157</v>
      </c>
      <c r="B30">
        <v>-1.5452083175971358</v>
      </c>
      <c r="C30">
        <v>-0.41769312731066843</v>
      </c>
      <c r="D30">
        <v>0.14606446783256491</v>
      </c>
      <c r="E30">
        <v>-0.24856584876769819</v>
      </c>
      <c r="F30">
        <v>6.1500828561079801E-2</v>
      </c>
      <c r="G30">
        <v>1.6682099747192956</v>
      </c>
      <c r="H30">
        <v>1.4145190569048409</v>
      </c>
      <c r="I30">
        <v>-0.67138404512512373</v>
      </c>
      <c r="J30">
        <v>-1.2351416402683575</v>
      </c>
      <c r="K30">
        <v>6.1500828561079801E-2</v>
      </c>
      <c r="L30">
        <v>0.76619782249012169</v>
      </c>
    </row>
    <row r="31" spans="1:12" x14ac:dyDescent="0.35">
      <c r="A31" t="s">
        <v>158</v>
      </c>
      <c r="B31">
        <v>-0.3718568433708383</v>
      </c>
      <c r="C31">
        <v>0.10936965981494998</v>
      </c>
      <c r="D31">
        <v>0.10936965981494998</v>
      </c>
      <c r="E31">
        <v>0.10936965981494998</v>
      </c>
      <c r="F31">
        <v>0.8312094145936324</v>
      </c>
      <c r="G31">
        <v>0.8312094145936324</v>
      </c>
      <c r="H31">
        <v>0.10936965981494998</v>
      </c>
      <c r="I31">
        <v>0.10936965981494998</v>
      </c>
      <c r="J31">
        <v>0.8312094145936324</v>
      </c>
      <c r="K31">
        <v>0.10936965981494998</v>
      </c>
      <c r="L31">
        <v>-2.777989359299776</v>
      </c>
    </row>
    <row r="32" spans="1:12" x14ac:dyDescent="0.35">
      <c r="A32" t="s">
        <v>159</v>
      </c>
      <c r="B32">
        <v>0.13471094809102954</v>
      </c>
      <c r="C32">
        <v>0.69698071823454633</v>
      </c>
      <c r="D32">
        <v>1.129682783697928</v>
      </c>
      <c r="E32">
        <v>-0.72630504164306042</v>
      </c>
      <c r="F32">
        <v>-0.79396861164082122</v>
      </c>
      <c r="G32">
        <v>-1.2769384016595746</v>
      </c>
      <c r="H32">
        <v>-0.9384246525103872</v>
      </c>
      <c r="I32">
        <v>-0.32996186034755431</v>
      </c>
      <c r="J32">
        <v>-0.40953609929685958</v>
      </c>
      <c r="K32">
        <v>0.51032799821756358</v>
      </c>
      <c r="L32">
        <v>2.0034322188571898</v>
      </c>
    </row>
    <row r="33" spans="1:12" x14ac:dyDescent="0.35">
      <c r="A33" t="s">
        <v>160</v>
      </c>
      <c r="B33">
        <v>-1.2359184668750431</v>
      </c>
      <c r="C33">
        <v>-1.2593179559208687</v>
      </c>
      <c r="D33">
        <v>-0.90832562023346486</v>
      </c>
      <c r="E33">
        <v>-0.37013737217944648</v>
      </c>
      <c r="F33">
        <v>0.3786462772870155</v>
      </c>
      <c r="G33">
        <v>9.7852408737091834E-2</v>
      </c>
      <c r="H33">
        <v>2.7653941599611754E-2</v>
      </c>
      <c r="I33">
        <v>0.47224423347032451</v>
      </c>
      <c r="J33">
        <v>-1.9145036492042744E-2</v>
      </c>
      <c r="K33">
        <v>0.51904321156197564</v>
      </c>
      <c r="L33">
        <v>2.2974043790448233</v>
      </c>
    </row>
    <row r="34" spans="1:12" x14ac:dyDescent="0.35">
      <c r="A34" t="s">
        <v>161</v>
      </c>
      <c r="B34">
        <v>0.77279694006327837</v>
      </c>
      <c r="C34">
        <v>1.2430552681391014</v>
      </c>
      <c r="D34">
        <v>1.3819359936911857</v>
      </c>
      <c r="E34">
        <v>1.3703936277605835</v>
      </c>
      <c r="F34">
        <v>-0.62047832807585923</v>
      </c>
      <c r="G34">
        <v>-1.3670087697164179</v>
      </c>
      <c r="H34">
        <v>-0.63946738170362405</v>
      </c>
      <c r="I34">
        <v>-0.26527132492119915</v>
      </c>
      <c r="J34">
        <v>-0.75191236593078059</v>
      </c>
      <c r="K34">
        <v>-0.29766441640385699</v>
      </c>
      <c r="L34">
        <v>-0.8263792429024075</v>
      </c>
    </row>
    <row r="35" spans="1:12" x14ac:dyDescent="0.35">
      <c r="A35" t="s">
        <v>162</v>
      </c>
      <c r="B35">
        <v>0.18476365055924449</v>
      </c>
      <c r="C35">
        <v>0.33415026135445597</v>
      </c>
      <c r="D35">
        <v>0.20979704258356141</v>
      </c>
      <c r="E35">
        <v>0.46027043609924989</v>
      </c>
      <c r="F35">
        <v>0.47143868071051548</v>
      </c>
      <c r="G35">
        <v>-0.36256088293676192</v>
      </c>
      <c r="H35">
        <v>-1.9401472721203211E-2</v>
      </c>
      <c r="I35">
        <v>0.25589022709992082</v>
      </c>
      <c r="J35">
        <v>0.7099864268768159</v>
      </c>
      <c r="K35">
        <v>0.63228175519346197</v>
      </c>
      <c r="L35">
        <v>-2.876616124819261</v>
      </c>
    </row>
    <row r="36" spans="1:12" x14ac:dyDescent="0.35">
      <c r="A36" t="s">
        <v>163</v>
      </c>
      <c r="B36">
        <v>-0.2226653115308769</v>
      </c>
      <c r="C36">
        <v>2.644568270998374</v>
      </c>
      <c r="D36">
        <v>-0.59789682749203321</v>
      </c>
      <c r="E36">
        <v>0.15209752953439395</v>
      </c>
      <c r="F36">
        <v>-0.32280384124666484</v>
      </c>
      <c r="G36">
        <v>-0.15888426667362826</v>
      </c>
      <c r="H36">
        <v>-1.3684961940874965</v>
      </c>
      <c r="I36">
        <v>0.39643809174409272</v>
      </c>
      <c r="J36">
        <v>-4.4643222973475838E-2</v>
      </c>
      <c r="K36">
        <v>-0.62652614888879887</v>
      </c>
      <c r="L36">
        <v>0.14881192061611442</v>
      </c>
    </row>
    <row r="37" spans="1:12" x14ac:dyDescent="0.35">
      <c r="A37" t="s">
        <v>164</v>
      </c>
      <c r="B37">
        <v>8.5355527264647263E-2</v>
      </c>
      <c r="C37">
        <v>-0.10332573259644501</v>
      </c>
      <c r="D37">
        <v>1.5309742496624619</v>
      </c>
      <c r="E37">
        <v>-0.31618124076581355</v>
      </c>
      <c r="F37">
        <v>1.1844889057858528</v>
      </c>
      <c r="G37">
        <v>-0.2170479487068103</v>
      </c>
      <c r="H37">
        <v>0.97160731287157731</v>
      </c>
      <c r="I37">
        <v>0.10885109974874688</v>
      </c>
      <c r="J37">
        <v>-0.14487560630606519</v>
      </c>
      <c r="K37">
        <v>-1.1583373581359184</v>
      </c>
      <c r="L37">
        <v>-1.9415092088222334</v>
      </c>
    </row>
    <row r="38" spans="1:12" x14ac:dyDescent="0.35">
      <c r="A38" t="s">
        <v>165</v>
      </c>
      <c r="B38">
        <v>0.27249875719180844</v>
      </c>
      <c r="C38">
        <v>0.46948581058347705</v>
      </c>
      <c r="D38">
        <v>0.8634599173668146</v>
      </c>
      <c r="E38">
        <v>0.27249875719180844</v>
      </c>
      <c r="F38">
        <v>0.54828063194014465</v>
      </c>
      <c r="G38">
        <v>0.15430652515680712</v>
      </c>
      <c r="H38">
        <v>0.19370393583514089</v>
      </c>
      <c r="I38">
        <v>0.58767804261847811</v>
      </c>
      <c r="J38">
        <v>0.19370393583514089</v>
      </c>
      <c r="K38">
        <v>-0.27906499230486392</v>
      </c>
      <c r="L38">
        <v>-2.9974863291098925</v>
      </c>
    </row>
    <row r="39" spans="1:12" x14ac:dyDescent="0.35">
      <c r="A39" t="s">
        <v>166</v>
      </c>
      <c r="B39">
        <v>0.18195493864971579</v>
      </c>
      <c r="C39">
        <v>0.72781975459886272</v>
      </c>
      <c r="D39">
        <v>-0.50037608128671829</v>
      </c>
      <c r="E39">
        <v>0.86428595858614954</v>
      </c>
      <c r="F39">
        <v>0.52312044861793283</v>
      </c>
      <c r="G39">
        <v>0.52312044861793283</v>
      </c>
      <c r="H39">
        <v>-0.15921057131850122</v>
      </c>
      <c r="I39">
        <v>1.0689852645670799</v>
      </c>
      <c r="J39">
        <v>-1.182707101223152</v>
      </c>
      <c r="K39">
        <v>-0.63684228527400499</v>
      </c>
      <c r="L39">
        <v>-2.2744367331214463</v>
      </c>
    </row>
    <row r="40" spans="1:12" x14ac:dyDescent="0.35">
      <c r="A40" t="s">
        <v>167</v>
      </c>
      <c r="B40">
        <v>-0.34462880972492133</v>
      </c>
      <c r="C40">
        <v>4.4599022434990643E-2</v>
      </c>
      <c r="D40">
        <v>2.838119609499384E-2</v>
      </c>
      <c r="E40">
        <v>0.20677728583495414</v>
      </c>
      <c r="F40">
        <v>1.0825399081947555</v>
      </c>
      <c r="G40">
        <v>1.0501042555147631</v>
      </c>
      <c r="H40">
        <v>0.35273772289492084</v>
      </c>
      <c r="I40">
        <v>0.40139120191491012</v>
      </c>
      <c r="J40">
        <v>0.80683686041481895</v>
      </c>
      <c r="K40">
        <v>0.25543076485494343</v>
      </c>
      <c r="L40">
        <v>-2.0312827490845402</v>
      </c>
    </row>
    <row r="41" spans="1:12" x14ac:dyDescent="0.35">
      <c r="A41" t="s">
        <v>168</v>
      </c>
      <c r="B41">
        <v>-1.3324688301044372</v>
      </c>
      <c r="C41">
        <v>-1.1696154452750498</v>
      </c>
      <c r="D41">
        <v>-1.3805365351898524</v>
      </c>
      <c r="E41">
        <v>-0.96330885504844732</v>
      </c>
      <c r="F41">
        <v>-0.53839034209337577</v>
      </c>
      <c r="G41">
        <v>0.99208538782624822</v>
      </c>
      <c r="H41">
        <v>1.3645139668280457</v>
      </c>
      <c r="I41">
        <v>0.51909916978576076</v>
      </c>
      <c r="J41">
        <v>0.68637478348300551</v>
      </c>
      <c r="K41">
        <v>0.60465968483780042</v>
      </c>
      <c r="L41">
        <v>0.46872421485624505</v>
      </c>
    </row>
    <row r="42" spans="1:12" x14ac:dyDescent="0.35">
      <c r="A42" t="s">
        <v>169</v>
      </c>
      <c r="B42">
        <v>-0.6399800528806403</v>
      </c>
      <c r="C42">
        <v>-0.6399800528806403</v>
      </c>
      <c r="D42">
        <v>-0.27427716552027442</v>
      </c>
      <c r="E42">
        <v>-0.82283149656082322</v>
      </c>
      <c r="F42">
        <v>-0.82283149656082322</v>
      </c>
      <c r="G42">
        <v>-9.142572184009147E-2</v>
      </c>
      <c r="H42">
        <v>9.142572184009147E-2</v>
      </c>
      <c r="I42">
        <v>-0.27427716552027442</v>
      </c>
      <c r="J42">
        <v>-0.27427716552027442</v>
      </c>
      <c r="K42">
        <v>-0.27427716552027442</v>
      </c>
      <c r="L42">
        <v>2.4684944896824672</v>
      </c>
    </row>
    <row r="43" spans="1:12" x14ac:dyDescent="0.35">
      <c r="A43" t="s">
        <v>170</v>
      </c>
      <c r="B43">
        <v>-1.3583986594085264</v>
      </c>
      <c r="C43">
        <v>-1.2479836670299698</v>
      </c>
      <c r="D43">
        <v>0.23000788069721378</v>
      </c>
      <c r="E43">
        <v>1.8928651390142148</v>
      </c>
      <c r="F43">
        <v>0.90538892544930138</v>
      </c>
      <c r="G43">
        <v>0.26326315758957058</v>
      </c>
      <c r="H43">
        <v>-0.21109160662219995</v>
      </c>
      <c r="I43">
        <v>1.2375680395763304</v>
      </c>
      <c r="J43">
        <v>0.24523431365635381</v>
      </c>
      <c r="K43">
        <v>-0.70590397094471891</v>
      </c>
      <c r="L43">
        <v>-0.34672829776743236</v>
      </c>
    </row>
    <row r="44" spans="1:12" x14ac:dyDescent="0.35">
      <c r="A44" t="s">
        <v>171</v>
      </c>
      <c r="B44">
        <v>-1.5974092103284205</v>
      </c>
      <c r="C44">
        <v>-1.4501062187331542</v>
      </c>
      <c r="D44">
        <v>-0.22475035727887047</v>
      </c>
      <c r="E44">
        <v>1.60280605934996</v>
      </c>
      <c r="F44">
        <v>0.58624886386803698</v>
      </c>
      <c r="G44">
        <v>0.23425294311584516</v>
      </c>
      <c r="H44">
        <v>-0.18808277062530071</v>
      </c>
      <c r="I44">
        <v>1.7176375789615215</v>
      </c>
      <c r="J44">
        <v>-0.10936365941868068</v>
      </c>
      <c r="K44">
        <v>-0.37277637170955863</v>
      </c>
      <c r="L44">
        <v>0.19329886393798779</v>
      </c>
    </row>
    <row r="45" spans="1:12" x14ac:dyDescent="0.35">
      <c r="A45" t="s">
        <v>172</v>
      </c>
      <c r="B45">
        <v>-7.0966527192106763E-2</v>
      </c>
      <c r="C45">
        <v>0.62778081746863756</v>
      </c>
      <c r="D45">
        <v>-1.4684612165135957</v>
      </c>
      <c r="E45">
        <v>0.51860154486539622</v>
      </c>
      <c r="F45">
        <v>-0.24565336335729288</v>
      </c>
      <c r="G45">
        <v>0.2347354360969689</v>
      </c>
      <c r="H45">
        <v>-7.0966527192106763E-2</v>
      </c>
      <c r="I45">
        <v>0.51860154486539622</v>
      </c>
      <c r="J45">
        <v>3.8212745411134494E-2</v>
      </c>
      <c r="K45">
        <v>-1.3156102348690579</v>
      </c>
      <c r="L45">
        <v>-1.0099082715799821</v>
      </c>
    </row>
    <row r="46" spans="1:12" x14ac:dyDescent="0.35">
      <c r="A46" t="s">
        <v>173</v>
      </c>
      <c r="B46">
        <v>0.18219430617887877</v>
      </c>
      <c r="C46">
        <v>0.7873396802730126</v>
      </c>
      <c r="D46">
        <v>-1.3013879012777068</v>
      </c>
      <c r="E46">
        <v>0.68973558767718446</v>
      </c>
      <c r="F46">
        <v>-0.20822206420443315</v>
      </c>
      <c r="G46">
        <v>6.5069395063885344E-2</v>
      </c>
      <c r="H46">
        <v>-0.24726370124276431</v>
      </c>
      <c r="I46">
        <v>0.55308985804302524</v>
      </c>
      <c r="J46">
        <v>-0.26678451976192991</v>
      </c>
      <c r="K46">
        <v>-1.1061797160860507</v>
      </c>
      <c r="L46">
        <v>-1.3209087197968725</v>
      </c>
    </row>
    <row r="47" spans="1:12" x14ac:dyDescent="0.35">
      <c r="A47" t="s">
        <v>174</v>
      </c>
      <c r="B47">
        <v>1.3686800458373403</v>
      </c>
      <c r="C47">
        <v>0.43741321052533549</v>
      </c>
      <c r="D47">
        <v>1.7214326349706752</v>
      </c>
      <c r="E47">
        <v>0.39508289982933525</v>
      </c>
      <c r="F47">
        <v>0.14110103565333396</v>
      </c>
      <c r="G47">
        <v>-9.8770724957333814E-2</v>
      </c>
      <c r="H47">
        <v>-0.16932124278400085</v>
      </c>
      <c r="I47">
        <v>0.15521113921866747</v>
      </c>
      <c r="J47">
        <v>-0.38097279626400193</v>
      </c>
      <c r="K47">
        <v>-0.56440414261333616</v>
      </c>
      <c r="L47">
        <v>-2.1165155348000106</v>
      </c>
    </row>
    <row r="48" spans="1:12" x14ac:dyDescent="0.35">
      <c r="A48" t="s">
        <v>175</v>
      </c>
      <c r="B48">
        <v>-1.4712678213250543</v>
      </c>
      <c r="C48">
        <v>-0.33770673908424181</v>
      </c>
      <c r="D48">
        <v>0.22907380203616409</v>
      </c>
      <c r="E48">
        <v>-0.16767257674811978</v>
      </c>
      <c r="F48">
        <v>0.14405672086810312</v>
      </c>
      <c r="G48">
        <v>1.7593812630612606</v>
      </c>
      <c r="H48">
        <v>1.5043300195570783</v>
      </c>
      <c r="I48">
        <v>-0.59275798258842483</v>
      </c>
      <c r="J48">
        <v>-1.1595385237088311</v>
      </c>
      <c r="K48">
        <v>0.14405672086810312</v>
      </c>
      <c r="L48">
        <v>0.85253239726861063</v>
      </c>
    </row>
    <row r="49" spans="1:12" x14ac:dyDescent="0.35">
      <c r="A49" t="s">
        <v>176</v>
      </c>
      <c r="B49">
        <v>-0.11265837386640741</v>
      </c>
      <c r="C49">
        <v>0.27359890796126979</v>
      </c>
      <c r="D49">
        <v>0.27359890796126979</v>
      </c>
      <c r="E49">
        <v>0.27359890796126979</v>
      </c>
      <c r="F49">
        <v>0.85298483070278563</v>
      </c>
      <c r="G49">
        <v>0.85298483070278563</v>
      </c>
      <c r="H49">
        <v>0.27359890796126979</v>
      </c>
      <c r="I49">
        <v>0.27359890796126979</v>
      </c>
      <c r="J49">
        <v>0.85298483070278563</v>
      </c>
      <c r="K49">
        <v>0.27359890796126979</v>
      </c>
      <c r="L49">
        <v>-2.043944783004791</v>
      </c>
    </row>
    <row r="50" spans="1:12" x14ac:dyDescent="0.35">
      <c r="A50" t="s">
        <v>177</v>
      </c>
      <c r="B50">
        <v>-8.973154904809667E-3</v>
      </c>
      <c r="C50">
        <v>0.51325900206280428</v>
      </c>
      <c r="D50">
        <v>0.91514959794813067</v>
      </c>
      <c r="E50">
        <v>-0.80867867239629354</v>
      </c>
      <c r="F50">
        <v>-0.87152411418314324</v>
      </c>
      <c r="G50">
        <v>-1.3201030145343227</v>
      </c>
      <c r="H50">
        <v>-1.0056938558554718</v>
      </c>
      <c r="I50">
        <v>-0.44055794910980645</v>
      </c>
      <c r="J50">
        <v>-0.51446593536868879</v>
      </c>
      <c r="K50">
        <v>0.33989728540238212</v>
      </c>
      <c r="L50">
        <v>1.7266818488389926</v>
      </c>
    </row>
    <row r="51" spans="1:12" x14ac:dyDescent="0.35">
      <c r="A51" t="s">
        <v>178</v>
      </c>
      <c r="B51">
        <v>-1.1741021696063081</v>
      </c>
      <c r="C51">
        <v>-1.1927881457804126</v>
      </c>
      <c r="D51">
        <v>-0.91249850316882763</v>
      </c>
      <c r="E51">
        <v>-0.48272105116439801</v>
      </c>
      <c r="F51">
        <v>0.11523018640698367</v>
      </c>
      <c r="G51">
        <v>-0.10900152768228479</v>
      </c>
      <c r="H51">
        <v>-0.16505945620460125</v>
      </c>
      <c r="I51">
        <v>0.18997409110340738</v>
      </c>
      <c r="J51">
        <v>-0.20243140855281308</v>
      </c>
      <c r="K51">
        <v>0.22734604345161658</v>
      </c>
      <c r="L51">
        <v>1.6474802326836484</v>
      </c>
    </row>
    <row r="52" spans="1:12" x14ac:dyDescent="0.35">
      <c r="A52" t="s">
        <v>179</v>
      </c>
      <c r="B52">
        <v>0.79747175470070641</v>
      </c>
      <c r="C52">
        <v>1.2902343898215436</v>
      </c>
      <c r="D52">
        <v>1.4357612804787665</v>
      </c>
      <c r="E52">
        <v>1.4236665523008203</v>
      </c>
      <c r="F52">
        <v>-0.66247898213395195</v>
      </c>
      <c r="G52">
        <v>-1.4447347884817578</v>
      </c>
      <c r="H52">
        <v>-0.68237676074928266</v>
      </c>
      <c r="I52">
        <v>-0.29027347627070643</v>
      </c>
      <c r="J52">
        <v>-0.80020282235379014</v>
      </c>
      <c r="K52">
        <v>-0.32421674567332959</v>
      </c>
      <c r="L52">
        <v>-0.87823332672763621</v>
      </c>
    </row>
    <row r="53" spans="1:12" x14ac:dyDescent="0.35">
      <c r="A53" t="s">
        <v>180</v>
      </c>
      <c r="B53">
        <v>0.25196014319376331</v>
      </c>
      <c r="C53">
        <v>0.40488296475295582</v>
      </c>
      <c r="D53">
        <v>0.2775861140968976</v>
      </c>
      <c r="E53">
        <v>0.53398859794756415</v>
      </c>
      <c r="F53">
        <v>0.54542121208029426</v>
      </c>
      <c r="G53">
        <v>-0.30832040353821311</v>
      </c>
      <c r="H53">
        <v>4.2962117535179804E-2</v>
      </c>
      <c r="I53">
        <v>0.32477039516043255</v>
      </c>
      <c r="J53">
        <v>0.78961575017276719</v>
      </c>
      <c r="K53">
        <v>0.71007168943737187</v>
      </c>
      <c r="L53">
        <v>-2.8818871984324814</v>
      </c>
    </row>
    <row r="54" spans="1:12" x14ac:dyDescent="0.35">
      <c r="A54" t="s">
        <v>181</v>
      </c>
      <c r="B54">
        <v>-0.19103833121137523</v>
      </c>
      <c r="C54">
        <v>2.7868148292092942</v>
      </c>
      <c r="D54">
        <v>-0.58074650235685221</v>
      </c>
      <c r="E54">
        <v>0.19818308328182671</v>
      </c>
      <c r="F54">
        <v>-0.29504026499557401</v>
      </c>
      <c r="G54">
        <v>-0.12479657568772921</v>
      </c>
      <c r="H54">
        <v>-1.3810760510956865</v>
      </c>
      <c r="I54">
        <v>0.45195044978751386</v>
      </c>
      <c r="J54">
        <v>-6.1480445373083203E-3</v>
      </c>
      <c r="K54">
        <v>-0.61048036001028172</v>
      </c>
      <c r="L54">
        <v>0.1947707136162293</v>
      </c>
    </row>
    <row r="55" spans="1:12" x14ac:dyDescent="0.35">
      <c r="A55" t="s">
        <v>182</v>
      </c>
      <c r="B55">
        <v>-5.0802103166581881E-2</v>
      </c>
      <c r="C55">
        <v>-0.22727122560638843</v>
      </c>
      <c r="D55">
        <v>1.3012509174243727</v>
      </c>
      <c r="E55">
        <v>-0.42634995107589779</v>
      </c>
      <c r="F55">
        <v>0.97719136526124772</v>
      </c>
      <c r="G55">
        <v>-0.33363292625265639</v>
      </c>
      <c r="H55">
        <v>0.77808824334639881</v>
      </c>
      <c r="I55">
        <v>-2.8827249593193601E-2</v>
      </c>
      <c r="J55">
        <v>-0.26613184036176746</v>
      </c>
      <c r="K55">
        <v>-1.2139986613878153</v>
      </c>
      <c r="L55">
        <v>-1.9464807812969185</v>
      </c>
    </row>
    <row r="56" spans="1:12" x14ac:dyDescent="0.35">
      <c r="A56" t="s">
        <v>183</v>
      </c>
      <c r="B56">
        <v>0.38886650674220608</v>
      </c>
      <c r="C56">
        <v>0.44281735542535883</v>
      </c>
      <c r="D56">
        <v>0.2115994324975605</v>
      </c>
      <c r="E56">
        <v>0.62008442967000399</v>
      </c>
      <c r="F56">
        <v>0.33491565805905293</v>
      </c>
      <c r="G56">
        <v>0.13452679152162814</v>
      </c>
      <c r="H56">
        <v>0.55071905279166444</v>
      </c>
      <c r="I56">
        <v>0.25784301708312013</v>
      </c>
      <c r="J56">
        <v>0.12681952742403485</v>
      </c>
      <c r="K56">
        <v>-2.9483788475156807</v>
      </c>
      <c r="L56">
        <v>-0.11981292369895002</v>
      </c>
    </row>
    <row r="57" spans="1:12" x14ac:dyDescent="0.35">
      <c r="A57" t="s">
        <v>184</v>
      </c>
      <c r="B57">
        <v>0.91016840891854756</v>
      </c>
      <c r="C57">
        <v>-0.25846245758488356</v>
      </c>
      <c r="D57">
        <v>0.26480509458083179</v>
      </c>
      <c r="E57">
        <v>0.77063039500769026</v>
      </c>
      <c r="F57">
        <v>0.17759383588654581</v>
      </c>
      <c r="G57">
        <v>-4.9155436718597241E-2</v>
      </c>
      <c r="H57">
        <v>1.4508782128231201</v>
      </c>
      <c r="I57">
        <v>-0.886383520183742</v>
      </c>
      <c r="J57">
        <v>-0.67707649931745595</v>
      </c>
      <c r="K57">
        <v>-2.194552400598031</v>
      </c>
      <c r="L57">
        <v>0.49155436718597512</v>
      </c>
    </row>
    <row r="58" spans="1:12" x14ac:dyDescent="0.35">
      <c r="A58" t="s">
        <v>185</v>
      </c>
      <c r="B58">
        <v>-1.9503203064795398E-2</v>
      </c>
      <c r="C58">
        <v>-2.8084612413305038E-2</v>
      </c>
      <c r="D58">
        <v>3.6275957700516677E-2</v>
      </c>
      <c r="E58">
        <v>0.69704447753573995</v>
      </c>
      <c r="F58">
        <v>0.92016112059698352</v>
      </c>
      <c r="G58">
        <v>0.56403263263384351</v>
      </c>
      <c r="H58">
        <v>0.37524162696663738</v>
      </c>
      <c r="I58">
        <v>0.81718420841487138</v>
      </c>
      <c r="J58">
        <v>0.43960219708045789</v>
      </c>
      <c r="K58">
        <v>-1.6585523886300892</v>
      </c>
      <c r="L58">
        <v>-2.1434020168208709</v>
      </c>
    </row>
    <row r="59" spans="1:12" x14ac:dyDescent="0.35">
      <c r="A59" t="s">
        <v>186</v>
      </c>
      <c r="B59">
        <v>-1.3958684410023978</v>
      </c>
      <c r="C59">
        <v>-1.4175923821809344</v>
      </c>
      <c r="D59">
        <v>-1.198928449662549</v>
      </c>
      <c r="E59">
        <v>-0.96276326242421939</v>
      </c>
      <c r="F59">
        <v>0.51822954251068054</v>
      </c>
      <c r="G59">
        <v>0.71583091847657399</v>
      </c>
      <c r="H59">
        <v>0.93607199894937487</v>
      </c>
      <c r="I59">
        <v>0.52296098637392141</v>
      </c>
      <c r="J59">
        <v>0.68520372271666896</v>
      </c>
      <c r="K59">
        <v>0.83355738191248319</v>
      </c>
      <c r="L59">
        <v>0.76329798433037854</v>
      </c>
    </row>
    <row r="60" spans="1:12" x14ac:dyDescent="0.35">
      <c r="A60" t="s">
        <v>187</v>
      </c>
      <c r="B60">
        <v>-0.52684279445536975</v>
      </c>
      <c r="C60">
        <v>-0.61398972286152009</v>
      </c>
      <c r="D60">
        <v>-0.70113665126767299</v>
      </c>
      <c r="E60">
        <v>-1.0061509006892031</v>
      </c>
      <c r="F60">
        <v>-0.4832693302522939</v>
      </c>
      <c r="G60">
        <v>3.9612240184615802E-2</v>
      </c>
      <c r="H60">
        <v>-0.13468161662768743</v>
      </c>
      <c r="I60">
        <v>-0.22182854503383906</v>
      </c>
      <c r="J60">
        <v>-0.22182854503383906</v>
      </c>
      <c r="K60">
        <v>1.9132712009168731</v>
      </c>
      <c r="L60">
        <v>1.9568446651199489</v>
      </c>
    </row>
    <row r="61" spans="1:12" x14ac:dyDescent="0.35">
      <c r="A61" t="s">
        <v>188</v>
      </c>
      <c r="B61">
        <v>-1.3638108295278137</v>
      </c>
      <c r="C61">
        <v>-0.30951282470467245</v>
      </c>
      <c r="D61">
        <v>0.92224389487305403</v>
      </c>
      <c r="E61">
        <v>1.4916832259961372</v>
      </c>
      <c r="F61">
        <v>0.41652067180088564</v>
      </c>
      <c r="G61">
        <v>9.2878057331544153E-3</v>
      </c>
      <c r="H61">
        <v>0.86810170979351908</v>
      </c>
      <c r="I61">
        <v>0.82967396379804681</v>
      </c>
      <c r="J61">
        <v>-0.38139427855416741</v>
      </c>
      <c r="K61">
        <v>-1.4918372891244176</v>
      </c>
      <c r="L61">
        <v>-0.99095605008375187</v>
      </c>
    </row>
    <row r="62" spans="1:12" x14ac:dyDescent="0.35">
      <c r="A62" t="s">
        <v>189</v>
      </c>
      <c r="B62">
        <v>-1.6890066297890187</v>
      </c>
      <c r="C62">
        <v>-0.70472454164086995</v>
      </c>
      <c r="D62">
        <v>0.73174997853877666</v>
      </c>
      <c r="E62">
        <v>1.3651969366797443</v>
      </c>
      <c r="F62">
        <v>0.23711013623920713</v>
      </c>
      <c r="G62">
        <v>3.7957057870113332E-3</v>
      </c>
      <c r="H62">
        <v>1.2353076683020445</v>
      </c>
      <c r="I62">
        <v>0.7956092273980202</v>
      </c>
      <c r="J62">
        <v>-0.234985850769871</v>
      </c>
      <c r="K62">
        <v>-1.3532832795264906</v>
      </c>
      <c r="L62">
        <v>-0.38676935121856321</v>
      </c>
    </row>
    <row r="63" spans="1:12" x14ac:dyDescent="0.35">
      <c r="A63" t="s">
        <v>190</v>
      </c>
      <c r="B63">
        <v>0.26856468652708315</v>
      </c>
      <c r="C63">
        <v>-0.64852872783554594</v>
      </c>
      <c r="D63">
        <v>-0.33632671443550194</v>
      </c>
      <c r="E63">
        <v>0.42076316805960468</v>
      </c>
      <c r="F63">
        <v>-0.344131764770503</v>
      </c>
      <c r="G63">
        <v>-0.17632318256797941</v>
      </c>
      <c r="H63">
        <v>0.97882426701218328</v>
      </c>
      <c r="I63">
        <v>-8.2662578547966215E-2</v>
      </c>
      <c r="J63">
        <v>-0.5392580231455304</v>
      </c>
      <c r="K63">
        <v>-1.7334307244006988</v>
      </c>
      <c r="L63">
        <v>2.1925095941048545</v>
      </c>
    </row>
    <row r="64" spans="1:12" x14ac:dyDescent="0.35">
      <c r="A64" t="s">
        <v>191</v>
      </c>
      <c r="B64">
        <v>0.44254900308704903</v>
      </c>
      <c r="C64">
        <v>-4.7942808667763639E-2</v>
      </c>
      <c r="D64">
        <v>-0.24708986005693573</v>
      </c>
      <c r="E64">
        <v>9.9573525694586024E-2</v>
      </c>
      <c r="F64">
        <v>-0.38723037770116797</v>
      </c>
      <c r="G64">
        <v>-0.28396894364752318</v>
      </c>
      <c r="H64">
        <v>1.0104868903820952</v>
      </c>
      <c r="I64">
        <v>-0.28028103528846443</v>
      </c>
      <c r="J64">
        <v>-0.85190683094256947</v>
      </c>
      <c r="K64">
        <v>-1.6669345782945515</v>
      </c>
      <c r="L64">
        <v>2.212745015435245</v>
      </c>
    </row>
    <row r="65" spans="1:12" x14ac:dyDescent="0.35">
      <c r="A65" t="s">
        <v>192</v>
      </c>
      <c r="B65">
        <v>0.40601905786728681</v>
      </c>
      <c r="C65">
        <v>1.9604351568592029</v>
      </c>
      <c r="D65">
        <v>0.63120609836510977</v>
      </c>
      <c r="E65">
        <v>0.19334240850823189</v>
      </c>
      <c r="F65">
        <v>5.5728105981784452E-2</v>
      </c>
      <c r="G65">
        <v>-8.8141392114046854E-2</v>
      </c>
      <c r="H65">
        <v>0.35597749331221501</v>
      </c>
      <c r="I65">
        <v>-0.2413936835639541</v>
      </c>
      <c r="J65">
        <v>-0.66987458006675604</v>
      </c>
      <c r="K65">
        <v>-2.1742491145036005</v>
      </c>
      <c r="L65">
        <v>-0.42904955064547329</v>
      </c>
    </row>
    <row r="66" spans="1:12" x14ac:dyDescent="0.35">
      <c r="A66" t="s">
        <v>193</v>
      </c>
      <c r="B66">
        <v>-0.14209132168296254</v>
      </c>
      <c r="C66">
        <v>0.45624635321638934</v>
      </c>
      <c r="D66">
        <v>0.34634759660222197</v>
      </c>
      <c r="E66">
        <v>0.52340670448060234</v>
      </c>
      <c r="F66">
        <v>1.6284997571008324</v>
      </c>
      <c r="G66">
        <v>1.6040778111865726</v>
      </c>
      <c r="H66">
        <v>-0.78316740193226742</v>
      </c>
      <c r="I66">
        <v>-1.0457033205105541</v>
      </c>
      <c r="J66">
        <v>-0.84422226671791556</v>
      </c>
      <c r="K66">
        <v>-0.54505342926823963</v>
      </c>
      <c r="L66">
        <v>-1.1983404824746746</v>
      </c>
    </row>
    <row r="67" spans="1:12" x14ac:dyDescent="0.35">
      <c r="A67" t="s">
        <v>194</v>
      </c>
      <c r="B67">
        <v>0.1277410015122718</v>
      </c>
      <c r="C67">
        <v>0.22810893127191334</v>
      </c>
      <c r="D67">
        <v>0.22810893127191334</v>
      </c>
      <c r="E67">
        <v>0.52921272055084001</v>
      </c>
      <c r="F67">
        <v>0.83031650982976668</v>
      </c>
      <c r="G67">
        <v>0.52921272055084001</v>
      </c>
      <c r="H67">
        <v>0.22810893127191334</v>
      </c>
      <c r="I67">
        <v>0.83031650982976668</v>
      </c>
      <c r="J67">
        <v>0.37866082591137734</v>
      </c>
      <c r="K67">
        <v>-1.729065699041108</v>
      </c>
      <c r="L67">
        <v>-2.1807213829594971</v>
      </c>
    </row>
    <row r="68" spans="1:12" x14ac:dyDescent="0.35">
      <c r="A68" t="s">
        <v>195</v>
      </c>
      <c r="B68">
        <v>0.45252664147714944</v>
      </c>
      <c r="C68">
        <v>1.0991640324334984</v>
      </c>
      <c r="D68">
        <v>-0.3756785611059002</v>
      </c>
      <c r="E68">
        <v>-0.76755750687833735</v>
      </c>
      <c r="F68">
        <v>-1.282742248457168</v>
      </c>
      <c r="G68">
        <v>-0.75209377409454048</v>
      </c>
      <c r="H68">
        <v>-0.69165853594091653</v>
      </c>
      <c r="I68">
        <v>-0.7155858230378791</v>
      </c>
      <c r="J68">
        <v>-1.6397950333203081E-2</v>
      </c>
      <c r="K68">
        <v>1.5677937649322951</v>
      </c>
      <c r="L68">
        <v>1.4822299610049998</v>
      </c>
    </row>
    <row r="69" spans="1:12" x14ac:dyDescent="0.35">
      <c r="A69" t="s">
        <v>197</v>
      </c>
      <c r="B69">
        <v>-1.5450826161892186</v>
      </c>
      <c r="C69">
        <v>-1.1398821420097949</v>
      </c>
      <c r="D69">
        <v>-0.4926869401954363</v>
      </c>
      <c r="E69">
        <v>-0.15501987837924927</v>
      </c>
      <c r="F69">
        <v>-3.1208622379981329E-2</v>
      </c>
      <c r="G69">
        <v>-0.22255329074248603</v>
      </c>
      <c r="H69">
        <v>0.18827496780054218</v>
      </c>
      <c r="I69">
        <v>5.8835927437669827E-2</v>
      </c>
      <c r="J69">
        <v>7.0091496164875422E-2</v>
      </c>
      <c r="K69">
        <v>1.0830926816134365</v>
      </c>
      <c r="L69">
        <v>2.1861384168796487</v>
      </c>
    </row>
    <row r="70" spans="1:12" x14ac:dyDescent="0.35">
      <c r="A70" t="s">
        <v>198</v>
      </c>
      <c r="B70">
        <v>1.3196029189021949</v>
      </c>
      <c r="C70">
        <v>1.3595039967421874</v>
      </c>
      <c r="D70">
        <v>1.2376157041976388</v>
      </c>
      <c r="E70">
        <v>0.67491550408745826</v>
      </c>
      <c r="F70">
        <v>-0.91894255048767204</v>
      </c>
      <c r="G70">
        <v>-1.0062499089042272</v>
      </c>
      <c r="H70">
        <v>-0.72124221004713762</v>
      </c>
      <c r="I70">
        <v>-0.1410615377403894</v>
      </c>
      <c r="J70">
        <v>-0.37391282770663092</v>
      </c>
      <c r="K70">
        <v>-1.3721997942367301</v>
      </c>
      <c r="L70">
        <v>-5.8029294806690043E-2</v>
      </c>
    </row>
    <row r="71" spans="1:12" x14ac:dyDescent="0.35">
      <c r="A71" t="s">
        <v>199</v>
      </c>
      <c r="B71">
        <v>0.33201935447413933</v>
      </c>
      <c r="C71">
        <v>0.74608071578317281</v>
      </c>
      <c r="D71">
        <v>0.43495088888900335</v>
      </c>
      <c r="E71">
        <v>0.36493295082547439</v>
      </c>
      <c r="F71">
        <v>0.12305624947838334</v>
      </c>
      <c r="G71">
        <v>5.4631018250711039E-2</v>
      </c>
      <c r="H71">
        <v>0.34633054642580086</v>
      </c>
      <c r="I71">
        <v>0.63596379992971686</v>
      </c>
      <c r="J71">
        <v>0.56397464067536585</v>
      </c>
      <c r="K71">
        <v>-2.7128890256029523</v>
      </c>
      <c r="L71">
        <v>-0.8890511391288205</v>
      </c>
    </row>
    <row r="72" spans="1:12" x14ac:dyDescent="0.35">
      <c r="A72" t="s">
        <v>200</v>
      </c>
      <c r="B72">
        <v>2.5896227914464176</v>
      </c>
      <c r="C72">
        <v>0.36053007037661355</v>
      </c>
      <c r="D72">
        <v>0.16785258078148074</v>
      </c>
      <c r="E72">
        <v>-0.13000334404151764</v>
      </c>
      <c r="F72">
        <v>-0.18666765200109428</v>
      </c>
      <c r="G72">
        <v>-1.1639904412455839</v>
      </c>
      <c r="H72">
        <v>0.11396994225995941</v>
      </c>
      <c r="I72">
        <v>-0.63352788193627363</v>
      </c>
      <c r="J72">
        <v>-1.1343831867418848</v>
      </c>
      <c r="K72">
        <v>-0.1095324135545893</v>
      </c>
      <c r="L72">
        <v>0.12612953465647464</v>
      </c>
    </row>
    <row r="73" spans="1:12" x14ac:dyDescent="0.35">
      <c r="A73" t="s">
        <v>201</v>
      </c>
      <c r="B73">
        <v>-0.36070910191310329</v>
      </c>
      <c r="C73">
        <v>0.25693101146770497</v>
      </c>
      <c r="D73">
        <v>-1.5131432746682519E-3</v>
      </c>
      <c r="E73">
        <v>0.5922170367493238</v>
      </c>
      <c r="F73">
        <v>0.44528443228054226</v>
      </c>
      <c r="G73">
        <v>0.22525108017833231</v>
      </c>
      <c r="H73">
        <v>0.34508659860475227</v>
      </c>
      <c r="I73">
        <v>-0.12156797166377849</v>
      </c>
      <c r="J73">
        <v>-0.33542138213796052</v>
      </c>
      <c r="K73">
        <v>-2.5735313895930005</v>
      </c>
      <c r="L73">
        <v>1.527972829301858</v>
      </c>
    </row>
    <row r="74" spans="1:12" x14ac:dyDescent="0.35">
      <c r="A74" t="s">
        <v>202</v>
      </c>
      <c r="B74">
        <v>0.99533216413600312</v>
      </c>
      <c r="C74">
        <v>0.29680856308425801</v>
      </c>
      <c r="D74">
        <v>0.3505411477805459</v>
      </c>
      <c r="E74">
        <v>0.12025864193931114</v>
      </c>
      <c r="F74">
        <v>0.5270910689254924</v>
      </c>
      <c r="G74">
        <v>0.24307597838796968</v>
      </c>
      <c r="H74">
        <v>4.3497806658899976E-2</v>
      </c>
      <c r="I74">
        <v>0.45800631717312196</v>
      </c>
      <c r="J74">
        <v>0.1663151431075581</v>
      </c>
      <c r="K74">
        <v>3.5821723130858817E-2</v>
      </c>
      <c r="L74">
        <v>-3.0269356045575613</v>
      </c>
    </row>
    <row r="75" spans="1:12" x14ac:dyDescent="0.35">
      <c r="A75" t="s">
        <v>203</v>
      </c>
      <c r="B75">
        <v>-0.11426088230707947</v>
      </c>
      <c r="C75">
        <v>0.96436184667175207</v>
      </c>
      <c r="D75">
        <v>-0.26051481166014151</v>
      </c>
      <c r="E75">
        <v>0.28793742341384065</v>
      </c>
      <c r="F75">
        <v>0.81810791731869026</v>
      </c>
      <c r="G75">
        <v>0.19652871756817686</v>
      </c>
      <c r="H75">
        <v>-4.1133917630548446E-2</v>
      </c>
      <c r="I75">
        <v>1.531095822914867</v>
      </c>
      <c r="J75">
        <v>-0.91865749374892003</v>
      </c>
      <c r="K75">
        <v>-0.69927659971932721</v>
      </c>
      <c r="L75">
        <v>-2.2897880814338754</v>
      </c>
    </row>
    <row r="76" spans="1:12" x14ac:dyDescent="0.35">
      <c r="A76" t="s">
        <v>204</v>
      </c>
      <c r="B76">
        <v>-0.68686472148454714</v>
      </c>
      <c r="C76">
        <v>4.2471379366847271E-2</v>
      </c>
      <c r="D76">
        <v>3.3684197428878411E-2</v>
      </c>
      <c r="E76">
        <v>9.9588061963644281E-2</v>
      </c>
      <c r="F76">
        <v>0.77620107118722725</v>
      </c>
      <c r="G76">
        <v>1.0046678015744104</v>
      </c>
      <c r="H76">
        <v>0.63999975114871299</v>
      </c>
      <c r="I76">
        <v>0.44668174851340403</v>
      </c>
      <c r="J76">
        <v>0.89922161831878777</v>
      </c>
      <c r="K76">
        <v>0.51258561304816874</v>
      </c>
      <c r="L76">
        <v>-1.635880370785157</v>
      </c>
    </row>
    <row r="77" spans="1:12" x14ac:dyDescent="0.35">
      <c r="A77" t="s">
        <v>205</v>
      </c>
      <c r="B77">
        <v>-1.1310796821783826</v>
      </c>
      <c r="C77">
        <v>-1.2651509288063014</v>
      </c>
      <c r="D77">
        <v>-1.2864407846300729</v>
      </c>
      <c r="E77">
        <v>-1.0721461702727659</v>
      </c>
      <c r="F77">
        <v>-0.84070000930333488</v>
      </c>
      <c r="G77">
        <v>0.61069976360062206</v>
      </c>
      <c r="H77">
        <v>0.80435269104682539</v>
      </c>
      <c r="I77">
        <v>1.0201929389651105</v>
      </c>
      <c r="J77">
        <v>0.61533666428355105</v>
      </c>
      <c r="K77">
        <v>0.77433748447560558</v>
      </c>
      <c r="L77">
        <v>0.91972675750164201</v>
      </c>
    </row>
    <row r="78" spans="1:12" x14ac:dyDescent="0.35">
      <c r="A78" t="s">
        <v>206</v>
      </c>
      <c r="B78">
        <v>-0.25433984996786385</v>
      </c>
      <c r="C78">
        <v>-0.52766028575422552</v>
      </c>
      <c r="D78">
        <v>-0.61876709768301141</v>
      </c>
      <c r="E78">
        <v>-0.70987390961179997</v>
      </c>
      <c r="F78">
        <v>-1.0287477513625545</v>
      </c>
      <c r="G78">
        <v>-0.48210687978983191</v>
      </c>
      <c r="H78">
        <v>6.4533991782891362E-2</v>
      </c>
      <c r="I78">
        <v>-0.11767963207468306</v>
      </c>
      <c r="J78">
        <v>-0.20878644400347027</v>
      </c>
      <c r="K78">
        <v>-0.20878644400347027</v>
      </c>
      <c r="L78">
        <v>2.023330448251814</v>
      </c>
    </row>
    <row r="79" spans="1:12" x14ac:dyDescent="0.35">
      <c r="A79" t="s">
        <v>207</v>
      </c>
      <c r="B79">
        <v>-1.8142572619501169</v>
      </c>
      <c r="C79">
        <v>-1.008994233563721</v>
      </c>
      <c r="D79">
        <v>-0.10148670877207698</v>
      </c>
      <c r="E79">
        <v>0.95877185817548505</v>
      </c>
      <c r="F79">
        <v>1.4489278439996325</v>
      </c>
      <c r="G79">
        <v>0.52346075230190003</v>
      </c>
      <c r="H79">
        <v>0.17292713788902939</v>
      </c>
      <c r="I79">
        <v>0.91216791873562797</v>
      </c>
      <c r="J79">
        <v>0.87909048854782912</v>
      </c>
      <c r="K79">
        <v>-0.16336006902027631</v>
      </c>
      <c r="L79">
        <v>-1.1191955001172336</v>
      </c>
    </row>
    <row r="80" spans="1:12" x14ac:dyDescent="0.35">
      <c r="A80" t="s">
        <v>208</v>
      </c>
      <c r="B80">
        <v>-2.0366994212964591</v>
      </c>
      <c r="C80">
        <v>-1.1739188807251939</v>
      </c>
      <c r="D80">
        <v>-0.38190802979594068</v>
      </c>
      <c r="E80">
        <v>0.77396326031985774</v>
      </c>
      <c r="F80">
        <v>1.283671676613076</v>
      </c>
      <c r="G80">
        <v>0.37594715587132471</v>
      </c>
      <c r="H80">
        <v>0.18820873939340094</v>
      </c>
      <c r="I80">
        <v>1.1791551856466</v>
      </c>
      <c r="J80">
        <v>0.82534814137958479</v>
      </c>
      <c r="K80">
        <v>-3.928846032580157E-3</v>
      </c>
      <c r="L80">
        <v>-0.90377626661087174</v>
      </c>
    </row>
    <row r="81" spans="1:12" x14ac:dyDescent="0.35">
      <c r="A81" t="s">
        <v>209</v>
      </c>
      <c r="B81">
        <v>1.2714468727834243</v>
      </c>
      <c r="C81">
        <v>0.14252206833560502</v>
      </c>
      <c r="D81">
        <v>-0.73886440689774224</v>
      </c>
      <c r="E81">
        <v>-0.43881794724383677</v>
      </c>
      <c r="F81">
        <v>0.28879471741688406</v>
      </c>
      <c r="G81">
        <v>-0.44631910873518443</v>
      </c>
      <c r="H81">
        <v>-0.28504413667121026</v>
      </c>
      <c r="I81">
        <v>0.82512776404824018</v>
      </c>
      <c r="J81">
        <v>-0.19503019877503858</v>
      </c>
      <c r="K81">
        <v>-0.6338481460188754</v>
      </c>
      <c r="L81">
        <v>-1.7815258541950638</v>
      </c>
    </row>
    <row r="82" spans="1:12" x14ac:dyDescent="0.35">
      <c r="A82" t="s">
        <v>210</v>
      </c>
      <c r="B82">
        <v>1.6329382357394913</v>
      </c>
      <c r="C82">
        <v>0.24962641389415294</v>
      </c>
      <c r="D82">
        <v>-0.19157375950016362</v>
      </c>
      <c r="E82">
        <v>-0.37070766448732978</v>
      </c>
      <c r="F82">
        <v>-5.8881978028188738E-2</v>
      </c>
      <c r="G82">
        <v>-0.49676485688570599</v>
      </c>
      <c r="H82">
        <v>-0.40388060985532354</v>
      </c>
      <c r="I82">
        <v>0.76048977256125627</v>
      </c>
      <c r="J82">
        <v>-0.40056331531852418</v>
      </c>
      <c r="K82">
        <v>-0.9147439685224269</v>
      </c>
      <c r="L82">
        <v>-1.6478660611550884</v>
      </c>
    </row>
    <row r="83" spans="1:12" x14ac:dyDescent="0.35">
      <c r="A83" t="s">
        <v>211</v>
      </c>
      <c r="B83">
        <v>0.97527361987461225</v>
      </c>
      <c r="C83">
        <v>0.3165932236296089</v>
      </c>
      <c r="D83">
        <v>1.8680821190503047</v>
      </c>
      <c r="E83">
        <v>0.54135620244306992</v>
      </c>
      <c r="F83">
        <v>0.10431707697245135</v>
      </c>
      <c r="G83">
        <v>-3.3038076746886053E-2</v>
      </c>
      <c r="H83">
        <v>-0.17663664654437503</v>
      </c>
      <c r="I83">
        <v>0.26664589500439528</v>
      </c>
      <c r="J83">
        <v>-0.32960034045909153</v>
      </c>
      <c r="K83">
        <v>-0.75727434181248254</v>
      </c>
      <c r="L83">
        <v>-2.2588159086079647</v>
      </c>
    </row>
    <row r="84" spans="1:12" x14ac:dyDescent="0.35">
      <c r="A84" t="s">
        <v>212</v>
      </c>
      <c r="B84">
        <v>-1.1551714858540669</v>
      </c>
      <c r="C84">
        <v>-3.3800198381272434E-2</v>
      </c>
      <c r="D84">
        <v>0.55074440891837639</v>
      </c>
      <c r="E84">
        <v>0.44337907288374639</v>
      </c>
      <c r="F84">
        <v>0.61635655871731665</v>
      </c>
      <c r="G84">
        <v>1.6959746599544219</v>
      </c>
      <c r="H84">
        <v>1.6721156963911703</v>
      </c>
      <c r="I84">
        <v>-0.66009799191660989</v>
      </c>
      <c r="J84">
        <v>-0.91658185022155747</v>
      </c>
      <c r="K84">
        <v>-0.71974540082473726</v>
      </c>
      <c r="L84">
        <v>-0.42747309717491283</v>
      </c>
    </row>
    <row r="85" spans="1:12" x14ac:dyDescent="0.35">
      <c r="A85" t="s">
        <v>213</v>
      </c>
      <c r="B85">
        <v>-0.5444661719231183</v>
      </c>
      <c r="C85">
        <v>0.18148872397437349</v>
      </c>
      <c r="D85">
        <v>0.28519656624544293</v>
      </c>
      <c r="E85">
        <v>0.28519656624544293</v>
      </c>
      <c r="F85">
        <v>0.5963200930586533</v>
      </c>
      <c r="G85">
        <v>0.90744361987186384</v>
      </c>
      <c r="H85">
        <v>0.5963200930586533</v>
      </c>
      <c r="I85">
        <v>0.28519656624544293</v>
      </c>
      <c r="J85">
        <v>0.90744361987186384</v>
      </c>
      <c r="K85">
        <v>0.44075832965204886</v>
      </c>
      <c r="L85">
        <v>-1.7371063580404229</v>
      </c>
    </row>
    <row r="86" spans="1:12" x14ac:dyDescent="0.35">
      <c r="A86" t="s">
        <v>214</v>
      </c>
      <c r="B86">
        <v>-0.6388137102919087</v>
      </c>
      <c r="C86">
        <v>0.52298467093257672</v>
      </c>
      <c r="D86">
        <v>1.1873182432695344</v>
      </c>
      <c r="E86">
        <v>-0.32788558271347712</v>
      </c>
      <c r="F86">
        <v>-0.73048887106278648</v>
      </c>
      <c r="G86">
        <v>-1.2597723993171259</v>
      </c>
      <c r="H86">
        <v>-0.71460195053267239</v>
      </c>
      <c r="I86">
        <v>-0.65251281337613876</v>
      </c>
      <c r="J86">
        <v>-0.67709490580656273</v>
      </c>
      <c r="K86">
        <v>4.1227269348834354E-2</v>
      </c>
      <c r="L86">
        <v>1.6687727162838462</v>
      </c>
    </row>
    <row r="87" spans="1:12" x14ac:dyDescent="0.35">
      <c r="A87" t="s">
        <v>215</v>
      </c>
      <c r="B87">
        <v>-1.4663611901555165</v>
      </c>
      <c r="C87">
        <v>-1.3040623616110811</v>
      </c>
      <c r="D87">
        <v>-0.92711024370142103</v>
      </c>
      <c r="E87">
        <v>-0.32503394426237991</v>
      </c>
      <c r="F87">
        <v>-1.0907179337662797E-2</v>
      </c>
      <c r="G87">
        <v>0.10427263446806621</v>
      </c>
      <c r="H87">
        <v>-7.3732532322605626E-2</v>
      </c>
      <c r="I87">
        <v>0.30845503166913413</v>
      </c>
      <c r="J87">
        <v>0.1880397717813253</v>
      </c>
      <c r="K87">
        <v>0.19851066394548195</v>
      </c>
      <c r="L87">
        <v>1.1408909587196334</v>
      </c>
    </row>
    <row r="88" spans="1:12" x14ac:dyDescent="0.35">
      <c r="A88" t="s">
        <v>216</v>
      </c>
      <c r="B88">
        <v>0.3062934881712317</v>
      </c>
      <c r="C88">
        <v>1.349712863487448</v>
      </c>
      <c r="D88">
        <v>1.3913663315639435</v>
      </c>
      <c r="E88">
        <v>1.2641249040826488</v>
      </c>
      <c r="F88">
        <v>0.67671182928006823</v>
      </c>
      <c r="G88">
        <v>-0.98714587052794978</v>
      </c>
      <c r="H88">
        <v>-1.0782876256762819</v>
      </c>
      <c r="I88">
        <v>-0.78076285370131293</v>
      </c>
      <c r="J88">
        <v>-0.17510159288426824</v>
      </c>
      <c r="K88">
        <v>-0.41817933158781717</v>
      </c>
      <c r="L88">
        <v>-1.460309432892142</v>
      </c>
    </row>
    <row r="89" spans="1:12" x14ac:dyDescent="0.35">
      <c r="A89" t="s">
        <v>217</v>
      </c>
      <c r="B89">
        <v>0.32141228472601024</v>
      </c>
      <c r="C89">
        <v>0.31721712756730597</v>
      </c>
      <c r="D89">
        <v>0.7492580200562623</v>
      </c>
      <c r="E89">
        <v>0.42461819453299432</v>
      </c>
      <c r="F89">
        <v>0.35155991071832543</v>
      </c>
      <c r="G89">
        <v>9.9180346510960929E-2</v>
      </c>
      <c r="H89">
        <v>2.7783928659011522E-2</v>
      </c>
      <c r="I89">
        <v>0.33214974558273563</v>
      </c>
      <c r="J89">
        <v>0.63435956526431436</v>
      </c>
      <c r="K89">
        <v>0.55924446513651871</v>
      </c>
      <c r="L89">
        <v>-2.859908431592924</v>
      </c>
    </row>
    <row r="90" spans="1:12" x14ac:dyDescent="0.35">
      <c r="A90" t="s">
        <v>218</v>
      </c>
      <c r="B90">
        <v>-0.3586535504954047</v>
      </c>
      <c r="C90">
        <v>2.7312445267868459</v>
      </c>
      <c r="D90">
        <v>0.40831238409959053</v>
      </c>
      <c r="E90">
        <v>0.20752363739459989</v>
      </c>
      <c r="F90">
        <v>-0.10287130271768037</v>
      </c>
      <c r="G90">
        <v>-0.1619210412315894</v>
      </c>
      <c r="H90">
        <v>-1.1803867602471845</v>
      </c>
      <c r="I90">
        <v>0.15137266988600298</v>
      </c>
      <c r="J90">
        <v>-0.62759300794406792</v>
      </c>
      <c r="K90">
        <v>-1.1495331118128755</v>
      </c>
      <c r="L90">
        <v>-8.1538595482433349E-2</v>
      </c>
    </row>
    <row r="91" spans="1:12" x14ac:dyDescent="0.35">
      <c r="A91" t="s">
        <v>219</v>
      </c>
      <c r="B91">
        <v>1.1821673464106925</v>
      </c>
      <c r="C91">
        <v>-0.45859062284773056</v>
      </c>
      <c r="D91">
        <v>0.14263160623511342</v>
      </c>
      <c r="E91">
        <v>-0.10894268021645245</v>
      </c>
      <c r="F91">
        <v>0.46900518064033647</v>
      </c>
      <c r="G91">
        <v>0.32597828509088428</v>
      </c>
      <c r="H91">
        <v>0.11179377932854936</v>
      </c>
      <c r="I91">
        <v>0.22844387369703012</v>
      </c>
      <c r="J91">
        <v>-0.22580625493015719</v>
      </c>
      <c r="K91">
        <v>-0.4339750920195703</v>
      </c>
      <c r="L91">
        <v>-2.6125924752870722</v>
      </c>
    </row>
    <row r="92" spans="1:12" x14ac:dyDescent="0.35">
      <c r="A92" t="s">
        <v>220</v>
      </c>
      <c r="B92">
        <v>0.93286428898600848</v>
      </c>
      <c r="C92">
        <v>0.26538955469366077</v>
      </c>
      <c r="D92">
        <v>0.31673376502384121</v>
      </c>
      <c r="E92">
        <v>9.6687149323067129E-2</v>
      </c>
      <c r="F92">
        <v>0.48543617039443449</v>
      </c>
      <c r="G92">
        <v>0.21404534436347997</v>
      </c>
      <c r="H92">
        <v>2.3338277422809504E-2</v>
      </c>
      <c r="I92">
        <v>0.41942218568420225</v>
      </c>
      <c r="J92">
        <v>0.14069647246322195</v>
      </c>
      <c r="K92">
        <v>1.6003390232783698E-2</v>
      </c>
      <c r="L92">
        <v>-2.9106165985875094</v>
      </c>
    </row>
    <row r="93" spans="1:12" x14ac:dyDescent="0.35">
      <c r="A93" t="s">
        <v>221</v>
      </c>
      <c r="B93">
        <v>-6.4271845278437281E-2</v>
      </c>
      <c r="C93">
        <v>0.97853884436420879</v>
      </c>
      <c r="D93">
        <v>-0.20566990489099959</v>
      </c>
      <c r="E93">
        <v>0.3245728186561086</v>
      </c>
      <c r="F93">
        <v>0.83714078475164677</v>
      </c>
      <c r="G93">
        <v>0.23619903139825715</v>
      </c>
      <c r="H93">
        <v>6.4271845278438752E-3</v>
      </c>
      <c r="I93">
        <v>1.5264563253628873</v>
      </c>
      <c r="J93">
        <v>-0.84196117314752938</v>
      </c>
      <c r="K93">
        <v>-0.62986408372868619</v>
      </c>
      <c r="L93">
        <v>-2.1675679820153002</v>
      </c>
    </row>
    <row r="94" spans="1:12" x14ac:dyDescent="0.35">
      <c r="A94" t="s">
        <v>222</v>
      </c>
      <c r="B94">
        <v>-1.1332556435091194</v>
      </c>
      <c r="C94">
        <v>-0.19478634416778126</v>
      </c>
      <c r="D94">
        <v>-0.20609320319599048</v>
      </c>
      <c r="E94">
        <v>-0.12129176048442208</v>
      </c>
      <c r="F94">
        <v>0.74933638468766306</v>
      </c>
      <c r="G94">
        <v>1.0433147194210934</v>
      </c>
      <c r="H94">
        <v>0.57408006975042403</v>
      </c>
      <c r="I94">
        <v>0.3253291711298289</v>
      </c>
      <c r="J94">
        <v>0.90763241108258752</v>
      </c>
      <c r="K94">
        <v>0.41013061384139576</v>
      </c>
      <c r="L94">
        <v>-2.3543964185556803</v>
      </c>
    </row>
    <row r="95" spans="1:12" x14ac:dyDescent="0.35">
      <c r="A95" t="s">
        <v>223</v>
      </c>
      <c r="B95">
        <v>-1.0428245803268732</v>
      </c>
      <c r="C95">
        <v>-1.1755085603741402</v>
      </c>
      <c r="D95">
        <v>-1.1965781250748406</v>
      </c>
      <c r="E95">
        <v>-0.98450086726779085</v>
      </c>
      <c r="F95">
        <v>-0.75544953391732061</v>
      </c>
      <c r="G95">
        <v>0.6809322657018555</v>
      </c>
      <c r="H95">
        <v>0.87258142096536928</v>
      </c>
      <c r="I95">
        <v>1.0861883193010431</v>
      </c>
      <c r="J95">
        <v>0.68552118728772204</v>
      </c>
      <c r="K95">
        <v>0.84287678876438099</v>
      </c>
      <c r="L95">
        <v>0.98676168494059191</v>
      </c>
    </row>
    <row r="96" spans="1:12" x14ac:dyDescent="0.35">
      <c r="A96" t="s">
        <v>224</v>
      </c>
      <c r="B96">
        <v>-8.3277102321831928E-2</v>
      </c>
      <c r="C96">
        <v>-0.42679514939938806</v>
      </c>
      <c r="D96">
        <v>-0.54130116509190518</v>
      </c>
      <c r="E96">
        <v>-0.65580718078442546</v>
      </c>
      <c r="F96">
        <v>-1.0565782357082403</v>
      </c>
      <c r="G96">
        <v>-0.3695421415531287</v>
      </c>
      <c r="H96">
        <v>0.31749395260198354</v>
      </c>
      <c r="I96">
        <v>8.8481921216946133E-2</v>
      </c>
      <c r="J96">
        <v>-2.6024094475572579E-2</v>
      </c>
      <c r="K96">
        <v>-2.6024094475572579E-2</v>
      </c>
      <c r="L96">
        <v>2.7793732899911325</v>
      </c>
    </row>
    <row r="97" spans="1:12" x14ac:dyDescent="0.35">
      <c r="A97" t="s">
        <v>225</v>
      </c>
      <c r="B97">
        <v>-1.8330132853489347</v>
      </c>
      <c r="C97">
        <v>-1.0465405878119338</v>
      </c>
      <c r="D97">
        <v>-0.16020920800402338</v>
      </c>
      <c r="E97">
        <v>0.8753088598065405</v>
      </c>
      <c r="F97">
        <v>1.3540273490404089</v>
      </c>
      <c r="G97">
        <v>0.45015547807207462</v>
      </c>
      <c r="H97">
        <v>0.10780135577105539</v>
      </c>
      <c r="I97">
        <v>0.82979239540290206</v>
      </c>
      <c r="J97">
        <v>0.79748680725300469</v>
      </c>
      <c r="K97">
        <v>-0.2206387904195844</v>
      </c>
      <c r="L97">
        <v>-1.1541703737615099</v>
      </c>
    </row>
    <row r="98" spans="1:12" x14ac:dyDescent="0.35">
      <c r="A98" t="s">
        <v>226</v>
      </c>
      <c r="B98">
        <v>-1.9543843284816715</v>
      </c>
      <c r="C98">
        <v>-1.1311063420630865</v>
      </c>
      <c r="D98">
        <v>-0.37535784298014158</v>
      </c>
      <c r="E98">
        <v>0.72759168304360233</v>
      </c>
      <c r="F98">
        <v>1.2139630125924117</v>
      </c>
      <c r="G98">
        <v>0.34779881379831906</v>
      </c>
      <c r="H98">
        <v>0.16865603272791987</v>
      </c>
      <c r="I98">
        <v>1.1142318269847209</v>
      </c>
      <c r="J98">
        <v>0.77662389856297442</v>
      </c>
      <c r="K98">
        <v>-1.4684500590198872E-2</v>
      </c>
      <c r="L98">
        <v>-0.87333225359484801</v>
      </c>
    </row>
    <row r="99" spans="1:12" x14ac:dyDescent="0.35">
      <c r="A99" t="s">
        <v>227</v>
      </c>
      <c r="B99">
        <v>1.7780783699230436</v>
      </c>
      <c r="C99">
        <v>0.39610243498989867</v>
      </c>
      <c r="D99">
        <v>-0.68284887633664293</v>
      </c>
      <c r="E99">
        <v>-0.31554630226803304</v>
      </c>
      <c r="F99">
        <v>0.57516243984834625</v>
      </c>
      <c r="G99">
        <v>-0.32472886661974831</v>
      </c>
      <c r="H99">
        <v>-0.12730373305787046</v>
      </c>
      <c r="I99">
        <v>1.2317157909959866</v>
      </c>
      <c r="J99">
        <v>-1.7112960837287465E-2</v>
      </c>
      <c r="K99">
        <v>-0.55429297541262945</v>
      </c>
      <c r="L99">
        <v>-1.9592253212250625</v>
      </c>
    </row>
    <row r="100" spans="1:12" x14ac:dyDescent="0.35">
      <c r="A100" t="s">
        <v>228</v>
      </c>
      <c r="B100">
        <v>2.107355081601582</v>
      </c>
      <c r="C100">
        <v>0.48818627769765294</v>
      </c>
      <c r="D100">
        <v>-2.8239264075062987E-2</v>
      </c>
      <c r="E100">
        <v>-0.23791579983240635</v>
      </c>
      <c r="F100">
        <v>0.12707668833778391</v>
      </c>
      <c r="G100">
        <v>-0.38546595462461092</v>
      </c>
      <c r="H100">
        <v>-0.27674478793561808</v>
      </c>
      <c r="I100">
        <v>1.0861526944871134</v>
      </c>
      <c r="J100">
        <v>-0.27286188912529691</v>
      </c>
      <c r="K100">
        <v>-0.87471120472507868</v>
      </c>
      <c r="L100">
        <v>-1.7328318418060578</v>
      </c>
    </row>
    <row r="101" spans="1:12" x14ac:dyDescent="0.35">
      <c r="A101" t="s">
        <v>229</v>
      </c>
      <c r="B101">
        <v>0.89704738214404678</v>
      </c>
      <c r="C101">
        <v>0.26053042281774524</v>
      </c>
      <c r="D101">
        <v>1.7598144454962854</v>
      </c>
      <c r="E101">
        <v>0.47773052268264449</v>
      </c>
      <c r="F101">
        <v>5.5396995167562746E-2</v>
      </c>
      <c r="G101">
        <v>-7.7336399194320213E-2</v>
      </c>
      <c r="H101">
        <v>-0.21610312966356138</v>
      </c>
      <c r="I101">
        <v>0.21226373395887874</v>
      </c>
      <c r="J101">
        <v>-0.36391986429383999</v>
      </c>
      <c r="K101">
        <v>-0.77720338764788433</v>
      </c>
      <c r="L101">
        <v>-2.228220721467558</v>
      </c>
    </row>
    <row r="102" spans="1:12" x14ac:dyDescent="0.35">
      <c r="A102" t="s">
        <v>230</v>
      </c>
      <c r="B102">
        <v>-1.2672867086488586</v>
      </c>
      <c r="C102">
        <v>-0.1322720211279238</v>
      </c>
      <c r="D102">
        <v>0.45938457130320254</v>
      </c>
      <c r="E102">
        <v>0.35071295228523991</v>
      </c>
      <c r="F102">
        <v>0.52579500514751265</v>
      </c>
      <c r="G102">
        <v>1.6185485074947956</v>
      </c>
      <c r="H102">
        <v>1.5943992588241367</v>
      </c>
      <c r="I102">
        <v>-0.76618979873270132</v>
      </c>
      <c r="J102">
        <v>-1.0257942219422769</v>
      </c>
      <c r="K102">
        <v>-0.82656292040934687</v>
      </c>
      <c r="L102">
        <v>-0.5307346241937837</v>
      </c>
    </row>
    <row r="103" spans="1:12" x14ac:dyDescent="0.35">
      <c r="A103" t="s">
        <v>231</v>
      </c>
      <c r="B103">
        <v>-0.98637171206275154</v>
      </c>
      <c r="C103">
        <v>-2.4971435748422716E-2</v>
      </c>
      <c r="D103">
        <v>0.11237146086790889</v>
      </c>
      <c r="E103">
        <v>0.11237146086790889</v>
      </c>
      <c r="F103">
        <v>0.5244001507169066</v>
      </c>
      <c r="G103">
        <v>0.93642884056590425</v>
      </c>
      <c r="H103">
        <v>0.5244001507169066</v>
      </c>
      <c r="I103">
        <v>0.11237146086790889</v>
      </c>
      <c r="J103">
        <v>0.93642884056590425</v>
      </c>
      <c r="K103">
        <v>0.31838580579240866</v>
      </c>
      <c r="L103">
        <v>-2.5658150231505732</v>
      </c>
    </row>
    <row r="104" spans="1:12" x14ac:dyDescent="0.35">
      <c r="A104" t="s">
        <v>232</v>
      </c>
      <c r="B104">
        <v>-0.54430543958117039</v>
      </c>
      <c r="C104">
        <v>0.7329619747328735</v>
      </c>
      <c r="D104">
        <v>1.4633224554270556</v>
      </c>
      <c r="E104">
        <v>-0.20247472956499374</v>
      </c>
      <c r="F104">
        <v>-0.6450920282414434</v>
      </c>
      <c r="G104">
        <v>-1.2269800860126383</v>
      </c>
      <c r="H104">
        <v>-0.62762613550579949</v>
      </c>
      <c r="I104">
        <v>-0.55936607166466012</v>
      </c>
      <c r="J104">
        <v>-0.58639133365886642</v>
      </c>
      <c r="K104">
        <v>0.20332357912847915</v>
      </c>
      <c r="L104">
        <v>1.9926278149411512</v>
      </c>
    </row>
    <row r="105" spans="1:12" x14ac:dyDescent="0.35">
      <c r="A105" t="s">
        <v>233</v>
      </c>
      <c r="B105">
        <v>-1.6557892171507158</v>
      </c>
      <c r="C105">
        <v>-1.4440816344554068</v>
      </c>
      <c r="D105">
        <v>-0.9523737004533942</v>
      </c>
      <c r="E105">
        <v>-0.16700686142240054</v>
      </c>
      <c r="F105">
        <v>0.24274975024594397</v>
      </c>
      <c r="G105">
        <v>0.39299384119100284</v>
      </c>
      <c r="H105">
        <v>0.16079842791227586</v>
      </c>
      <c r="I105">
        <v>0.65933563877542911</v>
      </c>
      <c r="J105">
        <v>0.5022622709692296</v>
      </c>
      <c r="K105">
        <v>0.51592082469150702</v>
      </c>
      <c r="L105">
        <v>1.7451906596965405</v>
      </c>
    </row>
    <row r="106" spans="1:12" x14ac:dyDescent="0.35">
      <c r="A106" t="s">
        <v>234</v>
      </c>
      <c r="B106">
        <v>0.28448535759391358</v>
      </c>
      <c r="C106">
        <v>1.2797326270144624</v>
      </c>
      <c r="D106">
        <v>1.3194630569314503</v>
      </c>
      <c r="E106">
        <v>1.1980960531612228</v>
      </c>
      <c r="F106">
        <v>0.63780239506998537</v>
      </c>
      <c r="G106">
        <v>-0.94923908759026965</v>
      </c>
      <c r="H106">
        <v>-1.0361730520991075</v>
      </c>
      <c r="I106">
        <v>-0.75238426697776495</v>
      </c>
      <c r="J106">
        <v>-0.17468489673241891</v>
      </c>
      <c r="K106">
        <v>-0.40654033417655516</v>
      </c>
      <c r="L106">
        <v>-1.4005578521949116</v>
      </c>
    </row>
    <row r="107" spans="1:12" x14ac:dyDescent="0.35">
      <c r="A107" t="s">
        <v>235</v>
      </c>
      <c r="B107">
        <v>0.23441012476595016</v>
      </c>
      <c r="C107">
        <v>0.23021520936475737</v>
      </c>
      <c r="D107">
        <v>0.66223120430468452</v>
      </c>
      <c r="E107">
        <v>0.33761008704749346</v>
      </c>
      <c r="F107">
        <v>0.26455601341809842</v>
      </c>
      <c r="G107">
        <v>1.219099327978637E-2</v>
      </c>
      <c r="H107">
        <v>-5.9201310156502651E-2</v>
      </c>
      <c r="I107">
        <v>0.24514696684685414</v>
      </c>
      <c r="J107">
        <v>0.54733937085335793</v>
      </c>
      <c r="K107">
        <v>0.4722285994405539</v>
      </c>
      <c r="L107">
        <v>-2.9467272591650335</v>
      </c>
    </row>
    <row r="108" spans="1:12" x14ac:dyDescent="0.35">
      <c r="A108" t="s">
        <v>236</v>
      </c>
      <c r="B108">
        <v>-0.3281818753044301</v>
      </c>
      <c r="C108">
        <v>2.621859523439849</v>
      </c>
      <c r="D108">
        <v>0.40406922226960629</v>
      </c>
      <c r="E108">
        <v>0.21236868705237505</v>
      </c>
      <c r="F108">
        <v>-8.397698532571557E-2</v>
      </c>
      <c r="G108">
        <v>-0.14035398186220802</v>
      </c>
      <c r="H108">
        <v>-1.1127213412867343</v>
      </c>
      <c r="I108">
        <v>0.15875925574207023</v>
      </c>
      <c r="J108">
        <v>-0.58494844604103158</v>
      </c>
      <c r="K108">
        <v>-1.083264207780386</v>
      </c>
      <c r="L108">
        <v>-6.3609850903397297E-2</v>
      </c>
    </row>
    <row r="109" spans="1:12" x14ac:dyDescent="0.35">
      <c r="A109" t="s">
        <v>237</v>
      </c>
      <c r="B109">
        <v>1.3842925518158558</v>
      </c>
      <c r="C109">
        <v>-0.35268270476939412</v>
      </c>
      <c r="D109">
        <v>0.28379638306214444</v>
      </c>
      <c r="E109">
        <v>1.7469283668586844E-2</v>
      </c>
      <c r="F109">
        <v>0.62930914836133223</v>
      </c>
      <c r="G109">
        <v>0.47789487322123536</v>
      </c>
      <c r="H109">
        <v>0.25115016509023341</v>
      </c>
      <c r="I109">
        <v>0.37464085134176095</v>
      </c>
      <c r="J109">
        <v>-0.10624740183716892</v>
      </c>
      <c r="K109">
        <v>-0.32662367060511061</v>
      </c>
      <c r="L109">
        <v>-2.6329994793494742</v>
      </c>
    </row>
    <row r="110" spans="1:12" x14ac:dyDescent="0.35">
      <c r="A110" t="s">
        <v>238</v>
      </c>
      <c r="B110">
        <v>0.65223309556499987</v>
      </c>
      <c r="C110">
        <v>0.10845877643304044</v>
      </c>
      <c r="D110">
        <v>0.35143035635763803</v>
      </c>
      <c r="E110">
        <v>1.1860683370160616</v>
      </c>
      <c r="F110">
        <v>9.4963922031045395E-2</v>
      </c>
      <c r="G110">
        <v>-0.59934709974218248</v>
      </c>
      <c r="H110">
        <v>0.18584381627840835</v>
      </c>
      <c r="I110">
        <v>0.60111766671423206</v>
      </c>
      <c r="J110">
        <v>-0.47037524996791208</v>
      </c>
      <c r="K110">
        <v>-2.6076655425211634</v>
      </c>
      <c r="L110">
        <v>0.49727192183583246</v>
      </c>
    </row>
    <row r="111" spans="1:12" x14ac:dyDescent="0.35">
      <c r="A111" t="s">
        <v>239</v>
      </c>
      <c r="B111">
        <v>-3.7846407474549169E-2</v>
      </c>
      <c r="C111">
        <v>-0.79693753272501922</v>
      </c>
      <c r="D111">
        <v>0.49370245437205718</v>
      </c>
      <c r="E111">
        <v>0.45116980827996817</v>
      </c>
      <c r="F111">
        <v>2.4094142840428763</v>
      </c>
      <c r="G111">
        <v>0.17800076954124247</v>
      </c>
      <c r="H111">
        <v>-1.5718258019585267</v>
      </c>
      <c r="I111">
        <v>-0.11081313657519649</v>
      </c>
      <c r="J111">
        <v>-0.49934204021243689</v>
      </c>
      <c r="K111">
        <v>-0.58491589889738671</v>
      </c>
      <c r="L111">
        <v>6.939350160697072E-2</v>
      </c>
    </row>
    <row r="112" spans="1:12" x14ac:dyDescent="0.35">
      <c r="A112" t="s">
        <v>240</v>
      </c>
      <c r="B112">
        <v>-0.25474568805491693</v>
      </c>
      <c r="C112">
        <v>0.16609296278540053</v>
      </c>
      <c r="D112">
        <v>-0.8477456051480915</v>
      </c>
      <c r="E112">
        <v>-0.25474568805491693</v>
      </c>
      <c r="F112">
        <v>0.61498752368173937</v>
      </c>
      <c r="G112">
        <v>-6.2892773701242813E-2</v>
      </c>
      <c r="H112">
        <v>-0.62748849308491239</v>
      </c>
      <c r="I112">
        <v>-0.25474568805491693</v>
      </c>
      <c r="J112">
        <v>-0.25474568805491693</v>
      </c>
      <c r="K112">
        <v>2.7102538974109538</v>
      </c>
      <c r="L112">
        <v>-0.93422475972417962</v>
      </c>
    </row>
    <row r="113" spans="1:12" x14ac:dyDescent="0.35">
      <c r="A113" t="s">
        <v>241</v>
      </c>
      <c r="B113">
        <v>4.3373641968414318E-2</v>
      </c>
      <c r="C113">
        <v>1.4650743868470766</v>
      </c>
      <c r="D113">
        <v>1.4953347542042006</v>
      </c>
      <c r="E113">
        <v>-0.9145858708163731</v>
      </c>
      <c r="F113">
        <v>-0.65291053998780335</v>
      </c>
      <c r="G113">
        <v>-0.5186496672034806</v>
      </c>
      <c r="H113">
        <v>1.3326758473106177</v>
      </c>
      <c r="I113">
        <v>-0.95177155726437956</v>
      </c>
      <c r="J113">
        <v>-0.96822867911007449</v>
      </c>
      <c r="K113">
        <v>0.28760143507897218</v>
      </c>
      <c r="L113">
        <v>-0.61791375102717128</v>
      </c>
    </row>
    <row r="114" spans="1:12" x14ac:dyDescent="0.35">
      <c r="A114" t="s">
        <v>242</v>
      </c>
      <c r="B114">
        <v>6.4150798278379099E-3</v>
      </c>
      <c r="C114">
        <v>1.0389367731367281</v>
      </c>
      <c r="D114">
        <v>1.4711174908839022</v>
      </c>
      <c r="E114">
        <v>-0.93214334784884023</v>
      </c>
      <c r="F114">
        <v>-0.42993625335730928</v>
      </c>
      <c r="G114">
        <v>-0.49672809281978464</v>
      </c>
      <c r="H114">
        <v>1.5357200124680876</v>
      </c>
      <c r="I114">
        <v>-1.5566914309662836</v>
      </c>
      <c r="J114">
        <v>-0.36633872287593061</v>
      </c>
      <c r="K114">
        <v>0.36653838661048455</v>
      </c>
      <c r="L114">
        <v>-0.63688989505889182</v>
      </c>
    </row>
    <row r="115" spans="1:12" x14ac:dyDescent="0.35">
      <c r="A115" t="s">
        <v>243</v>
      </c>
      <c r="B115">
        <v>1.2932431095618324</v>
      </c>
      <c r="C115">
        <v>0.31805549948779238</v>
      </c>
      <c r="D115">
        <v>-0.51142760884577243</v>
      </c>
      <c r="E115">
        <v>7.3204112096797405E-2</v>
      </c>
      <c r="F115">
        <v>1.1030054305257799</v>
      </c>
      <c r="G115">
        <v>-0.34626997017769678</v>
      </c>
      <c r="H115">
        <v>-1.471700584883386</v>
      </c>
      <c r="I115">
        <v>-0.75289676650990089</v>
      </c>
      <c r="J115">
        <v>1.3301605205430858</v>
      </c>
      <c r="K115">
        <v>0.3724927430273397</v>
      </c>
      <c r="L115">
        <v>-1.4078664848258715</v>
      </c>
    </row>
    <row r="116" spans="1:12" x14ac:dyDescent="0.35">
      <c r="A116" t="s">
        <v>244</v>
      </c>
      <c r="B116">
        <v>0.71750302432821744</v>
      </c>
      <c r="C116">
        <v>0.20317917395076276</v>
      </c>
      <c r="D116">
        <v>0.20317917395076276</v>
      </c>
      <c r="E116">
        <v>0.9232325644791991</v>
      </c>
      <c r="F116">
        <v>0.20317917395076276</v>
      </c>
      <c r="G116">
        <v>-0.4514148174387248</v>
      </c>
      <c r="H116">
        <v>0.20317917395076276</v>
      </c>
      <c r="I116">
        <v>0.9232325644791991</v>
      </c>
      <c r="J116">
        <v>-0.4514148174387248</v>
      </c>
      <c r="K116">
        <v>-2.6770343881629795</v>
      </c>
      <c r="L116">
        <v>0.20317917395076276</v>
      </c>
    </row>
    <row r="117" spans="1:12" x14ac:dyDescent="0.35">
      <c r="A117" t="s">
        <v>245</v>
      </c>
      <c r="B117">
        <v>0.45760412794541933</v>
      </c>
      <c r="C117">
        <v>0.25123842541407443</v>
      </c>
      <c r="D117">
        <v>-2.147961051895952</v>
      </c>
      <c r="E117">
        <v>-0.32556510250238058</v>
      </c>
      <c r="F117">
        <v>-0.93471678527246693</v>
      </c>
      <c r="G117">
        <v>0.32492842360924207</v>
      </c>
      <c r="H117">
        <v>0.6910141234104914</v>
      </c>
      <c r="I117">
        <v>-0.33383216401445726</v>
      </c>
      <c r="J117">
        <v>1.0151037020634317</v>
      </c>
      <c r="K117">
        <v>1.4775422789656143</v>
      </c>
      <c r="L117">
        <v>-0.47535597772301685</v>
      </c>
    </row>
    <row r="118" spans="1:12" x14ac:dyDescent="0.35">
      <c r="A118" t="s">
        <v>246</v>
      </c>
      <c r="B118">
        <v>-0.65180788178029025</v>
      </c>
      <c r="C118">
        <v>7.8342436661836736E-3</v>
      </c>
      <c r="D118">
        <v>0.32278247266451532</v>
      </c>
      <c r="E118">
        <v>0.65748661775570383</v>
      </c>
      <c r="F118">
        <v>-1.0710951758150526</v>
      </c>
      <c r="G118">
        <v>-0.72712397835094389</v>
      </c>
      <c r="H118">
        <v>0.12945347963563589</v>
      </c>
      <c r="I118">
        <v>-1.4132717496494165</v>
      </c>
      <c r="J118">
        <v>0.2870630926568441</v>
      </c>
      <c r="K118">
        <v>2.2884906093369786</v>
      </c>
      <c r="L118">
        <v>0.1701882698798407</v>
      </c>
    </row>
    <row r="119" spans="1:12" x14ac:dyDescent="0.35">
      <c r="A119" t="s">
        <v>247</v>
      </c>
      <c r="B119">
        <v>0.31176006180809906</v>
      </c>
      <c r="C119">
        <v>8.5158547478799227E-3</v>
      </c>
      <c r="D119">
        <v>-0.10694163716227344</v>
      </c>
      <c r="E119">
        <v>-1.5831123745281837</v>
      </c>
      <c r="F119">
        <v>-1.1743686695543702</v>
      </c>
      <c r="G119">
        <v>1.5142658715746706</v>
      </c>
      <c r="H119">
        <v>0.44583065780498837</v>
      </c>
      <c r="I119">
        <v>-0.69970932401737274</v>
      </c>
      <c r="J119">
        <v>0.59933141446518179</v>
      </c>
      <c r="K119">
        <v>-0.76031296520369529</v>
      </c>
      <c r="L119">
        <v>1.4447411100650753</v>
      </c>
    </row>
    <row r="120" spans="1:12" x14ac:dyDescent="0.35">
      <c r="A120" t="s">
        <v>248</v>
      </c>
      <c r="B120">
        <v>0.69792883886117829</v>
      </c>
      <c r="C120">
        <v>0.57952064689997018</v>
      </c>
      <c r="D120">
        <v>1.1763752968224717</v>
      </c>
      <c r="E120">
        <v>-0.76051736125053815</v>
      </c>
      <c r="F120">
        <v>-0.64389955671947774</v>
      </c>
      <c r="G120">
        <v>-0.1066125639154664</v>
      </c>
      <c r="H120">
        <v>2.4368187026683849E-2</v>
      </c>
      <c r="I120">
        <v>-9.1377711981161486E-2</v>
      </c>
      <c r="J120">
        <v>-1.2709831353497647E-2</v>
      </c>
      <c r="K120">
        <v>-0.17890087816224745</v>
      </c>
      <c r="L120">
        <v>-0.10527972113885134</v>
      </c>
    </row>
  </sheetData>
  <autoFilter ref="A1:L119" xr:uid="{3DB7071A-BC86-4D3A-AFAB-86260B67D00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B10641CC3FF7479F916DFC5A1F5B2A" ma:contentTypeVersion="17" ma:contentTypeDescription="Create a new document." ma:contentTypeScope="" ma:versionID="57e8ac6729a6fed929eda210365e490e">
  <xsd:schema xmlns:xsd="http://www.w3.org/2001/XMLSchema" xmlns:xs="http://www.w3.org/2001/XMLSchema" xmlns:p="http://schemas.microsoft.com/office/2006/metadata/properties" xmlns:ns2="744710a7-1a68-4cf8-9986-dac329d40641" xmlns:ns3="6f562992-9c66-474c-9710-754020fb5c1a" xmlns:ns4="4243d5be-521d-4052-81ca-f0f31ea6f2da" targetNamespace="http://schemas.microsoft.com/office/2006/metadata/properties" ma:root="true" ma:fieldsID="e9428926958afe261364547814288382" ns2:_="" ns3:_="" ns4:_="">
    <xsd:import namespace="744710a7-1a68-4cf8-9986-dac329d40641"/>
    <xsd:import namespace="6f562992-9c66-474c-9710-754020fb5c1a"/>
    <xsd:import namespace="4243d5be-521d-4052-81ca-f0f31ea6f2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710a7-1a68-4cf8-9986-dac329d406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883d318-f35c-4577-94aa-4c8e836d27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562992-9c66-474c-9710-754020fb5c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3d5be-521d-4052-81ca-f0f31ea6f2da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b74017e1-18ed-4fc0-9ba1-ef284d91a8ea}" ma:internalName="TaxCatchAll" ma:showField="CatchAllData" ma:web="6f562992-9c66-474c-9710-754020fb5c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4710a7-1a68-4cf8-9986-dac329d40641">
      <Terms xmlns="http://schemas.microsoft.com/office/infopath/2007/PartnerControls"/>
    </lcf76f155ced4ddcb4097134ff3c332f>
    <TaxCatchAll xmlns="4243d5be-521d-4052-81ca-f0f31ea6f2d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99A73A-2990-430B-B893-A1A0815EEB79}"/>
</file>

<file path=customXml/itemProps2.xml><?xml version="1.0" encoding="utf-8"?>
<ds:datastoreItem xmlns:ds="http://schemas.openxmlformats.org/officeDocument/2006/customXml" ds:itemID="{DE4FB3EE-03CA-46F9-9909-C2B2D061811B}">
  <ds:schemaRefs>
    <ds:schemaRef ds:uri="http://schemas.microsoft.com/office/2006/metadata/properties"/>
    <ds:schemaRef ds:uri="http://schemas.microsoft.com/office/infopath/2007/PartnerControls"/>
    <ds:schemaRef ds:uri="744710a7-1a68-4cf8-9986-dac329d40641"/>
    <ds:schemaRef ds:uri="4243d5be-521d-4052-81ca-f0f31ea6f2da"/>
  </ds:schemaRefs>
</ds:datastoreItem>
</file>

<file path=customXml/itemProps3.xml><?xml version="1.0" encoding="utf-8"?>
<ds:datastoreItem xmlns:ds="http://schemas.openxmlformats.org/officeDocument/2006/customXml" ds:itemID="{B6E99E24-BD9A-48C6-8443-0E4F57B342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Y</vt:lpstr>
      <vt:lpstr>RAW Q</vt:lpstr>
      <vt:lpstr>Sorting Y</vt:lpstr>
      <vt:lpstr>Sorting Q</vt:lpstr>
      <vt:lpstr>Transformation</vt:lpstr>
      <vt:lpstr>Log Mod</vt:lpstr>
      <vt:lpstr>Log Mod Lag</vt:lpstr>
      <vt:lpstr>Treasury</vt:lpstr>
      <vt:lpstr>coeff. check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Teh, Yap Heng</dc:creator>
  <cp:lastModifiedBy>K Sivaraman, Sarasvathi</cp:lastModifiedBy>
  <dcterms:created xsi:type="dcterms:W3CDTF">2022-08-18T06:59:58Z</dcterms:created>
  <dcterms:modified xsi:type="dcterms:W3CDTF">2023-10-23T07:50:50Z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0x0101004DB10641CC3FF7479F916DFC5A1F5B2A</vt:lpwstr>
  </property>
  <property fmtid="{D5CDD505-2E9C-101B-9397-08002B2CF9AE}" pid="3" name="MediaServiceImageTags">
    <vt:lpwstr/>
  </property>
</Properties>
</file>