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857" activeTab="3"/>
  </bookViews>
  <sheets>
    <sheet name="E1" sheetId="4" r:id="rId1"/>
    <sheet name="E2" sheetId="8" r:id="rId2"/>
    <sheet name="E3" sheetId="2" r:id="rId3"/>
    <sheet name="E3 Solución" sheetId="11" r:id="rId4"/>
    <sheet name="Tabla y gráfica dinámica" sheetId="17" r:id="rId5"/>
    <sheet name="E3 Tabla" sheetId="12" r:id="rId6"/>
  </sheets>
  <calcPr calcId="144525"/>
  <pivotCaches>
    <pivotCache cacheId="9" r:id="rId7"/>
  </pivotCaches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B8" i="12" l="1"/>
  <c r="B9" i="12" s="1"/>
  <c r="B7" i="12"/>
  <c r="B6" i="12"/>
  <c r="B5" i="12"/>
  <c r="B4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2" i="11"/>
  <c r="J7" i="11"/>
  <c r="I7" i="11"/>
  <c r="K5" i="11"/>
  <c r="K6" i="11"/>
  <c r="K4" i="11"/>
  <c r="J5" i="11"/>
  <c r="J6" i="11"/>
  <c r="J4" i="11"/>
  <c r="I4" i="11"/>
  <c r="I5" i="11"/>
  <c r="I6" i="11"/>
  <c r="F3" i="11"/>
  <c r="J13" i="11" s="1"/>
  <c r="F4" i="11"/>
  <c r="F5" i="11"/>
  <c r="F6" i="11"/>
  <c r="J12" i="11" s="1"/>
  <c r="F7" i="11"/>
  <c r="I11" i="11" s="1"/>
  <c r="F8" i="11"/>
  <c r="J11" i="11" s="1"/>
  <c r="J14" i="11" s="1"/>
  <c r="F9" i="11"/>
  <c r="F10" i="11"/>
  <c r="F11" i="11"/>
  <c r="I13" i="11" s="1"/>
  <c r="K13" i="11" s="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2" i="11"/>
  <c r="I12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B2" i="11"/>
  <c r="A2" i="11"/>
  <c r="H12" i="8"/>
  <c r="H11" i="8"/>
  <c r="H10" i="8"/>
  <c r="H9" i="8"/>
  <c r="H8" i="8"/>
  <c r="H7" i="8"/>
  <c r="H6" i="8"/>
  <c r="H5" i="8"/>
  <c r="H4" i="8"/>
  <c r="H3" i="8"/>
  <c r="C21" i="8"/>
  <c r="D21" i="8"/>
  <c r="E21" i="8"/>
  <c r="B21" i="8"/>
  <c r="C20" i="8"/>
  <c r="D20" i="8"/>
  <c r="E20" i="8"/>
  <c r="B20" i="8"/>
  <c r="C19" i="8"/>
  <c r="D19" i="8"/>
  <c r="E19" i="8"/>
  <c r="B19" i="8"/>
  <c r="C18" i="8"/>
  <c r="D18" i="8"/>
  <c r="E18" i="8"/>
  <c r="B18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3" i="8"/>
  <c r="F3" i="4"/>
  <c r="F4" i="4"/>
  <c r="F5" i="4"/>
  <c r="F6" i="4"/>
  <c r="F7" i="4"/>
  <c r="F8" i="4"/>
  <c r="F9" i="4"/>
  <c r="F10" i="4"/>
  <c r="F11" i="4"/>
  <c r="F2" i="4"/>
  <c r="C12" i="4"/>
  <c r="D12" i="4"/>
  <c r="B12" i="4"/>
  <c r="K12" i="11" l="1"/>
  <c r="I14" i="11"/>
  <c r="K11" i="11"/>
  <c r="K14" i="11"/>
  <c r="K7" i="11"/>
  <c r="E12" i="4"/>
</calcChain>
</file>

<file path=xl/sharedStrings.xml><?xml version="1.0" encoding="utf-8"?>
<sst xmlns="http://schemas.openxmlformats.org/spreadsheetml/2006/main" count="318" uniqueCount="138">
  <si>
    <t>SALARIOS</t>
  </si>
  <si>
    <t>Nombre</t>
  </si>
  <si>
    <t>Base</t>
  </si>
  <si>
    <t>Ventas</t>
  </si>
  <si>
    <t>Comisión</t>
  </si>
  <si>
    <t>Salario</t>
  </si>
  <si>
    <t>Ejercicio</t>
  </si>
  <si>
    <t>Resultado</t>
  </si>
  <si>
    <t>Ana</t>
  </si>
  <si>
    <t>Miguel</t>
  </si>
  <si>
    <t>Teo</t>
  </si>
  <si>
    <t>Inmaculada</t>
  </si>
  <si>
    <t>Jacobo</t>
  </si>
  <si>
    <t>Andrés</t>
  </si>
  <si>
    <t>Milagros</t>
  </si>
  <si>
    <t>Javi</t>
  </si>
  <si>
    <t>Jose</t>
  </si>
  <si>
    <t>Lisa</t>
  </si>
  <si>
    <t>Carmen</t>
  </si>
  <si>
    <t>Maria</t>
  </si>
  <si>
    <t>Alejandro</t>
  </si>
  <si>
    <t>Sergio</t>
  </si>
  <si>
    <t>Oscar</t>
  </si>
  <si>
    <t>Totales</t>
  </si>
  <si>
    <t>Minimo</t>
  </si>
  <si>
    <t>Máximo</t>
  </si>
  <si>
    <t>Ejercicio 1</t>
  </si>
  <si>
    <t>Ejercicio 2</t>
  </si>
  <si>
    <t>Ejercicio 3</t>
  </si>
  <si>
    <t>Ejercicio 4</t>
  </si>
  <si>
    <t>Ejercicio 5</t>
  </si>
  <si>
    <t>Ejercicio 6</t>
  </si>
  <si>
    <t>Ejercicio 7</t>
  </si>
  <si>
    <t>Ejercicio 8</t>
  </si>
  <si>
    <t>Ejercicio 9</t>
  </si>
  <si>
    <t>Media</t>
  </si>
  <si>
    <t>Ejercicio 10</t>
  </si>
  <si>
    <t>Edad</t>
  </si>
  <si>
    <t>Fecha Ingreso</t>
  </si>
  <si>
    <t>Baloncesto</t>
  </si>
  <si>
    <t>Fútbol</t>
  </si>
  <si>
    <t>PROMEDIO</t>
  </si>
  <si>
    <t>¿APTO?</t>
  </si>
  <si>
    <t xml:space="preserve">Estan Camino, Jesús </t>
  </si>
  <si>
    <t xml:space="preserve">Flores del Campo, Margarita </t>
  </si>
  <si>
    <t xml:space="preserve">Fina Segura, Eva </t>
  </si>
  <si>
    <t xml:space="preserve">Marco Gol, Roberto </t>
  </si>
  <si>
    <t xml:space="preserve">Sin Mayordomo, José </t>
  </si>
  <si>
    <t xml:space="preserve">Trabajo Cumplido, Pedro </t>
  </si>
  <si>
    <t xml:space="preserve">Bronca Segura, Armando </t>
  </si>
  <si>
    <t xml:space="preserve">Izquierdo, Segundo </t>
  </si>
  <si>
    <t xml:space="preserve">Dereojo, Casimiro </t>
  </si>
  <si>
    <t xml:space="preserve">Moreno Blanco, Ángel </t>
  </si>
  <si>
    <t>Nombre Completo</t>
  </si>
  <si>
    <t>Apellido1</t>
  </si>
  <si>
    <t>Apellido2</t>
  </si>
  <si>
    <t>Sebastian</t>
  </si>
  <si>
    <t>Román</t>
  </si>
  <si>
    <t>Sandra</t>
  </si>
  <si>
    <t>Pérez</t>
  </si>
  <si>
    <t>Gerardo</t>
  </si>
  <si>
    <t>Jiménez</t>
  </si>
  <si>
    <t>Pedro</t>
  </si>
  <si>
    <t>González</t>
  </si>
  <si>
    <t>Cárdenas</t>
  </si>
  <si>
    <t>Alicia</t>
  </si>
  <si>
    <t>Cáceres</t>
  </si>
  <si>
    <t>Luisa</t>
  </si>
  <si>
    <t>Oviedo</t>
  </si>
  <si>
    <t>Alberto</t>
  </si>
  <si>
    <t>López</t>
  </si>
  <si>
    <t>Juan</t>
  </si>
  <si>
    <t>Marisol</t>
  </si>
  <si>
    <t>Rodríguez</t>
  </si>
  <si>
    <t>Marta</t>
  </si>
  <si>
    <t>Labra</t>
  </si>
  <si>
    <t>Soledad</t>
  </si>
  <si>
    <t>Patricia</t>
  </si>
  <si>
    <t>Flores</t>
  </si>
  <si>
    <t>Bárbara</t>
  </si>
  <si>
    <t>Bernardo</t>
  </si>
  <si>
    <t>Castillo</t>
  </si>
  <si>
    <t>Alejandra</t>
  </si>
  <si>
    <t>Aguayo</t>
  </si>
  <si>
    <t>Vera</t>
  </si>
  <si>
    <t>Ramos</t>
  </si>
  <si>
    <t>Núñez</t>
  </si>
  <si>
    <t>Muñoz</t>
  </si>
  <si>
    <t>Cruz</t>
  </si>
  <si>
    <t>Allendes</t>
  </si>
  <si>
    <t>Valdivia</t>
  </si>
  <si>
    <t>Martínez</t>
  </si>
  <si>
    <t>Arriagada</t>
  </si>
  <si>
    <t>García</t>
  </si>
  <si>
    <t>Inscripción</t>
  </si>
  <si>
    <t>Antigüedad</t>
  </si>
  <si>
    <t>Precio Mensual</t>
  </si>
  <si>
    <t>Precio mensual a pagar</t>
  </si>
  <si>
    <t>Descuento más de 2 años</t>
  </si>
  <si>
    <t>Descuento más de 5 años</t>
  </si>
  <si>
    <t>Carlos</t>
  </si>
  <si>
    <t>Alevín</t>
  </si>
  <si>
    <t>Juvenil</t>
  </si>
  <si>
    <t>Infantil</t>
  </si>
  <si>
    <t>Número de personas</t>
  </si>
  <si>
    <t>€ Recaudados</t>
  </si>
  <si>
    <t>TOTAL</t>
  </si>
  <si>
    <t>Castellón</t>
  </si>
  <si>
    <t>Ruiz</t>
  </si>
  <si>
    <t>Martín</t>
  </si>
  <si>
    <t>Francisco</t>
  </si>
  <si>
    <t>Raul</t>
  </si>
  <si>
    <t>Irene</t>
  </si>
  <si>
    <t>Noelia</t>
  </si>
  <si>
    <t>Manuela</t>
  </si>
  <si>
    <t>David</t>
  </si>
  <si>
    <t>Antonio</t>
  </si>
  <si>
    <t>Rosa</t>
  </si>
  <si>
    <t>María</t>
  </si>
  <si>
    <t>Raquel</t>
  </si>
  <si>
    <t>Vicente</t>
  </si>
  <si>
    <t>Natalia</t>
  </si>
  <si>
    <t>Nuria</t>
  </si>
  <si>
    <t>Cecilia</t>
  </si>
  <si>
    <t>Sonia</t>
  </si>
  <si>
    <t>TRIMESTRE 1</t>
  </si>
  <si>
    <t>TRIMESTRE 2</t>
  </si>
  <si>
    <t>TRIMESTRE 3</t>
  </si>
  <si>
    <t>Nº Socio</t>
  </si>
  <si>
    <t>BASE DE DATOS DE INSCRIPCIONES</t>
  </si>
  <si>
    <t>Número de Socio</t>
  </si>
  <si>
    <t>Categoría</t>
  </si>
  <si>
    <t>Deporte</t>
  </si>
  <si>
    <t>Si tiene descuento</t>
  </si>
  <si>
    <t>Etiquetas de fila</t>
  </si>
  <si>
    <t>Total general</t>
  </si>
  <si>
    <t>Etiquetas de columna</t>
  </si>
  <si>
    <t>Suma de Precio mensual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</si>
</sst>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_-* #,##0.00\ &quot;pta&quot;_-;\-* #,##0.00\ &quot;pta&quot;_-;_-* &quot;-&quot;??\ &quot;pta&quot;_-;_-@_-"/>
    <numFmt numFmtId="165" formatCode="_-* #,##0.00\ [$€-1]_-;\-* #,##0.00\ [$€-1]_-;_-* &quot;-&quot;??\ [$€-1]_-"/>
    <numFmt numFmtId="166" formatCode="#,##0.00\ &quot;€&quot;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2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6" fontId="0" fillId="0" borderId="8" xfId="1" applyNumberFormat="1" applyFont="1" applyBorder="1" applyAlignment="1">
      <alignment horizontal="right"/>
    </xf>
    <xf numFmtId="166" fontId="0" fillId="0" borderId="6" xfId="1" applyNumberFormat="1" applyFont="1" applyBorder="1" applyAlignment="1">
      <alignment horizontal="right"/>
    </xf>
    <xf numFmtId="166" fontId="0" fillId="0" borderId="19" xfId="1" applyNumberFormat="1" applyFont="1" applyBorder="1" applyAlignment="1">
      <alignment horizontal="right"/>
    </xf>
    <xf numFmtId="0" fontId="3" fillId="7" borderId="3" xfId="0" applyFont="1" applyFill="1" applyBorder="1"/>
    <xf numFmtId="0" fontId="3" fillId="7" borderId="4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7" xfId="0" applyFont="1" applyFill="1" applyBorder="1"/>
    <xf numFmtId="9" fontId="3" fillId="3" borderId="2" xfId="2" applyFont="1" applyFill="1" applyBorder="1" applyAlignment="1">
      <alignment horizontal="center"/>
    </xf>
    <xf numFmtId="9" fontId="3" fillId="6" borderId="1" xfId="2" applyFont="1" applyFill="1" applyBorder="1" applyAlignment="1">
      <alignment horizontal="center"/>
    </xf>
    <xf numFmtId="166" fontId="0" fillId="5" borderId="7" xfId="1" applyNumberFormat="1" applyFont="1" applyFill="1" applyBorder="1" applyAlignment="1">
      <alignment horizontal="right"/>
    </xf>
    <xf numFmtId="166" fontId="0" fillId="5" borderId="12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166" fontId="0" fillId="5" borderId="15" xfId="0" applyNumberFormat="1" applyFill="1" applyBorder="1" applyAlignment="1">
      <alignment horizontal="center"/>
    </xf>
    <xf numFmtId="0" fontId="0" fillId="5" borderId="20" xfId="0" applyFill="1" applyBorder="1"/>
    <xf numFmtId="0" fontId="0" fillId="5" borderId="3" xfId="0" applyFill="1" applyBorder="1"/>
    <xf numFmtId="0" fontId="3" fillId="6" borderId="20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44" fontId="0" fillId="5" borderId="3" xfId="1" applyFont="1" applyFill="1" applyBorder="1"/>
    <xf numFmtId="44" fontId="0" fillId="5" borderId="4" xfId="1" applyFont="1" applyFill="1" applyBorder="1"/>
    <xf numFmtId="0" fontId="0" fillId="0" borderId="0" xfId="0"/>
    <xf numFmtId="44" fontId="0" fillId="0" borderId="5" xfId="1" applyFont="1" applyBorder="1"/>
    <xf numFmtId="0" fontId="0" fillId="0" borderId="5" xfId="0" applyBorder="1" applyAlignment="1">
      <alignment horizontal="center"/>
    </xf>
    <xf numFmtId="0" fontId="0" fillId="0" borderId="0" xfId="0"/>
    <xf numFmtId="1" fontId="0" fillId="0" borderId="5" xfId="0" applyNumberFormat="1" applyBorder="1" applyAlignment="1">
      <alignment horizontal="center"/>
    </xf>
    <xf numFmtId="44" fontId="0" fillId="0" borderId="9" xfId="1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44" fontId="0" fillId="0" borderId="0" xfId="1" applyFont="1"/>
    <xf numFmtId="0" fontId="7" fillId="2" borderId="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4" fontId="7" fillId="2" borderId="5" xfId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8" fillId="8" borderId="2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44" fontId="0" fillId="0" borderId="20" xfId="1" applyFont="1" applyBorder="1"/>
    <xf numFmtId="0" fontId="8" fillId="9" borderId="27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44" fontId="0" fillId="0" borderId="30" xfId="1" applyFont="1" applyBorder="1"/>
    <xf numFmtId="0" fontId="8" fillId="9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44" fontId="0" fillId="9" borderId="2" xfId="1" applyFont="1" applyFill="1" applyBorder="1"/>
    <xf numFmtId="1" fontId="0" fillId="9" borderId="9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3" fillId="7" borderId="31" xfId="0" applyFont="1" applyFill="1" applyBorder="1"/>
    <xf numFmtId="0" fontId="2" fillId="3" borderId="3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5" borderId="33" xfId="0" applyNumberFormat="1" applyFill="1" applyBorder="1" applyAlignment="1">
      <alignment horizontal="right"/>
    </xf>
    <xf numFmtId="0" fontId="2" fillId="3" borderId="30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10" borderId="36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10" borderId="39" xfId="0" applyFill="1" applyBorder="1" applyAlignment="1">
      <alignment horizontal="left" vertical="center"/>
    </xf>
    <xf numFmtId="0" fontId="0" fillId="10" borderId="40" xfId="0" applyFill="1" applyBorder="1" applyAlignment="1">
      <alignment horizontal="left" vertical="center"/>
    </xf>
    <xf numFmtId="0" fontId="0" fillId="10" borderId="41" xfId="0" applyFill="1" applyBorder="1" applyAlignment="1">
      <alignment horizontal="left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167" fontId="0" fillId="0" borderId="45" xfId="0" applyNumberFormat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167" fontId="0" fillId="0" borderId="49" xfId="0" applyNumberFormat="1" applyBorder="1" applyAlignment="1">
      <alignment horizontal="center" vertical="center"/>
    </xf>
    <xf numFmtId="167" fontId="0" fillId="0" borderId="50" xfId="0" applyNumberFormat="1" applyBorder="1" applyAlignment="1">
      <alignment horizontal="center" vertical="center"/>
    </xf>
    <xf numFmtId="167" fontId="0" fillId="0" borderId="5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11" borderId="52" xfId="0" applyNumberFormat="1" applyFill="1" applyBorder="1" applyAlignment="1">
      <alignment horizontal="center" vertical="center"/>
    </xf>
    <xf numFmtId="0" fontId="0" fillId="0" borderId="0" xfId="0" pivotButton="1"/>
    <xf numFmtId="0" fontId="3" fillId="13" borderId="20" xfId="0" applyFont="1" applyFill="1" applyBorder="1"/>
    <xf numFmtId="0" fontId="3" fillId="0" borderId="55" xfId="0" applyFont="1" applyBorder="1" applyAlignment="1">
      <alignment horizontal="right"/>
    </xf>
    <xf numFmtId="0" fontId="3" fillId="13" borderId="3" xfId="0" applyFont="1" applyFill="1" applyBorder="1"/>
    <xf numFmtId="0" fontId="3" fillId="0" borderId="56" xfId="0" applyFont="1" applyBorder="1" applyAlignment="1">
      <alignment horizontal="right"/>
    </xf>
    <xf numFmtId="44" fontId="3" fillId="0" borderId="56" xfId="1" applyFont="1" applyBorder="1" applyAlignment="1">
      <alignment horizontal="right"/>
    </xf>
    <xf numFmtId="0" fontId="3" fillId="13" borderId="4" xfId="0" applyFont="1" applyFill="1" applyBorder="1"/>
    <xf numFmtId="0" fontId="3" fillId="0" borderId="57" xfId="0" applyFont="1" applyBorder="1" applyAlignment="1">
      <alignment horizontal="right"/>
    </xf>
    <xf numFmtId="0" fontId="3" fillId="6" borderId="36" xfId="0" applyFont="1" applyFill="1" applyBorder="1" applyAlignment="1">
      <alignment horizontal="right" vertical="center"/>
    </xf>
    <xf numFmtId="0" fontId="6" fillId="4" borderId="21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5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0" xfId="0" applyNumberFormat="1"/>
  </cellXfs>
  <cellStyles count="7">
    <cellStyle name="Euro" xfId="6"/>
    <cellStyle name="Moneda" xfId="1" builtinId="4"/>
    <cellStyle name="Moneda 2" xfId="4"/>
    <cellStyle name="Normal" xfId="0" builtinId="0"/>
    <cellStyle name="Normal 2" xfId="3"/>
    <cellStyle name="Normal 3" xfId="5"/>
    <cellStyle name="Porcentaje" xfId="2" builtinId="5"/>
  </cellStyles>
  <dxfs count="2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Base más comisión por empleado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'E2'!$B$2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'E2'!$A$3:$A$17</c:f>
              <c:strCache>
                <c:ptCount val="15"/>
                <c:pt idx="0">
                  <c:v>Ana</c:v>
                </c:pt>
                <c:pt idx="1">
                  <c:v>Miguel</c:v>
                </c:pt>
                <c:pt idx="2">
                  <c:v>Teo</c:v>
                </c:pt>
                <c:pt idx="3">
                  <c:v>Inmaculada</c:v>
                </c:pt>
                <c:pt idx="4">
                  <c:v>Jacobo</c:v>
                </c:pt>
                <c:pt idx="5">
                  <c:v>Andrés</c:v>
                </c:pt>
                <c:pt idx="6">
                  <c:v>Milagros</c:v>
                </c:pt>
                <c:pt idx="7">
                  <c:v>Javi</c:v>
                </c:pt>
                <c:pt idx="8">
                  <c:v>Jose</c:v>
                </c:pt>
                <c:pt idx="9">
                  <c:v>Lisa</c:v>
                </c:pt>
                <c:pt idx="10">
                  <c:v>Carmen</c:v>
                </c:pt>
                <c:pt idx="11">
                  <c:v>Maria</c:v>
                </c:pt>
                <c:pt idx="12">
                  <c:v>Alejandro</c:v>
                </c:pt>
                <c:pt idx="13">
                  <c:v>Sergio</c:v>
                </c:pt>
                <c:pt idx="14">
                  <c:v>Oscar</c:v>
                </c:pt>
              </c:strCache>
            </c:strRef>
          </c:cat>
          <c:val>
            <c:numRef>
              <c:f>'E2'!$B$3:$B$17</c:f>
              <c:numCache>
                <c:formatCode>#,##0.00\ "€"</c:formatCode>
                <c:ptCount val="15"/>
                <c:pt idx="0">
                  <c:v>900</c:v>
                </c:pt>
                <c:pt idx="1">
                  <c:v>870</c:v>
                </c:pt>
                <c:pt idx="2">
                  <c:v>1200</c:v>
                </c:pt>
                <c:pt idx="3">
                  <c:v>1290</c:v>
                </c:pt>
                <c:pt idx="4">
                  <c:v>750</c:v>
                </c:pt>
                <c:pt idx="5">
                  <c:v>720</c:v>
                </c:pt>
                <c:pt idx="6">
                  <c:v>810</c:v>
                </c:pt>
                <c:pt idx="7">
                  <c:v>1270</c:v>
                </c:pt>
                <c:pt idx="8">
                  <c:v>750</c:v>
                </c:pt>
                <c:pt idx="9">
                  <c:v>1200</c:v>
                </c:pt>
                <c:pt idx="10">
                  <c:v>610</c:v>
                </c:pt>
                <c:pt idx="11">
                  <c:v>750</c:v>
                </c:pt>
                <c:pt idx="12">
                  <c:v>750</c:v>
                </c:pt>
                <c:pt idx="13">
                  <c:v>670</c:v>
                </c:pt>
                <c:pt idx="14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'E2'!$D$2</c:f>
              <c:strCache>
                <c:ptCount val="1"/>
                <c:pt idx="0">
                  <c:v>Comisión</c:v>
                </c:pt>
              </c:strCache>
            </c:strRef>
          </c:tx>
          <c:invertIfNegative val="0"/>
          <c:cat>
            <c:strRef>
              <c:f>'E2'!$A$3:$A$17</c:f>
              <c:strCache>
                <c:ptCount val="15"/>
                <c:pt idx="0">
                  <c:v>Ana</c:v>
                </c:pt>
                <c:pt idx="1">
                  <c:v>Miguel</c:v>
                </c:pt>
                <c:pt idx="2">
                  <c:v>Teo</c:v>
                </c:pt>
                <c:pt idx="3">
                  <c:v>Inmaculada</c:v>
                </c:pt>
                <c:pt idx="4">
                  <c:v>Jacobo</c:v>
                </c:pt>
                <c:pt idx="5">
                  <c:v>Andrés</c:v>
                </c:pt>
                <c:pt idx="6">
                  <c:v>Milagros</c:v>
                </c:pt>
                <c:pt idx="7">
                  <c:v>Javi</c:v>
                </c:pt>
                <c:pt idx="8">
                  <c:v>Jose</c:v>
                </c:pt>
                <c:pt idx="9">
                  <c:v>Lisa</c:v>
                </c:pt>
                <c:pt idx="10">
                  <c:v>Carmen</c:v>
                </c:pt>
                <c:pt idx="11">
                  <c:v>Maria</c:v>
                </c:pt>
                <c:pt idx="12">
                  <c:v>Alejandro</c:v>
                </c:pt>
                <c:pt idx="13">
                  <c:v>Sergio</c:v>
                </c:pt>
                <c:pt idx="14">
                  <c:v>Oscar</c:v>
                </c:pt>
              </c:strCache>
            </c:strRef>
          </c:cat>
          <c:val>
            <c:numRef>
              <c:f>'E2'!$D$3:$D$17</c:f>
              <c:numCache>
                <c:formatCode>#,##0.00\ "€"</c:formatCode>
                <c:ptCount val="15"/>
                <c:pt idx="0">
                  <c:v>330</c:v>
                </c:pt>
                <c:pt idx="1">
                  <c:v>616</c:v>
                </c:pt>
                <c:pt idx="2">
                  <c:v>513</c:v>
                </c:pt>
                <c:pt idx="3">
                  <c:v>754.1</c:v>
                </c:pt>
                <c:pt idx="4">
                  <c:v>73.400000000000006</c:v>
                </c:pt>
                <c:pt idx="5">
                  <c:v>303</c:v>
                </c:pt>
                <c:pt idx="6">
                  <c:v>375.8</c:v>
                </c:pt>
                <c:pt idx="7">
                  <c:v>300</c:v>
                </c:pt>
                <c:pt idx="8">
                  <c:v>153</c:v>
                </c:pt>
                <c:pt idx="9">
                  <c:v>142</c:v>
                </c:pt>
                <c:pt idx="10">
                  <c:v>74</c:v>
                </c:pt>
                <c:pt idx="11">
                  <c:v>74</c:v>
                </c:pt>
                <c:pt idx="12">
                  <c:v>304.5</c:v>
                </c:pt>
                <c:pt idx="13">
                  <c:v>453</c:v>
                </c:pt>
                <c:pt idx="14">
                  <c:v>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73824"/>
        <c:axId val="54976512"/>
      </c:barChart>
      <c:catAx>
        <c:axId val="1081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4976512"/>
        <c:crosses val="autoZero"/>
        <c:auto val="1"/>
        <c:lblAlgn val="ctr"/>
        <c:lblOffset val="100"/>
        <c:noMultiLvlLbl val="0"/>
      </c:catAx>
      <c:valAx>
        <c:axId val="54976512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crossAx val="108173824"/>
        <c:crosses val="autoZero"/>
        <c:crossBetween val="between"/>
      </c:valAx>
    </c:plotArea>
    <c:legend>
      <c:legendPos val="b"/>
      <c:layout/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Número de personas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Fútbol</c:v>
          </c:tx>
          <c:invertIfNegative val="0"/>
          <c:cat>
            <c:strRef>
              <c:f>'E3 Solución'!$H$4:$H$6</c:f>
              <c:strCache>
                <c:ptCount val="3"/>
                <c:pt idx="0">
                  <c:v>Infantil</c:v>
                </c:pt>
                <c:pt idx="1">
                  <c:v>Alevín</c:v>
                </c:pt>
                <c:pt idx="2">
                  <c:v>Juvenil</c:v>
                </c:pt>
              </c:strCache>
            </c:strRef>
          </c:cat>
          <c:val>
            <c:numRef>
              <c:f>'E3 Solución'!$I$4:$I$6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val>
        </c:ser>
        <c:ser>
          <c:idx val="1"/>
          <c:order val="1"/>
          <c:tx>
            <c:v>Baloncesto</c:v>
          </c:tx>
          <c:invertIfNegative val="0"/>
          <c:cat>
            <c:strRef>
              <c:f>'E3 Solución'!$H$4:$H$6</c:f>
              <c:strCache>
                <c:ptCount val="3"/>
                <c:pt idx="0">
                  <c:v>Infantil</c:v>
                </c:pt>
                <c:pt idx="1">
                  <c:v>Alevín</c:v>
                </c:pt>
                <c:pt idx="2">
                  <c:v>Juvenil</c:v>
                </c:pt>
              </c:strCache>
            </c:strRef>
          </c:cat>
          <c:val>
            <c:numRef>
              <c:f>'E3 Solución'!$J$4:$J$6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60672"/>
        <c:axId val="54978240"/>
      </c:barChart>
      <c:catAx>
        <c:axId val="1080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978240"/>
        <c:crosses val="autoZero"/>
        <c:auto val="1"/>
        <c:lblAlgn val="ctr"/>
        <c:lblOffset val="100"/>
        <c:noMultiLvlLbl val="0"/>
      </c:catAx>
      <c:valAx>
        <c:axId val="549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60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€ Recaudados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'E3 Solución'!$I$10</c:f>
              <c:strCache>
                <c:ptCount val="1"/>
                <c:pt idx="0">
                  <c:v>Fútbol</c:v>
                </c:pt>
              </c:strCache>
            </c:strRef>
          </c:tx>
          <c:invertIfNegative val="0"/>
          <c:cat>
            <c:strRef>
              <c:f>'E3 Solución'!$H$11:$H$13</c:f>
              <c:strCache>
                <c:ptCount val="3"/>
                <c:pt idx="0">
                  <c:v>Infantil</c:v>
                </c:pt>
                <c:pt idx="1">
                  <c:v>Alevín</c:v>
                </c:pt>
                <c:pt idx="2">
                  <c:v>Juvenil</c:v>
                </c:pt>
              </c:strCache>
            </c:strRef>
          </c:cat>
          <c:val>
            <c:numRef>
              <c:f>'E3 Solución'!$I$11:$I$13</c:f>
              <c:numCache>
                <c:formatCode>_("€"* #,##0.00_);_("€"* \(#,##0.00\);_("€"* "-"??_);_(@_)</c:formatCode>
                <c:ptCount val="3"/>
                <c:pt idx="0">
                  <c:v>170.4</c:v>
                </c:pt>
                <c:pt idx="1">
                  <c:v>177</c:v>
                </c:pt>
                <c:pt idx="2">
                  <c:v>191.20000000000002</c:v>
                </c:pt>
              </c:numCache>
            </c:numRef>
          </c:val>
        </c:ser>
        <c:ser>
          <c:idx val="1"/>
          <c:order val="1"/>
          <c:tx>
            <c:strRef>
              <c:f>'E3 Solución'!$J$10</c:f>
              <c:strCache>
                <c:ptCount val="1"/>
                <c:pt idx="0">
                  <c:v>Baloncesto</c:v>
                </c:pt>
              </c:strCache>
            </c:strRef>
          </c:tx>
          <c:invertIfNegative val="0"/>
          <c:cat>
            <c:strRef>
              <c:f>'E3 Solución'!$H$11:$H$13</c:f>
              <c:strCache>
                <c:ptCount val="3"/>
                <c:pt idx="0">
                  <c:v>Infantil</c:v>
                </c:pt>
                <c:pt idx="1">
                  <c:v>Alevín</c:v>
                </c:pt>
                <c:pt idx="2">
                  <c:v>Juvenil</c:v>
                </c:pt>
              </c:strCache>
            </c:strRef>
          </c:cat>
          <c:val>
            <c:numRef>
              <c:f>'E3 Solución'!$J$11:$J$13</c:f>
              <c:numCache>
                <c:formatCode>_("€"* #,##0.00_);_("€"* \(#,##0.00\);_("€"* "-"??_);_(@_)</c:formatCode>
                <c:ptCount val="3"/>
                <c:pt idx="0">
                  <c:v>130.4</c:v>
                </c:pt>
                <c:pt idx="1">
                  <c:v>89.199999999999989</c:v>
                </c:pt>
                <c:pt idx="2">
                  <c:v>157.4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62208"/>
        <c:axId val="54979968"/>
      </c:barChart>
      <c:catAx>
        <c:axId val="1080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4979968"/>
        <c:crosses val="autoZero"/>
        <c:auto val="1"/>
        <c:lblAlgn val="ctr"/>
        <c:lblOffset val="100"/>
        <c:noMultiLvlLbl val="0"/>
      </c:catAx>
      <c:valAx>
        <c:axId val="54979968"/>
        <c:scaling>
          <c:orientation val="minMax"/>
        </c:scaling>
        <c:delete val="0"/>
        <c:axPos val="l"/>
        <c:majorGridlines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108062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- JULIÁN SÁNCHEZ.xlsx]Tabla y gráfica dinámica!Tabla dinámica4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y gráfica dinámica'!$B$8:$B$9</c:f>
              <c:strCache>
                <c:ptCount val="1"/>
                <c:pt idx="0">
                  <c:v>Alevín</c:v>
                </c:pt>
              </c:strCache>
            </c:strRef>
          </c:tx>
          <c:invertIfNegative val="0"/>
          <c:cat>
            <c:strRef>
              <c:f>'Tabla y gráfica dinámica'!$A$10:$A$12</c:f>
              <c:strCache>
                <c:ptCount val="2"/>
                <c:pt idx="0">
                  <c:v>Baloncesto</c:v>
                </c:pt>
                <c:pt idx="1">
                  <c:v>Fútbol</c:v>
                </c:pt>
              </c:strCache>
            </c:strRef>
          </c:cat>
          <c:val>
            <c:numRef>
              <c:f>'Tabla y gráfica dinámica'!$B$10:$B$12</c:f>
              <c:numCache>
                <c:formatCode>General</c:formatCode>
                <c:ptCount val="2"/>
                <c:pt idx="0">
                  <c:v>89.199999999999989</c:v>
                </c:pt>
                <c:pt idx="1">
                  <c:v>177</c:v>
                </c:pt>
              </c:numCache>
            </c:numRef>
          </c:val>
        </c:ser>
        <c:ser>
          <c:idx val="1"/>
          <c:order val="1"/>
          <c:tx>
            <c:strRef>
              <c:f>'Tabla y gráfica dinámica'!$C$8:$C$9</c:f>
              <c:strCache>
                <c:ptCount val="1"/>
                <c:pt idx="0">
                  <c:v>Infantil</c:v>
                </c:pt>
              </c:strCache>
            </c:strRef>
          </c:tx>
          <c:invertIfNegative val="0"/>
          <c:cat>
            <c:strRef>
              <c:f>'Tabla y gráfica dinámica'!$A$10:$A$12</c:f>
              <c:strCache>
                <c:ptCount val="2"/>
                <c:pt idx="0">
                  <c:v>Baloncesto</c:v>
                </c:pt>
                <c:pt idx="1">
                  <c:v>Fútbol</c:v>
                </c:pt>
              </c:strCache>
            </c:strRef>
          </c:cat>
          <c:val>
            <c:numRef>
              <c:f>'Tabla y gráfica dinámica'!$C$10:$C$12</c:f>
              <c:numCache>
                <c:formatCode>General</c:formatCode>
                <c:ptCount val="2"/>
                <c:pt idx="0">
                  <c:v>130.4</c:v>
                </c:pt>
                <c:pt idx="1">
                  <c:v>170.4</c:v>
                </c:pt>
              </c:numCache>
            </c:numRef>
          </c:val>
        </c:ser>
        <c:ser>
          <c:idx val="2"/>
          <c:order val="2"/>
          <c:tx>
            <c:strRef>
              <c:f>'Tabla y gráfica dinámica'!$D$8:$D$9</c:f>
              <c:strCache>
                <c:ptCount val="1"/>
                <c:pt idx="0">
                  <c:v>Juvenil</c:v>
                </c:pt>
              </c:strCache>
            </c:strRef>
          </c:tx>
          <c:invertIfNegative val="0"/>
          <c:cat>
            <c:strRef>
              <c:f>'Tabla y gráfica dinámica'!$A$10:$A$12</c:f>
              <c:strCache>
                <c:ptCount val="2"/>
                <c:pt idx="0">
                  <c:v>Baloncesto</c:v>
                </c:pt>
                <c:pt idx="1">
                  <c:v>Fútbol</c:v>
                </c:pt>
              </c:strCache>
            </c:strRef>
          </c:cat>
          <c:val>
            <c:numRef>
              <c:f>'Tabla y gráfica dinámica'!$D$10:$D$12</c:f>
              <c:numCache>
                <c:formatCode>General</c:formatCode>
                <c:ptCount val="2"/>
                <c:pt idx="0">
                  <c:v>157.4</c:v>
                </c:pt>
                <c:pt idx="1">
                  <c:v>191.20000000000002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62720"/>
        <c:axId val="122013952"/>
      </c:barChart>
      <c:catAx>
        <c:axId val="1080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13952"/>
        <c:crosses val="autoZero"/>
        <c:auto val="1"/>
        <c:lblAlgn val="ctr"/>
        <c:lblOffset val="100"/>
        <c:noMultiLvlLbl val="0"/>
      </c:catAx>
      <c:valAx>
        <c:axId val="1220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685801</xdr:colOff>
      <xdr:row>0</xdr:row>
      <xdr:rowOff>338137</xdr:rowOff>
    </xdr:from>
    <xdr:to>
      <xdr:col>16</xdr:col>
      <xdr:colOff>361951</xdr:colOff>
      <xdr:row>16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0</xdr:row>
      <xdr:rowOff>326091</xdr:rowOff>
    </xdr:from>
    <xdr:to>
      <xdr:col>17</xdr:col>
      <xdr:colOff>470647</xdr:colOff>
      <xdr:row>14</xdr:row>
      <xdr:rowOff>67235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683558</xdr:colOff>
      <xdr:row>15</xdr:row>
      <xdr:rowOff>12324</xdr:rowOff>
    </xdr:from>
    <xdr:to>
      <xdr:col>17</xdr:col>
      <xdr:colOff>212912</xdr:colOff>
      <xdr:row>30</xdr:row>
      <xdr:rowOff>134469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7</xdr:row>
      <xdr:rowOff>23812</xdr:rowOff>
    </xdr:from>
    <xdr:to>
      <xdr:col>11</xdr:col>
      <xdr:colOff>209550</xdr:colOff>
      <xdr:row>21</xdr:row>
      <xdr:rowOff>100012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DO MEDIO" refreshedDate="43809.532303009262" createdVersion="4" refreshedVersion="4" minRefreshableVersion="3" recordCount="51">
  <cacheSource type="worksheet">
    <worksheetSource ref="A1:F52" sheet="E3 Solución"/>
  </cacheSource>
  <cacheFields count="6">
    <cacheField name="Nº Socio" numFmtId="0">
      <sharedItems containsSemiMixedTypes="0" containsString="0" containsNumber="1" containsInteger="1" minValue="1" maxValue="51"/>
    </cacheField>
    <cacheField name="Nombre Completo" numFmtId="0">
      <sharedItems/>
    </cacheField>
    <cacheField name="Edad" numFmtId="0">
      <sharedItems count="3">
        <s v="Alevín"/>
        <s v="Juvenil"/>
        <s v="Infantil"/>
      </sharedItems>
    </cacheField>
    <cacheField name="Inscripción" numFmtId="0">
      <sharedItems count="2">
        <s v="Fútbol"/>
        <s v="Baloncesto"/>
      </sharedItems>
    </cacheField>
    <cacheField name="Antigüedad" numFmtId="1">
      <sharedItems containsSemiMixedTypes="0" containsString="0" containsNumber="1" containsInteger="1" minValue="2" maxValue="10"/>
    </cacheField>
    <cacheField name="Precio mensual a pagar" numFmtId="44">
      <sharedItems containsSemiMixedTypes="0" containsString="0" containsNumber="1" minValue="17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1"/>
    <s v="Sebastian"/>
    <x v="0"/>
    <x v="0"/>
    <n v="9"/>
    <n v="17"/>
  </r>
  <r>
    <n v="2"/>
    <s v="Sandra"/>
    <x v="1"/>
    <x v="1"/>
    <n v="8"/>
    <n v="17"/>
  </r>
  <r>
    <n v="3"/>
    <s v="Gerardo"/>
    <x v="1"/>
    <x v="1"/>
    <n v="9"/>
    <n v="17"/>
  </r>
  <r>
    <n v="4"/>
    <s v="Pedro"/>
    <x v="0"/>
    <x v="0"/>
    <n v="8"/>
    <n v="17"/>
  </r>
  <r>
    <n v="5"/>
    <s v="Sandra"/>
    <x v="0"/>
    <x v="1"/>
    <n v="8"/>
    <n v="17"/>
  </r>
  <r>
    <n v="6"/>
    <s v="Alicia"/>
    <x v="2"/>
    <x v="0"/>
    <n v="2"/>
    <n v="20"/>
  </r>
  <r>
    <n v="7"/>
    <s v="Luisa"/>
    <x v="2"/>
    <x v="1"/>
    <n v="3"/>
    <n v="18.399999999999999"/>
  </r>
  <r>
    <n v="8"/>
    <s v="Alberto"/>
    <x v="0"/>
    <x v="0"/>
    <n v="4"/>
    <n v="18.399999999999999"/>
  </r>
  <r>
    <n v="9"/>
    <s v="Juan"/>
    <x v="0"/>
    <x v="0"/>
    <n v="3"/>
    <n v="18.399999999999999"/>
  </r>
  <r>
    <n v="10"/>
    <s v="Alicia"/>
    <x v="1"/>
    <x v="0"/>
    <n v="10"/>
    <n v="17"/>
  </r>
  <r>
    <n v="11"/>
    <s v="Marisol"/>
    <x v="0"/>
    <x v="0"/>
    <n v="5"/>
    <n v="18.399999999999999"/>
  </r>
  <r>
    <n v="12"/>
    <s v="Jose"/>
    <x v="0"/>
    <x v="1"/>
    <n v="5"/>
    <n v="18.399999999999999"/>
  </r>
  <r>
    <n v="13"/>
    <s v="Luisa"/>
    <x v="1"/>
    <x v="1"/>
    <n v="10"/>
    <n v="17"/>
  </r>
  <r>
    <n v="14"/>
    <s v="Marta"/>
    <x v="2"/>
    <x v="0"/>
    <n v="3"/>
    <n v="18.399999999999999"/>
  </r>
  <r>
    <n v="15"/>
    <s v="Soledad"/>
    <x v="0"/>
    <x v="0"/>
    <n v="6"/>
    <n v="17"/>
  </r>
  <r>
    <n v="16"/>
    <s v="Carmen"/>
    <x v="2"/>
    <x v="1"/>
    <n v="3"/>
    <n v="18.399999999999999"/>
  </r>
  <r>
    <n v="17"/>
    <s v="Patricia"/>
    <x v="2"/>
    <x v="0"/>
    <n v="2"/>
    <n v="20"/>
  </r>
  <r>
    <n v="18"/>
    <s v="Bárbara"/>
    <x v="2"/>
    <x v="0"/>
    <n v="4"/>
    <n v="18.399999999999999"/>
  </r>
  <r>
    <n v="19"/>
    <s v="Bernardo"/>
    <x v="1"/>
    <x v="1"/>
    <n v="9"/>
    <n v="17"/>
  </r>
  <r>
    <n v="20"/>
    <s v="Alejandra"/>
    <x v="1"/>
    <x v="0"/>
    <n v="7"/>
    <n v="17"/>
  </r>
  <r>
    <n v="21"/>
    <s v="Carlos"/>
    <x v="1"/>
    <x v="0"/>
    <n v="10"/>
    <n v="17"/>
  </r>
  <r>
    <n v="22"/>
    <s v="Martín"/>
    <x v="0"/>
    <x v="1"/>
    <n v="8"/>
    <n v="17"/>
  </r>
  <r>
    <n v="23"/>
    <s v="Alejandro"/>
    <x v="2"/>
    <x v="0"/>
    <n v="3"/>
    <n v="18.399999999999999"/>
  </r>
  <r>
    <n v="24"/>
    <s v="Francisco"/>
    <x v="1"/>
    <x v="1"/>
    <n v="2"/>
    <n v="20"/>
  </r>
  <r>
    <n v="25"/>
    <s v="Jose"/>
    <x v="1"/>
    <x v="0"/>
    <n v="3"/>
    <n v="18.399999999999999"/>
  </r>
  <r>
    <n v="26"/>
    <s v="Raul"/>
    <x v="0"/>
    <x v="0"/>
    <n v="4"/>
    <n v="18.399999999999999"/>
  </r>
  <r>
    <n v="27"/>
    <s v="Irene"/>
    <x v="2"/>
    <x v="1"/>
    <n v="3"/>
    <n v="18.399999999999999"/>
  </r>
  <r>
    <n v="28"/>
    <s v="Noelia"/>
    <x v="1"/>
    <x v="0"/>
    <n v="10"/>
    <n v="17"/>
  </r>
  <r>
    <n v="29"/>
    <s v="Manuela"/>
    <x v="2"/>
    <x v="1"/>
    <n v="5"/>
    <n v="18.399999999999999"/>
  </r>
  <r>
    <n v="30"/>
    <s v="Francisco"/>
    <x v="0"/>
    <x v="1"/>
    <n v="5"/>
    <n v="18.399999999999999"/>
  </r>
  <r>
    <n v="31"/>
    <s v="Jose"/>
    <x v="0"/>
    <x v="0"/>
    <n v="10"/>
    <n v="17"/>
  </r>
  <r>
    <n v="32"/>
    <s v="Raul"/>
    <x v="2"/>
    <x v="0"/>
    <n v="3"/>
    <n v="18.399999999999999"/>
  </r>
  <r>
    <n v="33"/>
    <s v="Román"/>
    <x v="0"/>
    <x v="0"/>
    <n v="6"/>
    <n v="17"/>
  </r>
  <r>
    <n v="34"/>
    <s v="Sergio"/>
    <x v="0"/>
    <x v="0"/>
    <n v="3"/>
    <n v="18.399999999999999"/>
  </r>
  <r>
    <n v="35"/>
    <s v="Sergio"/>
    <x v="2"/>
    <x v="1"/>
    <n v="2"/>
    <n v="20"/>
  </r>
  <r>
    <n v="36"/>
    <s v="David"/>
    <x v="2"/>
    <x v="0"/>
    <n v="4"/>
    <n v="18.399999999999999"/>
  </r>
  <r>
    <n v="37"/>
    <s v="David"/>
    <x v="1"/>
    <x v="0"/>
    <n v="9"/>
    <n v="17"/>
  </r>
  <r>
    <n v="38"/>
    <s v="Juan"/>
    <x v="1"/>
    <x v="0"/>
    <n v="7"/>
    <n v="17"/>
  </r>
  <r>
    <n v="39"/>
    <s v="Antonio"/>
    <x v="2"/>
    <x v="1"/>
    <n v="4"/>
    <n v="18.399999999999999"/>
  </r>
  <r>
    <n v="40"/>
    <s v="Rosa"/>
    <x v="1"/>
    <x v="1"/>
    <n v="8"/>
    <n v="17"/>
  </r>
  <r>
    <n v="41"/>
    <s v="María"/>
    <x v="2"/>
    <x v="0"/>
    <n v="2"/>
    <n v="20"/>
  </r>
  <r>
    <n v="42"/>
    <s v="Raquel"/>
    <x v="1"/>
    <x v="0"/>
    <n v="7"/>
    <n v="17"/>
  </r>
  <r>
    <n v="43"/>
    <s v="Juan"/>
    <x v="0"/>
    <x v="1"/>
    <n v="5"/>
    <n v="18.399999999999999"/>
  </r>
  <r>
    <n v="44"/>
    <s v="Vicente"/>
    <x v="1"/>
    <x v="0"/>
    <n v="9"/>
    <n v="17"/>
  </r>
  <r>
    <n v="45"/>
    <s v="Natalia"/>
    <x v="2"/>
    <x v="1"/>
    <n v="4"/>
    <n v="18.399999999999999"/>
  </r>
  <r>
    <n v="46"/>
    <s v="Nuria"/>
    <x v="2"/>
    <x v="0"/>
    <n v="3"/>
    <n v="18.399999999999999"/>
  </r>
  <r>
    <n v="47"/>
    <s v="Cecilia"/>
    <x v="1"/>
    <x v="1"/>
    <n v="5"/>
    <n v="18.399999999999999"/>
  </r>
  <r>
    <n v="48"/>
    <s v="Sergio"/>
    <x v="1"/>
    <x v="0"/>
    <n v="5"/>
    <n v="18.399999999999999"/>
  </r>
  <r>
    <n v="49"/>
    <s v="David"/>
    <x v="1"/>
    <x v="1"/>
    <n v="10"/>
    <n v="17"/>
  </r>
  <r>
    <n v="50"/>
    <s v="Sandra"/>
    <x v="1"/>
    <x v="1"/>
    <n v="9"/>
    <n v="17"/>
  </r>
  <r>
    <n v="51"/>
    <s v="Sonia"/>
    <x v="1"/>
    <x v="0"/>
    <n v="4"/>
    <n v="18.3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8:E12" firstHeaderRow="1" firstDataRow="2" firstDataCol="1"/>
  <pivotFields count="6"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  <pivotField dataField="1" numFmtId="44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recio mensual a pagar" fld="5" baseField="0" baseItem="0"/>
  </data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D6" firstHeaderRow="1" firstDataRow="2" firstDataCol="1"/>
  <pivotFields count="6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1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Precio mensual a pag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workbookViewId="0"/>
  </sheetViews>
  <sheetFormatPr baseColWidth="10" defaultRowHeight="15" x14ac:dyDescent="0.25"/>
  <cols>
    <col min="1" max="1" width="26.5703125" style="52" bestFit="1" customWidth="1"/>
    <col min="2" max="4" width="12.7109375" style="52" bestFit="1" customWidth="1"/>
    <col min="5" max="5" width="17.7109375" style="52" customWidth="1"/>
    <col min="6" max="6" width="17.140625" style="52" customWidth="1"/>
    <col min="7" max="16384" width="11.42578125" style="52"/>
  </cols>
  <sheetData>
    <row r="1" spans="1:6" ht="16.5" thickTop="1" thickBot="1" x14ac:dyDescent="0.3">
      <c r="A1" s="62"/>
      <c r="B1" s="63" t="s">
        <v>125</v>
      </c>
      <c r="C1" s="63" t="s">
        <v>126</v>
      </c>
      <c r="D1" s="63" t="s">
        <v>127</v>
      </c>
      <c r="E1" s="64" t="s">
        <v>41</v>
      </c>
      <c r="F1" s="65" t="s">
        <v>42</v>
      </c>
    </row>
    <row r="2" spans="1:6" ht="15.75" thickTop="1" x14ac:dyDescent="0.25">
      <c r="A2" s="67" t="s">
        <v>43</v>
      </c>
      <c r="B2" s="70">
        <v>5.75</v>
      </c>
      <c r="C2" s="71">
        <v>4.75</v>
      </c>
      <c r="D2" s="76">
        <v>4.5</v>
      </c>
      <c r="E2" s="70">
        <f>IF(OR(B2&lt;3,C2&lt;3,D2&lt;3),3,AVERAGE(B2:D2))</f>
        <v>5</v>
      </c>
      <c r="F2" s="79" t="str">
        <f>IF(E2&gt;=5,"Apto","No apto")</f>
        <v>Apto</v>
      </c>
    </row>
    <row r="3" spans="1:6" x14ac:dyDescent="0.25">
      <c r="A3" s="68" t="s">
        <v>44</v>
      </c>
      <c r="B3" s="72">
        <v>9</v>
      </c>
      <c r="C3" s="73">
        <v>8.5</v>
      </c>
      <c r="D3" s="77">
        <v>8</v>
      </c>
      <c r="E3" s="72">
        <f t="shared" ref="E3:E11" si="0">IF(OR(B3&lt;3,C3&lt;3,D3&lt;3),3,AVERAGE(B3:D3))</f>
        <v>8.5</v>
      </c>
      <c r="F3" s="80" t="str">
        <f t="shared" ref="F3:F11" si="1">IF(E3&gt;=5,"Apto","No apto")</f>
        <v>Apto</v>
      </c>
    </row>
    <row r="4" spans="1:6" x14ac:dyDescent="0.25">
      <c r="A4" s="68" t="s">
        <v>45</v>
      </c>
      <c r="B4" s="72">
        <v>6.5</v>
      </c>
      <c r="C4" s="73">
        <v>4</v>
      </c>
      <c r="D4" s="77">
        <v>3.5</v>
      </c>
      <c r="E4" s="72">
        <f t="shared" si="0"/>
        <v>4.666666666666667</v>
      </c>
      <c r="F4" s="80" t="str">
        <f t="shared" si="1"/>
        <v>No apto</v>
      </c>
    </row>
    <row r="5" spans="1:6" x14ac:dyDescent="0.25">
      <c r="A5" s="68" t="s">
        <v>46</v>
      </c>
      <c r="B5" s="72">
        <v>6</v>
      </c>
      <c r="C5" s="73">
        <v>7</v>
      </c>
      <c r="D5" s="77">
        <v>7.5</v>
      </c>
      <c r="E5" s="72">
        <f t="shared" si="0"/>
        <v>6.833333333333333</v>
      </c>
      <c r="F5" s="80" t="str">
        <f t="shared" si="1"/>
        <v>Apto</v>
      </c>
    </row>
    <row r="6" spans="1:6" x14ac:dyDescent="0.25">
      <c r="A6" s="68" t="s">
        <v>47</v>
      </c>
      <c r="B6" s="72">
        <v>7</v>
      </c>
      <c r="C6" s="73">
        <v>8.5</v>
      </c>
      <c r="D6" s="77">
        <v>7</v>
      </c>
      <c r="E6" s="72">
        <f t="shared" si="0"/>
        <v>7.5</v>
      </c>
      <c r="F6" s="80" t="str">
        <f t="shared" si="1"/>
        <v>Apto</v>
      </c>
    </row>
    <row r="7" spans="1:6" x14ac:dyDescent="0.25">
      <c r="A7" s="68" t="s">
        <v>48</v>
      </c>
      <c r="B7" s="72">
        <v>2.5</v>
      </c>
      <c r="C7" s="73">
        <v>5</v>
      </c>
      <c r="D7" s="77">
        <v>4.5</v>
      </c>
      <c r="E7" s="72">
        <f t="shared" si="0"/>
        <v>3</v>
      </c>
      <c r="F7" s="80" t="str">
        <f t="shared" si="1"/>
        <v>No apto</v>
      </c>
    </row>
    <row r="8" spans="1:6" x14ac:dyDescent="0.25">
      <c r="A8" s="68" t="s">
        <v>49</v>
      </c>
      <c r="B8" s="72">
        <v>7</v>
      </c>
      <c r="C8" s="73">
        <v>6.5</v>
      </c>
      <c r="D8" s="77">
        <v>2.5</v>
      </c>
      <c r="E8" s="72">
        <f t="shared" si="0"/>
        <v>3</v>
      </c>
      <c r="F8" s="80" t="str">
        <f t="shared" si="1"/>
        <v>No apto</v>
      </c>
    </row>
    <row r="9" spans="1:6" x14ac:dyDescent="0.25">
      <c r="A9" s="68" t="s">
        <v>50</v>
      </c>
      <c r="B9" s="72">
        <v>8.5</v>
      </c>
      <c r="C9" s="73">
        <v>8.5</v>
      </c>
      <c r="D9" s="77">
        <v>6.75</v>
      </c>
      <c r="E9" s="72">
        <f t="shared" si="0"/>
        <v>7.916666666666667</v>
      </c>
      <c r="F9" s="80" t="str">
        <f t="shared" si="1"/>
        <v>Apto</v>
      </c>
    </row>
    <row r="10" spans="1:6" x14ac:dyDescent="0.25">
      <c r="A10" s="68" t="s">
        <v>51</v>
      </c>
      <c r="B10" s="72">
        <v>9</v>
      </c>
      <c r="C10" s="73">
        <v>8.75</v>
      </c>
      <c r="D10" s="77">
        <v>7</v>
      </c>
      <c r="E10" s="72">
        <f t="shared" si="0"/>
        <v>8.25</v>
      </c>
      <c r="F10" s="80" t="str">
        <f t="shared" si="1"/>
        <v>Apto</v>
      </c>
    </row>
    <row r="11" spans="1:6" ht="15.75" thickBot="1" x14ac:dyDescent="0.3">
      <c r="A11" s="69" t="s">
        <v>52</v>
      </c>
      <c r="B11" s="74">
        <v>6</v>
      </c>
      <c r="C11" s="75">
        <v>5</v>
      </c>
      <c r="D11" s="78">
        <v>2.95</v>
      </c>
      <c r="E11" s="74">
        <f t="shared" si="0"/>
        <v>3</v>
      </c>
      <c r="F11" s="81" t="str">
        <f t="shared" si="1"/>
        <v>No apto</v>
      </c>
    </row>
    <row r="12" spans="1:6" ht="16.5" thickTop="1" thickBot="1" x14ac:dyDescent="0.3">
      <c r="A12" s="92" t="s">
        <v>41</v>
      </c>
      <c r="B12" s="66">
        <f>AVERAGE(B2:B11)</f>
        <v>6.7249999999999996</v>
      </c>
      <c r="C12" s="66">
        <f t="shared" ref="C12:E12" si="2">AVERAGE(C2:C11)</f>
        <v>6.65</v>
      </c>
      <c r="D12" s="82">
        <f t="shared" si="2"/>
        <v>5.42</v>
      </c>
      <c r="E12" s="83">
        <f t="shared" si="2"/>
        <v>5.7666666666666666</v>
      </c>
      <c r="F12" s="62"/>
    </row>
    <row r="13" spans="1:6" ht="15.75" thickTop="1" x14ac:dyDescent="0.25"/>
  </sheetData>
  <conditionalFormatting sqref="E2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5" sqref="H15"/>
    </sheetView>
  </sheetViews>
  <sheetFormatPr baseColWidth="10" defaultRowHeight="15" x14ac:dyDescent="0.25"/>
  <cols>
    <col min="6" max="6" width="3.7109375" customWidth="1"/>
    <col min="8" max="8" width="11.85546875" bestFit="1" customWidth="1"/>
  </cols>
  <sheetData>
    <row r="1" spans="1:9" ht="32.25" thickBot="1" x14ac:dyDescent="0.55000000000000004">
      <c r="A1" s="93" t="s">
        <v>0</v>
      </c>
      <c r="B1" s="94"/>
      <c r="C1" s="94"/>
      <c r="D1" s="94"/>
      <c r="E1" s="95"/>
      <c r="F1" s="1"/>
      <c r="G1" s="1"/>
      <c r="H1" s="1"/>
      <c r="I1" s="1"/>
    </row>
    <row r="2" spans="1:9" ht="15.75" thickBot="1" x14ac:dyDescent="0.3">
      <c r="A2" s="8" t="s">
        <v>1</v>
      </c>
      <c r="B2" s="54" t="s">
        <v>2</v>
      </c>
      <c r="C2" s="55" t="s">
        <v>3</v>
      </c>
      <c r="D2" s="55" t="s">
        <v>4</v>
      </c>
      <c r="E2" s="56" t="s">
        <v>5</v>
      </c>
      <c r="F2" s="1"/>
      <c r="G2" s="9" t="s">
        <v>6</v>
      </c>
      <c r="H2" s="10" t="s">
        <v>7</v>
      </c>
      <c r="I2" s="1"/>
    </row>
    <row r="3" spans="1:9" x14ac:dyDescent="0.25">
      <c r="A3" s="53" t="s">
        <v>8</v>
      </c>
      <c r="B3" s="3">
        <v>900</v>
      </c>
      <c r="C3" s="3">
        <v>3300</v>
      </c>
      <c r="D3" s="13">
        <f>C3*$H$14</f>
        <v>330</v>
      </c>
      <c r="E3" s="57">
        <f>B3+D3</f>
        <v>1230</v>
      </c>
      <c r="F3" s="1"/>
      <c r="G3" s="19" t="s">
        <v>26</v>
      </c>
      <c r="H3" s="17">
        <f>COUNT(E3:E17)</f>
        <v>15</v>
      </c>
      <c r="I3" s="1"/>
    </row>
    <row r="4" spans="1:9" x14ac:dyDescent="0.25">
      <c r="A4" s="6" t="s">
        <v>9</v>
      </c>
      <c r="B4" s="4">
        <v>870</v>
      </c>
      <c r="C4" s="3">
        <v>6160</v>
      </c>
      <c r="D4" s="13">
        <f t="shared" ref="D4:D17" si="0">C4*$H$14</f>
        <v>616</v>
      </c>
      <c r="E4" s="57">
        <f t="shared" ref="E4:E17" si="1">B4+D4</f>
        <v>1486</v>
      </c>
      <c r="F4" s="1"/>
      <c r="G4" s="20" t="s">
        <v>27</v>
      </c>
      <c r="H4" s="18">
        <f>COUNTIF(E3:E17,"&gt;1200")</f>
        <v>6</v>
      </c>
      <c r="I4" s="1"/>
    </row>
    <row r="5" spans="1:9" x14ac:dyDescent="0.25">
      <c r="A5" s="6" t="s">
        <v>10</v>
      </c>
      <c r="B5" s="4">
        <v>1200</v>
      </c>
      <c r="C5" s="3">
        <v>5130</v>
      </c>
      <c r="D5" s="13">
        <f t="shared" si="0"/>
        <v>513</v>
      </c>
      <c r="E5" s="57">
        <f t="shared" si="1"/>
        <v>1713</v>
      </c>
      <c r="F5" s="1"/>
      <c r="G5" s="20" t="s">
        <v>28</v>
      </c>
      <c r="H5" s="18">
        <f>COUNTIF(C3:C17,"&lt;1000")</f>
        <v>3</v>
      </c>
      <c r="I5" s="1"/>
    </row>
    <row r="6" spans="1:9" x14ac:dyDescent="0.25">
      <c r="A6" s="6" t="s">
        <v>11</v>
      </c>
      <c r="B6" s="4">
        <v>1290</v>
      </c>
      <c r="C6" s="3">
        <v>7541</v>
      </c>
      <c r="D6" s="13">
        <f t="shared" si="0"/>
        <v>754.1</v>
      </c>
      <c r="E6" s="57">
        <f t="shared" si="1"/>
        <v>2044.1</v>
      </c>
      <c r="F6" s="1"/>
      <c r="G6" s="20" t="s">
        <v>29</v>
      </c>
      <c r="H6" s="18">
        <f>COUNTIFS(C3:C17,"&gt;=1000",C3:C17,"&lt;=4000")</f>
        <v>8</v>
      </c>
      <c r="I6" s="1"/>
    </row>
    <row r="7" spans="1:9" x14ac:dyDescent="0.25">
      <c r="A7" s="6" t="s">
        <v>12</v>
      </c>
      <c r="B7" s="4">
        <v>750</v>
      </c>
      <c r="C7" s="3">
        <v>734</v>
      </c>
      <c r="D7" s="13">
        <f t="shared" si="0"/>
        <v>73.400000000000006</v>
      </c>
      <c r="E7" s="57">
        <f t="shared" si="1"/>
        <v>823.4</v>
      </c>
      <c r="F7" s="1"/>
      <c r="G7" s="20" t="s">
        <v>30</v>
      </c>
      <c r="H7" s="18">
        <f>COUNTIF(C3:C17,"&gt;4000")</f>
        <v>4</v>
      </c>
      <c r="I7" s="1"/>
    </row>
    <row r="8" spans="1:9" x14ac:dyDescent="0.25">
      <c r="A8" s="6" t="s">
        <v>13</v>
      </c>
      <c r="B8" s="4">
        <v>720</v>
      </c>
      <c r="C8" s="3">
        <v>3030</v>
      </c>
      <c r="D8" s="13">
        <f t="shared" si="0"/>
        <v>303</v>
      </c>
      <c r="E8" s="57">
        <f t="shared" si="1"/>
        <v>1023</v>
      </c>
      <c r="F8" s="1"/>
      <c r="G8" s="20" t="s">
        <v>31</v>
      </c>
      <c r="H8" s="22">
        <f>SUMIF(C3:C17,"&lt;3000",C3:C17)</f>
        <v>6974</v>
      </c>
      <c r="I8" s="1"/>
    </row>
    <row r="9" spans="1:9" x14ac:dyDescent="0.25">
      <c r="A9" s="6" t="s">
        <v>14</v>
      </c>
      <c r="B9" s="4">
        <v>810</v>
      </c>
      <c r="C9" s="3">
        <v>3758</v>
      </c>
      <c r="D9" s="13">
        <f t="shared" si="0"/>
        <v>375.8</v>
      </c>
      <c r="E9" s="57">
        <f t="shared" si="1"/>
        <v>1185.8</v>
      </c>
      <c r="F9" s="1"/>
      <c r="G9" s="20" t="s">
        <v>32</v>
      </c>
      <c r="H9" s="22">
        <f>SUMIFS(C3:C17,C3:C17,"&gt;=3000",C3:C17,"&lt;=6000")</f>
        <v>25793</v>
      </c>
      <c r="I9" s="1"/>
    </row>
    <row r="10" spans="1:9" x14ac:dyDescent="0.25">
      <c r="A10" s="6" t="s">
        <v>15</v>
      </c>
      <c r="B10" s="4">
        <v>1270</v>
      </c>
      <c r="C10" s="3">
        <v>3000</v>
      </c>
      <c r="D10" s="13">
        <f t="shared" si="0"/>
        <v>300</v>
      </c>
      <c r="E10" s="57">
        <f t="shared" si="1"/>
        <v>1570</v>
      </c>
      <c r="F10" s="1"/>
      <c r="G10" s="20" t="s">
        <v>33</v>
      </c>
      <c r="H10" s="22">
        <f>SUMIF(C3:C17,"&gt;6000",C3:C17)</f>
        <v>13701</v>
      </c>
      <c r="I10" s="1"/>
    </row>
    <row r="11" spans="1:9" x14ac:dyDescent="0.25">
      <c r="A11" s="6" t="s">
        <v>16</v>
      </c>
      <c r="B11" s="4">
        <v>750</v>
      </c>
      <c r="C11" s="3">
        <v>1530</v>
      </c>
      <c r="D11" s="13">
        <f t="shared" si="0"/>
        <v>153</v>
      </c>
      <c r="E11" s="57">
        <f t="shared" si="1"/>
        <v>903</v>
      </c>
      <c r="F11" s="1"/>
      <c r="G11" s="20" t="s">
        <v>34</v>
      </c>
      <c r="H11" s="22">
        <f>SUMIF(B3:B17,"&gt;=1200",C3:C17)</f>
        <v>17091</v>
      </c>
      <c r="I11" s="1"/>
    </row>
    <row r="12" spans="1:9" ht="15.75" thickBot="1" x14ac:dyDescent="0.3">
      <c r="A12" s="6" t="s">
        <v>17</v>
      </c>
      <c r="B12" s="4">
        <v>1200</v>
      </c>
      <c r="C12" s="3">
        <v>1420</v>
      </c>
      <c r="D12" s="13">
        <f t="shared" si="0"/>
        <v>142</v>
      </c>
      <c r="E12" s="57">
        <f t="shared" si="1"/>
        <v>1342</v>
      </c>
      <c r="F12" s="1"/>
      <c r="G12" s="21" t="s">
        <v>36</v>
      </c>
      <c r="H12" s="23">
        <f>SUMIF(B3:B17,"&lt;1000",C3:C17)</f>
        <v>29377</v>
      </c>
      <c r="I12" s="1"/>
    </row>
    <row r="13" spans="1:9" ht="15.75" thickBot="1" x14ac:dyDescent="0.3">
      <c r="A13" s="6" t="s">
        <v>18</v>
      </c>
      <c r="B13" s="4">
        <v>610</v>
      </c>
      <c r="C13" s="3">
        <v>740</v>
      </c>
      <c r="D13" s="13">
        <f t="shared" si="0"/>
        <v>74</v>
      </c>
      <c r="E13" s="57">
        <f t="shared" si="1"/>
        <v>684</v>
      </c>
      <c r="F13" s="1"/>
      <c r="G13" s="1"/>
      <c r="H13" s="1"/>
      <c r="I13" s="1"/>
    </row>
    <row r="14" spans="1:9" ht="15.75" thickBot="1" x14ac:dyDescent="0.3">
      <c r="A14" s="6" t="s">
        <v>19</v>
      </c>
      <c r="B14" s="4">
        <v>750</v>
      </c>
      <c r="C14" s="3">
        <v>740</v>
      </c>
      <c r="D14" s="13">
        <f t="shared" si="0"/>
        <v>74</v>
      </c>
      <c r="E14" s="57">
        <f t="shared" si="1"/>
        <v>824</v>
      </c>
      <c r="F14" s="1"/>
      <c r="G14" s="11" t="s">
        <v>4</v>
      </c>
      <c r="H14" s="12">
        <v>0.1</v>
      </c>
      <c r="I14" s="1"/>
    </row>
    <row r="15" spans="1:9" x14ac:dyDescent="0.25">
      <c r="A15" s="6" t="s">
        <v>20</v>
      </c>
      <c r="B15" s="4">
        <v>750</v>
      </c>
      <c r="C15" s="3">
        <v>3045</v>
      </c>
      <c r="D15" s="13">
        <f t="shared" si="0"/>
        <v>304.5</v>
      </c>
      <c r="E15" s="57">
        <f t="shared" si="1"/>
        <v>1054.5</v>
      </c>
      <c r="F15" s="1"/>
      <c r="G15" s="1"/>
      <c r="H15" s="1"/>
      <c r="I15" s="2"/>
    </row>
    <row r="16" spans="1:9" x14ac:dyDescent="0.25">
      <c r="A16" s="6" t="s">
        <v>21</v>
      </c>
      <c r="B16" s="4">
        <v>670</v>
      </c>
      <c r="C16" s="3">
        <v>4530</v>
      </c>
      <c r="D16" s="13">
        <f t="shared" si="0"/>
        <v>453</v>
      </c>
      <c r="E16" s="57">
        <f t="shared" si="1"/>
        <v>1123</v>
      </c>
      <c r="F16" s="1"/>
      <c r="I16" s="2"/>
    </row>
    <row r="17" spans="1:5" ht="15.75" thickBot="1" x14ac:dyDescent="0.3">
      <c r="A17" s="7" t="s">
        <v>22</v>
      </c>
      <c r="B17" s="5">
        <v>180</v>
      </c>
      <c r="C17" s="3">
        <v>1810</v>
      </c>
      <c r="D17" s="13">
        <f t="shared" si="0"/>
        <v>181</v>
      </c>
      <c r="E17" s="57">
        <f t="shared" si="1"/>
        <v>361</v>
      </c>
    </row>
    <row r="18" spans="1:5" x14ac:dyDescent="0.25">
      <c r="A18" s="58" t="s">
        <v>23</v>
      </c>
      <c r="B18" s="14">
        <f>SUM(B3:B17)</f>
        <v>12720</v>
      </c>
      <c r="C18" s="14">
        <f t="shared" ref="C18:E18" si="2">SUM(C3:C17)</f>
        <v>46468</v>
      </c>
      <c r="D18" s="14">
        <f t="shared" si="2"/>
        <v>4646.8</v>
      </c>
      <c r="E18" s="14">
        <f t="shared" si="2"/>
        <v>17366.8</v>
      </c>
    </row>
    <row r="19" spans="1:5" x14ac:dyDescent="0.25">
      <c r="A19" s="59" t="s">
        <v>24</v>
      </c>
      <c r="B19" s="15">
        <f>MIN(B3:B17)</f>
        <v>180</v>
      </c>
      <c r="C19" s="15">
        <f t="shared" ref="C19:E19" si="3">MIN(C3:C17)</f>
        <v>734</v>
      </c>
      <c r="D19" s="15">
        <f t="shared" si="3"/>
        <v>73.400000000000006</v>
      </c>
      <c r="E19" s="15">
        <f t="shared" si="3"/>
        <v>361</v>
      </c>
    </row>
    <row r="20" spans="1:5" x14ac:dyDescent="0.25">
      <c r="A20" s="59" t="s">
        <v>25</v>
      </c>
      <c r="B20" s="15">
        <f>MAX(B3:B17)</f>
        <v>1290</v>
      </c>
      <c r="C20" s="15">
        <f t="shared" ref="C20:E20" si="4">MAX(C3:C17)</f>
        <v>7541</v>
      </c>
      <c r="D20" s="15">
        <f t="shared" si="4"/>
        <v>754.1</v>
      </c>
      <c r="E20" s="15">
        <f t="shared" si="4"/>
        <v>2044.1</v>
      </c>
    </row>
    <row r="21" spans="1:5" ht="15.75" thickBot="1" x14ac:dyDescent="0.3">
      <c r="A21" s="60" t="s">
        <v>35</v>
      </c>
      <c r="B21" s="16">
        <f>AVERAGE(B3:B17)</f>
        <v>848</v>
      </c>
      <c r="C21" s="16">
        <f t="shared" ref="C21:E21" si="5">AVERAGE(C3:C17)</f>
        <v>3097.8666666666668</v>
      </c>
      <c r="D21" s="16">
        <f t="shared" si="5"/>
        <v>309.78666666666669</v>
      </c>
      <c r="E21" s="16">
        <f t="shared" si="5"/>
        <v>1157.7866666666666</v>
      </c>
    </row>
  </sheetData>
  <mergeCells count="1">
    <mergeCell ref="A1:E1"/>
  </mergeCells>
  <conditionalFormatting sqref="C3:C17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85" zoomScaleNormal="85" workbookViewId="0">
      <selection sqref="A1:G52"/>
    </sheetView>
  </sheetViews>
  <sheetFormatPr baseColWidth="10" defaultRowHeight="15" x14ac:dyDescent="0.25"/>
  <cols>
    <col min="1" max="1" width="11.42578125" style="27"/>
    <col min="3" max="3" width="13.5703125" bestFit="1" customWidth="1"/>
    <col min="4" max="4" width="13.5703125" style="24" customWidth="1"/>
    <col min="6" max="6" width="15.5703125" customWidth="1"/>
    <col min="7" max="7" width="15.140625" customWidth="1"/>
    <col min="10" max="12" width="14.140625" customWidth="1"/>
  </cols>
  <sheetData>
    <row r="1" spans="1:12" ht="15.75" thickBot="1" x14ac:dyDescent="0.3">
      <c r="A1" s="61" t="s">
        <v>128</v>
      </c>
      <c r="B1" s="61" t="s">
        <v>1</v>
      </c>
      <c r="C1" s="61" t="s">
        <v>54</v>
      </c>
      <c r="D1" s="61" t="s">
        <v>55</v>
      </c>
      <c r="E1" s="61" t="s">
        <v>37</v>
      </c>
      <c r="F1" s="61" t="s">
        <v>94</v>
      </c>
      <c r="G1" s="61" t="s">
        <v>38</v>
      </c>
    </row>
    <row r="2" spans="1:12" ht="15" customHeight="1" x14ac:dyDescent="0.25">
      <c r="A2" s="26">
        <v>1</v>
      </c>
      <c r="B2" s="26" t="s">
        <v>56</v>
      </c>
      <c r="C2" s="26" t="s">
        <v>57</v>
      </c>
      <c r="D2" s="26" t="s">
        <v>85</v>
      </c>
      <c r="E2" s="26">
        <v>12</v>
      </c>
      <c r="F2" s="26" t="s">
        <v>40</v>
      </c>
      <c r="G2" s="49">
        <v>40421</v>
      </c>
      <c r="J2" s="100" t="s">
        <v>96</v>
      </c>
      <c r="K2" s="98" t="s">
        <v>98</v>
      </c>
      <c r="L2" s="96" t="s">
        <v>99</v>
      </c>
    </row>
    <row r="3" spans="1:12" ht="15.75" thickBot="1" x14ac:dyDescent="0.3">
      <c r="A3" s="26">
        <v>2</v>
      </c>
      <c r="B3" s="26" t="s">
        <v>58</v>
      </c>
      <c r="C3" s="26" t="s">
        <v>59</v>
      </c>
      <c r="D3" s="26" t="s">
        <v>86</v>
      </c>
      <c r="E3" s="26">
        <v>14</v>
      </c>
      <c r="F3" s="26" t="s">
        <v>39</v>
      </c>
      <c r="G3" s="49">
        <v>40604</v>
      </c>
      <c r="J3" s="101"/>
      <c r="K3" s="99"/>
      <c r="L3" s="97"/>
    </row>
    <row r="4" spans="1:12" ht="15.75" thickBot="1" x14ac:dyDescent="0.3">
      <c r="A4" s="26">
        <v>3</v>
      </c>
      <c r="B4" s="26" t="s">
        <v>60</v>
      </c>
      <c r="C4" s="26" t="s">
        <v>61</v>
      </c>
      <c r="D4" s="26" t="s">
        <v>87</v>
      </c>
      <c r="E4" s="26">
        <v>16</v>
      </c>
      <c r="F4" s="26" t="s">
        <v>39</v>
      </c>
      <c r="G4" s="49">
        <v>40242</v>
      </c>
      <c r="I4" s="27"/>
      <c r="J4" s="29">
        <v>20</v>
      </c>
      <c r="K4" s="30">
        <v>0.08</v>
      </c>
      <c r="L4" s="31">
        <v>0.15</v>
      </c>
    </row>
    <row r="5" spans="1:12" x14ac:dyDescent="0.25">
      <c r="A5" s="26">
        <v>4</v>
      </c>
      <c r="B5" s="26" t="s">
        <v>62</v>
      </c>
      <c r="C5" s="26" t="s">
        <v>63</v>
      </c>
      <c r="D5" s="26" t="s">
        <v>108</v>
      </c>
      <c r="E5" s="26">
        <v>13</v>
      </c>
      <c r="F5" s="26" t="s">
        <v>40</v>
      </c>
      <c r="G5" s="49">
        <v>40760</v>
      </c>
    </row>
    <row r="6" spans="1:12" x14ac:dyDescent="0.25">
      <c r="A6" s="26">
        <v>5</v>
      </c>
      <c r="B6" s="26" t="s">
        <v>58</v>
      </c>
      <c r="C6" s="26" t="s">
        <v>93</v>
      </c>
      <c r="D6" s="26" t="s">
        <v>70</v>
      </c>
      <c r="E6" s="26">
        <v>13</v>
      </c>
      <c r="F6" s="26" t="s">
        <v>39</v>
      </c>
      <c r="G6" s="49">
        <v>40571</v>
      </c>
    </row>
    <row r="7" spans="1:12" x14ac:dyDescent="0.25">
      <c r="A7" s="26">
        <v>6</v>
      </c>
      <c r="B7" s="26" t="s">
        <v>65</v>
      </c>
      <c r="C7" s="26" t="s">
        <v>66</v>
      </c>
      <c r="D7" s="26" t="s">
        <v>63</v>
      </c>
      <c r="E7" s="26">
        <v>7</v>
      </c>
      <c r="F7" s="26" t="s">
        <v>40</v>
      </c>
      <c r="G7" s="49">
        <v>42921</v>
      </c>
    </row>
    <row r="8" spans="1:12" x14ac:dyDescent="0.25">
      <c r="A8" s="26">
        <v>7</v>
      </c>
      <c r="B8" s="26" t="s">
        <v>67</v>
      </c>
      <c r="C8" s="26" t="s">
        <v>68</v>
      </c>
      <c r="D8" s="26" t="s">
        <v>78</v>
      </c>
      <c r="E8" s="26">
        <v>8</v>
      </c>
      <c r="F8" s="26" t="s">
        <v>39</v>
      </c>
      <c r="G8" s="49">
        <v>42460</v>
      </c>
    </row>
    <row r="9" spans="1:12" x14ac:dyDescent="0.25">
      <c r="A9" s="26">
        <v>8</v>
      </c>
      <c r="B9" s="26" t="s">
        <v>69</v>
      </c>
      <c r="C9" s="26" t="s">
        <v>70</v>
      </c>
      <c r="D9" s="26" t="s">
        <v>70</v>
      </c>
      <c r="E9" s="26">
        <v>12</v>
      </c>
      <c r="F9" s="26" t="s">
        <v>40</v>
      </c>
      <c r="G9" s="49">
        <v>42367</v>
      </c>
    </row>
    <row r="10" spans="1:12" x14ac:dyDescent="0.25">
      <c r="A10" s="26">
        <v>9</v>
      </c>
      <c r="B10" s="26" t="s">
        <v>71</v>
      </c>
      <c r="C10" s="26" t="s">
        <v>64</v>
      </c>
      <c r="D10" s="26" t="s">
        <v>88</v>
      </c>
      <c r="E10" s="26">
        <v>12</v>
      </c>
      <c r="F10" s="26" t="s">
        <v>40</v>
      </c>
      <c r="G10" s="49">
        <v>42678</v>
      </c>
    </row>
    <row r="11" spans="1:12" x14ac:dyDescent="0.25">
      <c r="A11" s="26">
        <v>10</v>
      </c>
      <c r="B11" s="26" t="s">
        <v>65</v>
      </c>
      <c r="C11" s="26" t="s">
        <v>93</v>
      </c>
      <c r="D11" s="26" t="s">
        <v>81</v>
      </c>
      <c r="E11" s="26">
        <v>15</v>
      </c>
      <c r="F11" s="26" t="s">
        <v>40</v>
      </c>
      <c r="G11" s="49">
        <v>40178</v>
      </c>
    </row>
    <row r="12" spans="1:12" x14ac:dyDescent="0.25">
      <c r="A12" s="26">
        <v>11</v>
      </c>
      <c r="B12" s="26" t="s">
        <v>72</v>
      </c>
      <c r="C12" s="26" t="s">
        <v>57</v>
      </c>
      <c r="D12" s="26" t="s">
        <v>89</v>
      </c>
      <c r="E12" s="26">
        <v>12</v>
      </c>
      <c r="F12" s="26" t="s">
        <v>40</v>
      </c>
      <c r="G12" s="49">
        <v>41919</v>
      </c>
    </row>
    <row r="13" spans="1:12" x14ac:dyDescent="0.25">
      <c r="A13" s="26">
        <v>12</v>
      </c>
      <c r="B13" s="26" t="s">
        <v>16</v>
      </c>
      <c r="C13" s="26" t="s">
        <v>73</v>
      </c>
      <c r="D13" s="26" t="s">
        <v>90</v>
      </c>
      <c r="E13" s="26">
        <v>11</v>
      </c>
      <c r="F13" s="26" t="s">
        <v>39</v>
      </c>
      <c r="G13" s="49">
        <v>42004</v>
      </c>
    </row>
    <row r="14" spans="1:12" x14ac:dyDescent="0.25">
      <c r="A14" s="26">
        <v>13</v>
      </c>
      <c r="B14" s="26" t="s">
        <v>67</v>
      </c>
      <c r="C14" s="26" t="s">
        <v>93</v>
      </c>
      <c r="D14" s="48" t="s">
        <v>91</v>
      </c>
      <c r="E14" s="26">
        <v>15</v>
      </c>
      <c r="F14" s="26" t="s">
        <v>39</v>
      </c>
      <c r="G14" s="49">
        <v>39934</v>
      </c>
    </row>
    <row r="15" spans="1:12" x14ac:dyDescent="0.25">
      <c r="A15" s="26">
        <v>14</v>
      </c>
      <c r="B15" s="26" t="s">
        <v>74</v>
      </c>
      <c r="C15" s="26" t="s">
        <v>75</v>
      </c>
      <c r="D15" s="26" t="s">
        <v>91</v>
      </c>
      <c r="E15" s="26">
        <v>7</v>
      </c>
      <c r="F15" s="26" t="s">
        <v>40</v>
      </c>
      <c r="G15" s="49">
        <v>42431</v>
      </c>
    </row>
    <row r="16" spans="1:12" x14ac:dyDescent="0.25">
      <c r="A16" s="26">
        <v>15</v>
      </c>
      <c r="B16" s="26" t="s">
        <v>76</v>
      </c>
      <c r="C16" s="26" t="s">
        <v>61</v>
      </c>
      <c r="D16" s="26" t="s">
        <v>63</v>
      </c>
      <c r="E16" s="26">
        <v>13</v>
      </c>
      <c r="F16" s="26" t="s">
        <v>40</v>
      </c>
      <c r="G16" s="49">
        <v>41617</v>
      </c>
    </row>
    <row r="17" spans="1:7" x14ac:dyDescent="0.25">
      <c r="A17" s="26">
        <v>16</v>
      </c>
      <c r="B17" s="26" t="s">
        <v>18</v>
      </c>
      <c r="C17" s="26" t="s">
        <v>63</v>
      </c>
      <c r="D17" s="26" t="s">
        <v>64</v>
      </c>
      <c r="E17" s="26">
        <v>8</v>
      </c>
      <c r="F17" s="26" t="s">
        <v>39</v>
      </c>
      <c r="G17" s="49">
        <v>42586</v>
      </c>
    </row>
    <row r="18" spans="1:7" x14ac:dyDescent="0.25">
      <c r="A18" s="26">
        <v>17</v>
      </c>
      <c r="B18" s="26" t="s">
        <v>77</v>
      </c>
      <c r="C18" s="26" t="s">
        <v>78</v>
      </c>
      <c r="D18" s="26" t="s">
        <v>66</v>
      </c>
      <c r="E18" s="26">
        <v>7</v>
      </c>
      <c r="F18" s="26" t="s">
        <v>40</v>
      </c>
      <c r="G18" s="49">
        <v>42919</v>
      </c>
    </row>
    <row r="19" spans="1:7" x14ac:dyDescent="0.25">
      <c r="A19" s="26">
        <v>18</v>
      </c>
      <c r="B19" s="26" t="s">
        <v>79</v>
      </c>
      <c r="C19" s="26" t="s">
        <v>70</v>
      </c>
      <c r="D19" s="26" t="s">
        <v>92</v>
      </c>
      <c r="E19" s="26">
        <v>9</v>
      </c>
      <c r="F19" s="26" t="s">
        <v>40</v>
      </c>
      <c r="G19" s="49">
        <v>42095</v>
      </c>
    </row>
    <row r="20" spans="1:7" x14ac:dyDescent="0.25">
      <c r="A20" s="26">
        <v>19</v>
      </c>
      <c r="B20" s="26" t="s">
        <v>80</v>
      </c>
      <c r="C20" s="26" t="s">
        <v>81</v>
      </c>
      <c r="D20" s="26" t="s">
        <v>93</v>
      </c>
      <c r="E20" s="26">
        <v>17</v>
      </c>
      <c r="F20" s="26" t="s">
        <v>39</v>
      </c>
      <c r="G20" s="49">
        <v>40234</v>
      </c>
    </row>
    <row r="21" spans="1:7" x14ac:dyDescent="0.25">
      <c r="A21" s="26">
        <v>20</v>
      </c>
      <c r="B21" s="26" t="s">
        <v>82</v>
      </c>
      <c r="C21" s="26" t="s">
        <v>83</v>
      </c>
      <c r="D21" s="26" t="s">
        <v>81</v>
      </c>
      <c r="E21" s="26">
        <v>16</v>
      </c>
      <c r="F21" s="26" t="s">
        <v>40</v>
      </c>
      <c r="G21" s="49">
        <v>40969</v>
      </c>
    </row>
    <row r="22" spans="1:7" x14ac:dyDescent="0.25">
      <c r="A22" s="26">
        <v>21</v>
      </c>
      <c r="B22" s="26" t="s">
        <v>100</v>
      </c>
      <c r="C22" s="26" t="s">
        <v>84</v>
      </c>
      <c r="D22" s="26" t="s">
        <v>70</v>
      </c>
      <c r="E22" s="26">
        <v>15</v>
      </c>
      <c r="F22" s="26" t="s">
        <v>40</v>
      </c>
      <c r="G22" s="49">
        <v>40056</v>
      </c>
    </row>
    <row r="23" spans="1:7" x14ac:dyDescent="0.25">
      <c r="A23" s="26">
        <v>22</v>
      </c>
      <c r="B23" s="48" t="s">
        <v>109</v>
      </c>
      <c r="C23" s="26" t="s">
        <v>70</v>
      </c>
      <c r="D23" s="26" t="s">
        <v>93</v>
      </c>
      <c r="E23" s="26">
        <v>13</v>
      </c>
      <c r="F23" s="48" t="s">
        <v>39</v>
      </c>
      <c r="G23" s="49">
        <v>40760</v>
      </c>
    </row>
    <row r="24" spans="1:7" x14ac:dyDescent="0.25">
      <c r="A24" s="26">
        <v>23</v>
      </c>
      <c r="B24" s="48" t="s">
        <v>20</v>
      </c>
      <c r="C24" s="26" t="s">
        <v>64</v>
      </c>
      <c r="D24" s="48" t="s">
        <v>91</v>
      </c>
      <c r="E24" s="26">
        <v>7</v>
      </c>
      <c r="F24" s="48" t="s">
        <v>40</v>
      </c>
      <c r="G24" s="49">
        <v>42397</v>
      </c>
    </row>
    <row r="25" spans="1:7" x14ac:dyDescent="0.25">
      <c r="A25" s="26">
        <v>24</v>
      </c>
      <c r="B25" s="48" t="s">
        <v>110</v>
      </c>
      <c r="C25" s="26" t="s">
        <v>93</v>
      </c>
      <c r="D25" s="26" t="s">
        <v>61</v>
      </c>
      <c r="E25" s="26">
        <v>14</v>
      </c>
      <c r="F25" s="48" t="s">
        <v>39</v>
      </c>
      <c r="G25" s="49">
        <v>42921</v>
      </c>
    </row>
    <row r="26" spans="1:7" x14ac:dyDescent="0.25">
      <c r="A26" s="26">
        <v>25</v>
      </c>
      <c r="B26" s="48" t="s">
        <v>16</v>
      </c>
      <c r="C26" s="26" t="s">
        <v>57</v>
      </c>
      <c r="D26" s="48" t="s">
        <v>91</v>
      </c>
      <c r="E26" s="26">
        <v>15</v>
      </c>
      <c r="F26" s="48" t="s">
        <v>40</v>
      </c>
      <c r="G26" s="49">
        <v>42460</v>
      </c>
    </row>
    <row r="27" spans="1:7" x14ac:dyDescent="0.25">
      <c r="A27" s="26">
        <v>26</v>
      </c>
      <c r="B27" s="48" t="s">
        <v>111</v>
      </c>
      <c r="C27" s="26" t="s">
        <v>73</v>
      </c>
      <c r="D27" s="26" t="s">
        <v>78</v>
      </c>
      <c r="E27" s="26">
        <v>12</v>
      </c>
      <c r="F27" s="48" t="s">
        <v>40</v>
      </c>
      <c r="G27" s="49">
        <v>42367</v>
      </c>
    </row>
    <row r="28" spans="1:7" x14ac:dyDescent="0.25">
      <c r="A28" s="26">
        <v>27</v>
      </c>
      <c r="B28" s="48" t="s">
        <v>112</v>
      </c>
      <c r="C28" s="26" t="s">
        <v>63</v>
      </c>
      <c r="D28" s="26" t="s">
        <v>70</v>
      </c>
      <c r="E28" s="26">
        <v>9</v>
      </c>
      <c r="F28" s="48" t="s">
        <v>39</v>
      </c>
      <c r="G28" s="49">
        <v>42678</v>
      </c>
    </row>
    <row r="29" spans="1:7" x14ac:dyDescent="0.25">
      <c r="A29" s="26">
        <v>28</v>
      </c>
      <c r="B29" s="48" t="s">
        <v>113</v>
      </c>
      <c r="C29" s="48" t="s">
        <v>91</v>
      </c>
      <c r="D29" s="48" t="s">
        <v>107</v>
      </c>
      <c r="E29" s="26">
        <v>16</v>
      </c>
      <c r="F29" s="48" t="s">
        <v>40</v>
      </c>
      <c r="G29" s="49">
        <v>40178</v>
      </c>
    </row>
    <row r="30" spans="1:7" x14ac:dyDescent="0.25">
      <c r="A30" s="26">
        <v>29</v>
      </c>
      <c r="B30" s="48" t="s">
        <v>114</v>
      </c>
      <c r="C30" s="26" t="s">
        <v>66</v>
      </c>
      <c r="D30" s="48" t="s">
        <v>108</v>
      </c>
      <c r="E30" s="26">
        <v>8</v>
      </c>
      <c r="F30" s="48" t="s">
        <v>39</v>
      </c>
      <c r="G30" s="49">
        <v>41919</v>
      </c>
    </row>
    <row r="31" spans="1:7" x14ac:dyDescent="0.25">
      <c r="A31" s="26">
        <v>30</v>
      </c>
      <c r="B31" s="48" t="s">
        <v>110</v>
      </c>
      <c r="C31" s="26" t="s">
        <v>70</v>
      </c>
      <c r="D31" s="26" t="s">
        <v>93</v>
      </c>
      <c r="E31" s="26">
        <v>10</v>
      </c>
      <c r="F31" s="48" t="s">
        <v>39</v>
      </c>
      <c r="G31" s="49">
        <v>42004</v>
      </c>
    </row>
    <row r="32" spans="1:7" x14ac:dyDescent="0.25">
      <c r="A32" s="26">
        <v>31</v>
      </c>
      <c r="B32" s="48" t="s">
        <v>16</v>
      </c>
      <c r="C32" s="26" t="s">
        <v>93</v>
      </c>
      <c r="D32" s="26" t="s">
        <v>75</v>
      </c>
      <c r="E32" s="26">
        <v>11</v>
      </c>
      <c r="F32" s="48" t="s">
        <v>40</v>
      </c>
      <c r="G32" s="49">
        <v>39934</v>
      </c>
    </row>
    <row r="33" spans="1:7" x14ac:dyDescent="0.25">
      <c r="A33" s="26">
        <v>32</v>
      </c>
      <c r="B33" s="48" t="s">
        <v>111</v>
      </c>
      <c r="C33" s="26" t="s">
        <v>81</v>
      </c>
      <c r="D33" s="26" t="s">
        <v>61</v>
      </c>
      <c r="E33" s="26">
        <v>8</v>
      </c>
      <c r="F33" s="48" t="s">
        <v>40</v>
      </c>
      <c r="G33" s="49">
        <v>42431</v>
      </c>
    </row>
    <row r="34" spans="1:7" x14ac:dyDescent="0.25">
      <c r="A34" s="26">
        <v>33</v>
      </c>
      <c r="B34" s="48" t="s">
        <v>57</v>
      </c>
      <c r="C34" s="48" t="s">
        <v>91</v>
      </c>
      <c r="D34" s="26" t="s">
        <v>63</v>
      </c>
      <c r="E34" s="26">
        <v>11</v>
      </c>
      <c r="F34" s="48" t="s">
        <v>40</v>
      </c>
      <c r="G34" s="49">
        <v>41617</v>
      </c>
    </row>
    <row r="35" spans="1:7" x14ac:dyDescent="0.25">
      <c r="A35" s="26">
        <v>34</v>
      </c>
      <c r="B35" s="48" t="s">
        <v>21</v>
      </c>
      <c r="C35" s="48" t="s">
        <v>107</v>
      </c>
      <c r="D35" s="26" t="s">
        <v>78</v>
      </c>
      <c r="E35" s="26">
        <v>12</v>
      </c>
      <c r="F35" s="48" t="s">
        <v>40</v>
      </c>
      <c r="G35" s="49">
        <v>42586</v>
      </c>
    </row>
    <row r="36" spans="1:7" x14ac:dyDescent="0.25">
      <c r="A36" s="26">
        <v>35</v>
      </c>
      <c r="B36" s="48" t="s">
        <v>21</v>
      </c>
      <c r="C36" s="48" t="s">
        <v>108</v>
      </c>
      <c r="D36" s="26" t="s">
        <v>70</v>
      </c>
      <c r="E36" s="26">
        <v>6</v>
      </c>
      <c r="F36" s="48" t="s">
        <v>39</v>
      </c>
      <c r="G36" s="49">
        <v>42919</v>
      </c>
    </row>
    <row r="37" spans="1:7" x14ac:dyDescent="0.25">
      <c r="A37" s="26">
        <v>36</v>
      </c>
      <c r="B37" s="48" t="s">
        <v>115</v>
      </c>
      <c r="C37" s="26" t="s">
        <v>61</v>
      </c>
      <c r="D37" s="26" t="s">
        <v>78</v>
      </c>
      <c r="E37" s="26">
        <v>8</v>
      </c>
      <c r="F37" s="48" t="s">
        <v>40</v>
      </c>
      <c r="G37" s="49">
        <v>42095</v>
      </c>
    </row>
    <row r="38" spans="1:7" x14ac:dyDescent="0.25">
      <c r="A38" s="26">
        <v>37</v>
      </c>
      <c r="B38" s="48" t="s">
        <v>115</v>
      </c>
      <c r="C38" s="26" t="s">
        <v>63</v>
      </c>
      <c r="D38" s="26" t="s">
        <v>70</v>
      </c>
      <c r="E38" s="26">
        <v>15</v>
      </c>
      <c r="F38" s="48" t="s">
        <v>40</v>
      </c>
      <c r="G38" s="49">
        <v>40234</v>
      </c>
    </row>
    <row r="39" spans="1:7" x14ac:dyDescent="0.25">
      <c r="A39" s="26">
        <v>38</v>
      </c>
      <c r="B39" s="48" t="s">
        <v>71</v>
      </c>
      <c r="C39" s="26" t="s">
        <v>70</v>
      </c>
      <c r="D39" s="26" t="s">
        <v>84</v>
      </c>
      <c r="E39" s="26">
        <v>15</v>
      </c>
      <c r="F39" s="48" t="s">
        <v>40</v>
      </c>
      <c r="G39" s="49">
        <v>40969</v>
      </c>
    </row>
    <row r="40" spans="1:7" x14ac:dyDescent="0.25">
      <c r="A40" s="26">
        <v>39</v>
      </c>
      <c r="B40" s="48" t="s">
        <v>116</v>
      </c>
      <c r="C40" s="26" t="s">
        <v>61</v>
      </c>
      <c r="D40" s="26" t="s">
        <v>70</v>
      </c>
      <c r="E40" s="26">
        <v>9</v>
      </c>
      <c r="F40" s="48" t="s">
        <v>39</v>
      </c>
      <c r="G40" s="49">
        <v>42247</v>
      </c>
    </row>
    <row r="41" spans="1:7" x14ac:dyDescent="0.25">
      <c r="A41" s="26">
        <v>40</v>
      </c>
      <c r="B41" s="48" t="s">
        <v>117</v>
      </c>
      <c r="C41" s="48" t="s">
        <v>91</v>
      </c>
      <c r="D41" s="26" t="s">
        <v>64</v>
      </c>
      <c r="E41" s="26">
        <v>18</v>
      </c>
      <c r="F41" s="48" t="s">
        <v>39</v>
      </c>
      <c r="G41" s="49">
        <v>40760</v>
      </c>
    </row>
    <row r="42" spans="1:7" x14ac:dyDescent="0.25">
      <c r="A42" s="26">
        <v>41</v>
      </c>
      <c r="B42" s="48" t="s">
        <v>118</v>
      </c>
      <c r="C42" s="26" t="s">
        <v>78</v>
      </c>
      <c r="D42" s="26" t="s">
        <v>93</v>
      </c>
      <c r="E42" s="26">
        <v>6</v>
      </c>
      <c r="F42" s="48" t="s">
        <v>40</v>
      </c>
      <c r="G42" s="49">
        <v>42763</v>
      </c>
    </row>
    <row r="43" spans="1:7" x14ac:dyDescent="0.25">
      <c r="A43" s="26">
        <v>42</v>
      </c>
      <c r="B43" s="48" t="s">
        <v>119</v>
      </c>
      <c r="C43" s="26" t="s">
        <v>70</v>
      </c>
      <c r="D43" s="26" t="s">
        <v>57</v>
      </c>
      <c r="E43" s="26">
        <v>15</v>
      </c>
      <c r="F43" s="48" t="s">
        <v>40</v>
      </c>
      <c r="G43" s="49">
        <v>41095</v>
      </c>
    </row>
    <row r="44" spans="1:7" x14ac:dyDescent="0.25">
      <c r="A44" s="26">
        <v>43</v>
      </c>
      <c r="B44" s="48" t="s">
        <v>71</v>
      </c>
      <c r="C44" s="48" t="s">
        <v>107</v>
      </c>
      <c r="D44" s="26" t="s">
        <v>73</v>
      </c>
      <c r="E44" s="26">
        <v>10</v>
      </c>
      <c r="F44" s="48" t="s">
        <v>39</v>
      </c>
      <c r="G44" s="49">
        <v>41729</v>
      </c>
    </row>
    <row r="45" spans="1:7" x14ac:dyDescent="0.25">
      <c r="A45" s="26">
        <v>44</v>
      </c>
      <c r="B45" s="48" t="s">
        <v>120</v>
      </c>
      <c r="C45" s="48" t="s">
        <v>108</v>
      </c>
      <c r="D45" s="26" t="s">
        <v>63</v>
      </c>
      <c r="E45" s="26">
        <v>18</v>
      </c>
      <c r="F45" s="48" t="s">
        <v>40</v>
      </c>
      <c r="G45" s="49">
        <v>40541</v>
      </c>
    </row>
    <row r="46" spans="1:7" x14ac:dyDescent="0.25">
      <c r="A46" s="26">
        <v>45</v>
      </c>
      <c r="B46" s="48" t="s">
        <v>121</v>
      </c>
      <c r="C46" s="26" t="s">
        <v>73</v>
      </c>
      <c r="D46" s="48" t="s">
        <v>91</v>
      </c>
      <c r="E46" s="26">
        <v>8</v>
      </c>
      <c r="F46" s="48" t="s">
        <v>39</v>
      </c>
      <c r="G46" s="49">
        <v>42312</v>
      </c>
    </row>
    <row r="47" spans="1:7" x14ac:dyDescent="0.25">
      <c r="A47" s="26">
        <v>46</v>
      </c>
      <c r="B47" s="48" t="s">
        <v>122</v>
      </c>
      <c r="C47" s="26" t="s">
        <v>63</v>
      </c>
      <c r="D47" s="26" t="s">
        <v>66</v>
      </c>
      <c r="E47" s="26">
        <v>6</v>
      </c>
      <c r="F47" s="48" t="s">
        <v>40</v>
      </c>
      <c r="G47" s="49">
        <v>42735</v>
      </c>
    </row>
    <row r="48" spans="1:7" x14ac:dyDescent="0.25">
      <c r="A48" s="26">
        <v>47</v>
      </c>
      <c r="B48" s="48" t="s">
        <v>123</v>
      </c>
      <c r="C48" s="26" t="s">
        <v>108</v>
      </c>
      <c r="D48" s="26" t="s">
        <v>64</v>
      </c>
      <c r="E48" s="26">
        <v>14</v>
      </c>
      <c r="F48" s="48" t="s">
        <v>39</v>
      </c>
      <c r="G48" s="49">
        <v>41919</v>
      </c>
    </row>
    <row r="49" spans="1:7" x14ac:dyDescent="0.25">
      <c r="A49" s="26">
        <v>48</v>
      </c>
      <c r="B49" s="48" t="s">
        <v>21</v>
      </c>
      <c r="C49" s="26" t="s">
        <v>70</v>
      </c>
      <c r="D49" s="26" t="s">
        <v>93</v>
      </c>
      <c r="E49" s="26">
        <v>16</v>
      </c>
      <c r="F49" s="48" t="s">
        <v>40</v>
      </c>
      <c r="G49" s="49">
        <v>42004</v>
      </c>
    </row>
    <row r="50" spans="1:7" x14ac:dyDescent="0.25">
      <c r="A50" s="26">
        <v>49</v>
      </c>
      <c r="B50" s="48" t="s">
        <v>115</v>
      </c>
      <c r="C50" s="26" t="s">
        <v>63</v>
      </c>
      <c r="D50" s="26" t="s">
        <v>57</v>
      </c>
      <c r="E50" s="26">
        <v>16</v>
      </c>
      <c r="F50" s="48" t="s">
        <v>39</v>
      </c>
      <c r="G50" s="49">
        <v>39934</v>
      </c>
    </row>
    <row r="51" spans="1:7" x14ac:dyDescent="0.25">
      <c r="A51" s="26">
        <v>50</v>
      </c>
      <c r="B51" s="48" t="s">
        <v>58</v>
      </c>
      <c r="C51" s="26" t="s">
        <v>78</v>
      </c>
      <c r="D51" s="26" t="s">
        <v>73</v>
      </c>
      <c r="E51" s="26">
        <v>18</v>
      </c>
      <c r="F51" s="48" t="s">
        <v>39</v>
      </c>
      <c r="G51" s="49">
        <v>40239</v>
      </c>
    </row>
    <row r="52" spans="1:7" x14ac:dyDescent="0.25">
      <c r="A52" s="26">
        <v>51</v>
      </c>
      <c r="B52" s="48" t="s">
        <v>124</v>
      </c>
      <c r="C52" s="26" t="s">
        <v>70</v>
      </c>
      <c r="D52" s="48" t="s">
        <v>93</v>
      </c>
      <c r="E52" s="26">
        <v>18</v>
      </c>
      <c r="F52" s="48" t="s">
        <v>40</v>
      </c>
      <c r="G52" s="49">
        <v>42347</v>
      </c>
    </row>
    <row r="53" spans="1:7" x14ac:dyDescent="0.25">
      <c r="G53" s="27"/>
    </row>
    <row r="54" spans="1:7" x14ac:dyDescent="0.25">
      <c r="G54" s="27"/>
    </row>
    <row r="55" spans="1:7" x14ac:dyDescent="0.25">
      <c r="G55" s="27"/>
    </row>
    <row r="56" spans="1:7" x14ac:dyDescent="0.25">
      <c r="G56" s="27"/>
    </row>
    <row r="57" spans="1:7" x14ac:dyDescent="0.25">
      <c r="G57" s="27"/>
    </row>
    <row r="58" spans="1:7" x14ac:dyDescent="0.25">
      <c r="G58" s="27"/>
    </row>
    <row r="59" spans="1:7" x14ac:dyDescent="0.25">
      <c r="G59" s="27"/>
    </row>
  </sheetData>
  <mergeCells count="3">
    <mergeCell ref="L2:L3"/>
    <mergeCell ref="K2:K3"/>
    <mergeCell ref="J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="85" zoomScaleNormal="85" workbookViewId="0"/>
  </sheetViews>
  <sheetFormatPr baseColWidth="10" defaultRowHeight="15" x14ac:dyDescent="0.25"/>
  <cols>
    <col min="1" max="1" width="13.7109375" style="27" customWidth="1"/>
    <col min="2" max="2" width="25.7109375" bestFit="1" customWidth="1"/>
    <col min="3" max="3" width="15" customWidth="1"/>
    <col min="4" max="4" width="18" style="27" customWidth="1"/>
    <col min="5" max="5" width="11.42578125" style="27" bestFit="1" customWidth="1"/>
    <col min="6" max="6" width="15.7109375" style="32" customWidth="1"/>
    <col min="7" max="7" width="5.7109375" customWidth="1"/>
    <col min="8" max="8" width="14.7109375" customWidth="1"/>
  </cols>
  <sheetData>
    <row r="1" spans="1:12" ht="33" customHeight="1" thickBot="1" x14ac:dyDescent="0.3">
      <c r="A1" s="33" t="s">
        <v>128</v>
      </c>
      <c r="B1" s="33" t="s">
        <v>53</v>
      </c>
      <c r="C1" s="33" t="s">
        <v>37</v>
      </c>
      <c r="D1" s="34" t="s">
        <v>94</v>
      </c>
      <c r="E1" s="33" t="s">
        <v>95</v>
      </c>
      <c r="F1" s="35" t="s">
        <v>97</v>
      </c>
      <c r="H1" s="27"/>
      <c r="I1" s="27"/>
      <c r="J1" s="27"/>
    </row>
    <row r="2" spans="1:12" ht="15.75" thickBot="1" x14ac:dyDescent="0.3">
      <c r="A2" s="26">
        <f>'E3'!A2</f>
        <v>1</v>
      </c>
      <c r="B2" s="26" t="str">
        <f>'E3'!B2</f>
        <v>Sebastian</v>
      </c>
      <c r="C2" s="26" t="str">
        <f>IF('E3'!E2&lt;10,"Infantil",IF('E3'!E2&lt;14,"Alevín","Juvenil"))</f>
        <v>Alevín</v>
      </c>
      <c r="D2" s="26" t="str">
        <f>'E3'!F2</f>
        <v>Fútbol</v>
      </c>
      <c r="E2" s="28">
        <f>2019-(YEAR('E3'!G2))</f>
        <v>9</v>
      </c>
      <c r="F2" s="25">
        <f>IF(E2&lt;=2,'E3'!$J$4,IF(E2&lt;=5,'E3'!$J$4-'E3'!$J$4*'E3'!$K$4,'E3'!$J$4-'E3'!$J$4*'E3'!$L$4))</f>
        <v>17</v>
      </c>
      <c r="H2" s="102" t="s">
        <v>104</v>
      </c>
      <c r="I2" s="103"/>
      <c r="J2" s="103"/>
      <c r="K2" s="104"/>
      <c r="L2" s="27"/>
    </row>
    <row r="3" spans="1:12" ht="15.75" thickBot="1" x14ac:dyDescent="0.3">
      <c r="A3" s="26">
        <f>'E3'!A3</f>
        <v>2</v>
      </c>
      <c r="B3" s="26" t="str">
        <f>'E3'!B3</f>
        <v>Sandra</v>
      </c>
      <c r="C3" s="26" t="str">
        <f>IF('E3'!E3&lt;10,"Infantil",IF('E3'!E3&lt;14,"Alevín","Juvenil"))</f>
        <v>Juvenil</v>
      </c>
      <c r="D3" s="26" t="str">
        <f>'E3'!F3</f>
        <v>Baloncesto</v>
      </c>
      <c r="E3" s="28">
        <f>2019-(YEAR('E3'!G3))</f>
        <v>8</v>
      </c>
      <c r="F3" s="25">
        <f>IF(E3&lt;=2,'E3'!$J$4,IF(E3&lt;=5,'E3'!$J$4-'E3'!$J$4*'E3'!$K$4,'E3'!$J$4-'E3'!$J$4*'E3'!$L$4))</f>
        <v>17</v>
      </c>
      <c r="H3" s="40"/>
      <c r="I3" s="44" t="s">
        <v>40</v>
      </c>
      <c r="J3" s="47" t="s">
        <v>39</v>
      </c>
      <c r="K3" s="41" t="s">
        <v>106</v>
      </c>
    </row>
    <row r="4" spans="1:12" ht="15.75" thickBot="1" x14ac:dyDescent="0.3">
      <c r="A4" s="26">
        <f>'E3'!A4</f>
        <v>3</v>
      </c>
      <c r="B4" s="26" t="str">
        <f>'E3'!B4</f>
        <v>Gerardo</v>
      </c>
      <c r="C4" s="26" t="str">
        <f>IF('E3'!E4&lt;10,"Infantil",IF('E3'!E4&lt;14,"Alevín","Juvenil"))</f>
        <v>Juvenil</v>
      </c>
      <c r="D4" s="26" t="str">
        <f>'E3'!F4</f>
        <v>Baloncesto</v>
      </c>
      <c r="E4" s="28">
        <f>2019-(YEAR('E3'!G4))</f>
        <v>9</v>
      </c>
      <c r="F4" s="25">
        <f>IF(E4&lt;=2,'E3'!$J$4,IF(E4&lt;=5,'E3'!$J$4-'E3'!$J$4*'E3'!$K$4,'E3'!$J$4-'E3'!$J$4*'E3'!$L$4))</f>
        <v>17</v>
      </c>
      <c r="H4" s="37" t="s">
        <v>103</v>
      </c>
      <c r="I4" s="45">
        <f>COUNTIFS($C$2:$C$52,$H$4,$D$2:$D$52,I3)</f>
        <v>9</v>
      </c>
      <c r="J4" s="45">
        <f>COUNTIFS($C$2:$C$52,H4,$D$2:$D$52,$J$3)</f>
        <v>7</v>
      </c>
      <c r="K4" s="42">
        <f>SUM(I4:J4)</f>
        <v>16</v>
      </c>
    </row>
    <row r="5" spans="1:12" ht="15.75" thickBot="1" x14ac:dyDescent="0.3">
      <c r="A5" s="26">
        <f>'E3'!A5</f>
        <v>4</v>
      </c>
      <c r="B5" s="26" t="str">
        <f>'E3'!B5</f>
        <v>Pedro</v>
      </c>
      <c r="C5" s="26" t="str">
        <f>IF('E3'!E5&lt;10,"Infantil",IF('E3'!E5&lt;14,"Alevín","Juvenil"))</f>
        <v>Alevín</v>
      </c>
      <c r="D5" s="26" t="str">
        <f>'E3'!F5</f>
        <v>Fútbol</v>
      </c>
      <c r="E5" s="28">
        <f>2019-(YEAR('E3'!G5))</f>
        <v>8</v>
      </c>
      <c r="F5" s="25">
        <f>IF(E5&lt;=2,'E3'!$J$4,IF(E5&lt;=5,'E3'!$J$4-'E3'!$J$4*'E3'!$K$4,'E3'!$J$4-'E3'!$J$4*'E3'!$L$4))</f>
        <v>17</v>
      </c>
      <c r="H5" s="38" t="s">
        <v>101</v>
      </c>
      <c r="I5" s="45">
        <f t="shared" ref="I5:I6" si="0">COUNTIFS($C$2:$C$52,H5,$D$2:$D$52,$I$3)</f>
        <v>10</v>
      </c>
      <c r="J5" s="45">
        <f t="shared" ref="J5:J6" si="1">COUNTIFS($C$2:$C$52,H5,$D$2:$D$52,$J$3)</f>
        <v>5</v>
      </c>
      <c r="K5" s="42">
        <f t="shared" ref="K5:K7" si="2">SUM(I5:J5)</f>
        <v>15</v>
      </c>
    </row>
    <row r="6" spans="1:12" ht="15.75" thickBot="1" x14ac:dyDescent="0.3">
      <c r="A6" s="26">
        <f>'E3'!A6</f>
        <v>5</v>
      </c>
      <c r="B6" s="26" t="str">
        <f>'E3'!B6</f>
        <v>Sandra</v>
      </c>
      <c r="C6" s="26" t="str">
        <f>IF('E3'!E6&lt;10,"Infantil",IF('E3'!E6&lt;14,"Alevín","Juvenil"))</f>
        <v>Alevín</v>
      </c>
      <c r="D6" s="26" t="str">
        <f>'E3'!F6</f>
        <v>Baloncesto</v>
      </c>
      <c r="E6" s="28">
        <f>2019-(YEAR('E3'!G6))</f>
        <v>8</v>
      </c>
      <c r="F6" s="25">
        <f>IF(E6&lt;=2,'E3'!$J$4,IF(E6&lt;=5,'E3'!$J$4-'E3'!$J$4*'E3'!$K$4,'E3'!$J$4-'E3'!$J$4*'E3'!$L$4))</f>
        <v>17</v>
      </c>
      <c r="H6" s="39" t="s">
        <v>102</v>
      </c>
      <c r="I6" s="45">
        <f t="shared" si="0"/>
        <v>11</v>
      </c>
      <c r="J6" s="45">
        <f t="shared" si="1"/>
        <v>9</v>
      </c>
      <c r="K6" s="42">
        <f t="shared" si="2"/>
        <v>20</v>
      </c>
    </row>
    <row r="7" spans="1:12" ht="15.75" thickBot="1" x14ac:dyDescent="0.3">
      <c r="A7" s="26">
        <f>'E3'!A7</f>
        <v>6</v>
      </c>
      <c r="B7" s="26" t="str">
        <f>'E3'!B7</f>
        <v>Alicia</v>
      </c>
      <c r="C7" s="26" t="str">
        <f>IF('E3'!E7&lt;10,"Infantil",IF('E3'!E7&lt;14,"Alevín","Juvenil"))</f>
        <v>Infantil</v>
      </c>
      <c r="D7" s="26" t="str">
        <f>'E3'!F7</f>
        <v>Fútbol</v>
      </c>
      <c r="E7" s="28">
        <f>2019-(YEAR('E3'!G7))</f>
        <v>2</v>
      </c>
      <c r="F7" s="25">
        <f>IF(E7&lt;=2,'E3'!$J$4,IF(E7&lt;=5,'E3'!$J$4-'E3'!$J$4*'E3'!$K$4,'E3'!$J$4-'E3'!$J$4*'E3'!$L$4))</f>
        <v>20</v>
      </c>
      <c r="H7" s="36" t="s">
        <v>106</v>
      </c>
      <c r="I7" s="51">
        <f>SUM(I4:I6)</f>
        <v>30</v>
      </c>
      <c r="J7" s="51">
        <f>SUM(J4:J6)</f>
        <v>21</v>
      </c>
      <c r="K7" s="109">
        <f t="shared" si="2"/>
        <v>51</v>
      </c>
      <c r="L7" s="2"/>
    </row>
    <row r="8" spans="1:12" ht="15.75" thickBot="1" x14ac:dyDescent="0.3">
      <c r="A8" s="26">
        <f>'E3'!A8</f>
        <v>7</v>
      </c>
      <c r="B8" s="26" t="str">
        <f>'E3'!B8</f>
        <v>Luisa</v>
      </c>
      <c r="C8" s="26" t="str">
        <f>IF('E3'!E8&lt;10,"Infantil",IF('E3'!E8&lt;14,"Alevín","Juvenil"))</f>
        <v>Infantil</v>
      </c>
      <c r="D8" s="26" t="str">
        <f>'E3'!F8</f>
        <v>Baloncesto</v>
      </c>
      <c r="E8" s="28">
        <f>2019-(YEAR('E3'!G8))</f>
        <v>3</v>
      </c>
      <c r="F8" s="25">
        <f>IF(E8&lt;=2,'E3'!$J$4,IF(E8&lt;=5,'E3'!$J$4-'E3'!$J$4*'E3'!$K$4,'E3'!$J$4-'E3'!$J$4*'E3'!$L$4))</f>
        <v>18.399999999999999</v>
      </c>
    </row>
    <row r="9" spans="1:12" ht="15.75" thickBot="1" x14ac:dyDescent="0.3">
      <c r="A9" s="26">
        <f>'E3'!A9</f>
        <v>8</v>
      </c>
      <c r="B9" s="26" t="str">
        <f>'E3'!B9</f>
        <v>Alberto</v>
      </c>
      <c r="C9" s="26" t="str">
        <f>IF('E3'!E9&lt;10,"Infantil",IF('E3'!E9&lt;14,"Alevín","Juvenil"))</f>
        <v>Alevín</v>
      </c>
      <c r="D9" s="26" t="str">
        <f>'E3'!F9</f>
        <v>Fútbol</v>
      </c>
      <c r="E9" s="28">
        <f>2019-(YEAR('E3'!G9))</f>
        <v>4</v>
      </c>
      <c r="F9" s="25">
        <f>IF(E9&lt;=2,'E3'!$J$4,IF(E9&lt;=5,'E3'!$J$4-'E3'!$J$4*'E3'!$K$4,'E3'!$J$4-'E3'!$J$4*'E3'!$L$4))</f>
        <v>18.399999999999999</v>
      </c>
      <c r="H9" s="102" t="s">
        <v>105</v>
      </c>
      <c r="I9" s="103"/>
      <c r="J9" s="103"/>
      <c r="K9" s="104"/>
      <c r="L9" s="27"/>
    </row>
    <row r="10" spans="1:12" ht="15.75" thickBot="1" x14ac:dyDescent="0.3">
      <c r="A10" s="26">
        <f>'E3'!A10</f>
        <v>9</v>
      </c>
      <c r="B10" s="26" t="str">
        <f>'E3'!B10</f>
        <v>Juan</v>
      </c>
      <c r="C10" s="26" t="str">
        <f>IF('E3'!E10&lt;10,"Infantil",IF('E3'!E10&lt;14,"Alevín","Juvenil"))</f>
        <v>Alevín</v>
      </c>
      <c r="D10" s="26" t="str">
        <f>'E3'!F10</f>
        <v>Fútbol</v>
      </c>
      <c r="E10" s="28">
        <f>2019-(YEAR('E3'!G10))</f>
        <v>3</v>
      </c>
      <c r="F10" s="25">
        <f>IF(E10&lt;=2,'E3'!$J$4,IF(E10&lt;=5,'E3'!$J$4-'E3'!$J$4*'E3'!$K$4,'E3'!$J$4-'E3'!$J$4*'E3'!$L$4))</f>
        <v>18.399999999999999</v>
      </c>
      <c r="H10" s="40"/>
      <c r="I10" s="44" t="s">
        <v>40</v>
      </c>
      <c r="J10" s="47" t="s">
        <v>39</v>
      </c>
      <c r="K10" s="41" t="s">
        <v>106</v>
      </c>
    </row>
    <row r="11" spans="1:12" ht="15.75" thickBot="1" x14ac:dyDescent="0.3">
      <c r="A11" s="26">
        <f>'E3'!A11</f>
        <v>10</v>
      </c>
      <c r="B11" s="26" t="str">
        <f>'E3'!B11</f>
        <v>Alicia</v>
      </c>
      <c r="C11" s="26" t="str">
        <f>IF('E3'!E11&lt;10,"Infantil",IF('E3'!E11&lt;14,"Alevín","Juvenil"))</f>
        <v>Juvenil</v>
      </c>
      <c r="D11" s="26" t="str">
        <f>'E3'!F11</f>
        <v>Fútbol</v>
      </c>
      <c r="E11" s="28">
        <f>2019-(YEAR('E3'!G11))</f>
        <v>10</v>
      </c>
      <c r="F11" s="25">
        <f>IF(E11&lt;=2,'E3'!$J$4,IF(E11&lt;=5,'E3'!$J$4-'E3'!$J$4*'E3'!$K$4,'E3'!$J$4-'E3'!$J$4*'E3'!$L$4))</f>
        <v>17</v>
      </c>
      <c r="H11" s="37" t="s">
        <v>103</v>
      </c>
      <c r="I11" s="46">
        <f>SUMIFS($F$2:$F$52,$C$2:$C$52,H11,$D$2:$D$52,$I$10)</f>
        <v>170.4</v>
      </c>
      <c r="J11" s="46">
        <f>SUMIFS($F$2:$F$52,$C$2:$C$52,H11,$D$2:$D$52,$J$10)</f>
        <v>130.4</v>
      </c>
      <c r="K11" s="43">
        <f>(SUM(I11:J11))</f>
        <v>300.8</v>
      </c>
    </row>
    <row r="12" spans="1:12" ht="15.75" thickBot="1" x14ac:dyDescent="0.3">
      <c r="A12" s="26">
        <f>'E3'!A12</f>
        <v>11</v>
      </c>
      <c r="B12" s="26" t="str">
        <f>'E3'!B12</f>
        <v>Marisol</v>
      </c>
      <c r="C12" s="26" t="str">
        <f>IF('E3'!E12&lt;10,"Infantil",IF('E3'!E12&lt;14,"Alevín","Juvenil"))</f>
        <v>Alevín</v>
      </c>
      <c r="D12" s="26" t="str">
        <f>'E3'!F12</f>
        <v>Fútbol</v>
      </c>
      <c r="E12" s="28">
        <f>2019-(YEAR('E3'!G12))</f>
        <v>5</v>
      </c>
      <c r="F12" s="25">
        <f>IF(E12&lt;=2,'E3'!$J$4,IF(E12&lt;=5,'E3'!$J$4-'E3'!$J$4*'E3'!$K$4,'E3'!$J$4-'E3'!$J$4*'E3'!$L$4))</f>
        <v>18.399999999999999</v>
      </c>
      <c r="H12" s="38" t="s">
        <v>101</v>
      </c>
      <c r="I12" s="46">
        <f t="shared" ref="I12:I13" si="3">SUMIFS($F$2:$F$52,$C$2:$C$52,H12,$D$2:$D$52,$I$10)</f>
        <v>177</v>
      </c>
      <c r="J12" s="46">
        <f t="shared" ref="J12:J13" si="4">SUMIFS($F$2:$F$52,$C$2:$C$52,H12,$D$2:$D$52,$J$10)</f>
        <v>89.199999999999989</v>
      </c>
      <c r="K12" s="43">
        <f t="shared" ref="K12:K14" si="5">(SUM(I12:J12))</f>
        <v>266.2</v>
      </c>
    </row>
    <row r="13" spans="1:12" ht="15.75" thickBot="1" x14ac:dyDescent="0.3">
      <c r="A13" s="26">
        <f>'E3'!A13</f>
        <v>12</v>
      </c>
      <c r="B13" s="26" t="str">
        <f>'E3'!B13</f>
        <v>Jose</v>
      </c>
      <c r="C13" s="26" t="str">
        <f>IF('E3'!E13&lt;10,"Infantil",IF('E3'!E13&lt;14,"Alevín","Juvenil"))</f>
        <v>Alevín</v>
      </c>
      <c r="D13" s="26" t="str">
        <f>'E3'!F13</f>
        <v>Baloncesto</v>
      </c>
      <c r="E13" s="28">
        <f>2019-(YEAR('E3'!G13))</f>
        <v>5</v>
      </c>
      <c r="F13" s="25">
        <f>IF(E13&lt;=2,'E3'!$J$4,IF(E13&lt;=5,'E3'!$J$4-'E3'!$J$4*'E3'!$K$4,'E3'!$J$4-'E3'!$J$4*'E3'!$L$4))</f>
        <v>18.399999999999999</v>
      </c>
      <c r="H13" s="39" t="s">
        <v>102</v>
      </c>
      <c r="I13" s="46">
        <f t="shared" si="3"/>
        <v>191.20000000000002</v>
      </c>
      <c r="J13" s="46">
        <f t="shared" si="4"/>
        <v>157.4</v>
      </c>
      <c r="K13" s="43">
        <f t="shared" si="5"/>
        <v>348.6</v>
      </c>
    </row>
    <row r="14" spans="1:12" ht="15.75" thickBot="1" x14ac:dyDescent="0.3">
      <c r="A14" s="26">
        <f>'E3'!A14</f>
        <v>13</v>
      </c>
      <c r="B14" s="26" t="str">
        <f>'E3'!B14</f>
        <v>Luisa</v>
      </c>
      <c r="C14" s="26" t="str">
        <f>IF('E3'!E14&lt;10,"Infantil",IF('E3'!E14&lt;14,"Alevín","Juvenil"))</f>
        <v>Juvenil</v>
      </c>
      <c r="D14" s="26" t="str">
        <f>'E3'!F14</f>
        <v>Baloncesto</v>
      </c>
      <c r="E14" s="28">
        <f>2019-(YEAR('E3'!G14))</f>
        <v>10</v>
      </c>
      <c r="F14" s="25">
        <f>IF(E14&lt;=2,'E3'!$J$4,IF(E14&lt;=5,'E3'!$J$4-'E3'!$J$4*'E3'!$K$4,'E3'!$J$4-'E3'!$J$4*'E3'!$L$4))</f>
        <v>17</v>
      </c>
      <c r="H14" s="36" t="s">
        <v>106</v>
      </c>
      <c r="I14" s="50">
        <f>SUM(I11:I13)</f>
        <v>538.6</v>
      </c>
      <c r="J14" s="50">
        <f>SUM(J11:J13)</f>
        <v>377</v>
      </c>
      <c r="K14" s="110">
        <f t="shared" si="5"/>
        <v>915.6</v>
      </c>
    </row>
    <row r="15" spans="1:12" x14ac:dyDescent="0.25">
      <c r="A15" s="26">
        <f>'E3'!A15</f>
        <v>14</v>
      </c>
      <c r="B15" s="26" t="str">
        <f>'E3'!B15</f>
        <v>Marta</v>
      </c>
      <c r="C15" s="26" t="str">
        <f>IF('E3'!E15&lt;10,"Infantil",IF('E3'!E15&lt;14,"Alevín","Juvenil"))</f>
        <v>Infantil</v>
      </c>
      <c r="D15" s="26" t="str">
        <f>'E3'!F15</f>
        <v>Fútbol</v>
      </c>
      <c r="E15" s="28">
        <f>2019-(YEAR('E3'!G15))</f>
        <v>3</v>
      </c>
      <c r="F15" s="25">
        <f>IF(E15&lt;=2,'E3'!$J$4,IF(E15&lt;=5,'E3'!$J$4-'E3'!$J$4*'E3'!$K$4,'E3'!$J$4-'E3'!$J$4*'E3'!$L$4))</f>
        <v>18.399999999999999</v>
      </c>
    </row>
    <row r="16" spans="1:12" x14ac:dyDescent="0.25">
      <c r="A16" s="26">
        <f>'E3'!A16</f>
        <v>15</v>
      </c>
      <c r="B16" s="26" t="str">
        <f>'E3'!B16</f>
        <v>Soledad</v>
      </c>
      <c r="C16" s="26" t="str">
        <f>IF('E3'!E16&lt;10,"Infantil",IF('E3'!E16&lt;14,"Alevín","Juvenil"))</f>
        <v>Alevín</v>
      </c>
      <c r="D16" s="26" t="str">
        <f>'E3'!F16</f>
        <v>Fútbol</v>
      </c>
      <c r="E16" s="28">
        <f>2019-(YEAR('E3'!G16))</f>
        <v>6</v>
      </c>
      <c r="F16" s="25">
        <f>IF(E16&lt;=2,'E3'!$J$4,IF(E16&lt;=5,'E3'!$J$4-'E3'!$J$4*'E3'!$K$4,'E3'!$J$4-'E3'!$J$4*'E3'!$L$4))</f>
        <v>17</v>
      </c>
    </row>
    <row r="17" spans="1:6" x14ac:dyDescent="0.25">
      <c r="A17" s="26">
        <f>'E3'!A17</f>
        <v>16</v>
      </c>
      <c r="B17" s="26" t="str">
        <f>'E3'!B17</f>
        <v>Carmen</v>
      </c>
      <c r="C17" s="26" t="str">
        <f>IF('E3'!E17&lt;10,"Infantil",IF('E3'!E17&lt;14,"Alevín","Juvenil"))</f>
        <v>Infantil</v>
      </c>
      <c r="D17" s="26" t="str">
        <f>'E3'!F17</f>
        <v>Baloncesto</v>
      </c>
      <c r="E17" s="28">
        <f>2019-(YEAR('E3'!G17))</f>
        <v>3</v>
      </c>
      <c r="F17" s="25">
        <f>IF(E17&lt;=2,'E3'!$J$4,IF(E17&lt;=5,'E3'!$J$4-'E3'!$J$4*'E3'!$K$4,'E3'!$J$4-'E3'!$J$4*'E3'!$L$4))</f>
        <v>18.399999999999999</v>
      </c>
    </row>
    <row r="18" spans="1:6" x14ac:dyDescent="0.25">
      <c r="A18" s="26">
        <f>'E3'!A18</f>
        <v>17</v>
      </c>
      <c r="B18" s="26" t="str">
        <f>'E3'!B18</f>
        <v>Patricia</v>
      </c>
      <c r="C18" s="26" t="str">
        <f>IF('E3'!E18&lt;10,"Infantil",IF('E3'!E18&lt;14,"Alevín","Juvenil"))</f>
        <v>Infantil</v>
      </c>
      <c r="D18" s="26" t="str">
        <f>'E3'!F18</f>
        <v>Fútbol</v>
      </c>
      <c r="E18" s="28">
        <f>2019-(YEAR('E3'!G18))</f>
        <v>2</v>
      </c>
      <c r="F18" s="25">
        <f>IF(E18&lt;=2,'E3'!$J$4,IF(E18&lt;=5,'E3'!$J$4-'E3'!$J$4*'E3'!$K$4,'E3'!$J$4-'E3'!$J$4*'E3'!$L$4))</f>
        <v>20</v>
      </c>
    </row>
    <row r="19" spans="1:6" x14ac:dyDescent="0.25">
      <c r="A19" s="26">
        <f>'E3'!A19</f>
        <v>18</v>
      </c>
      <c r="B19" s="26" t="str">
        <f>'E3'!B19</f>
        <v>Bárbara</v>
      </c>
      <c r="C19" s="26" t="str">
        <f>IF('E3'!E19&lt;10,"Infantil",IF('E3'!E19&lt;14,"Alevín","Juvenil"))</f>
        <v>Infantil</v>
      </c>
      <c r="D19" s="26" t="str">
        <f>'E3'!F19</f>
        <v>Fútbol</v>
      </c>
      <c r="E19" s="28">
        <f>2019-(YEAR('E3'!G19))</f>
        <v>4</v>
      </c>
      <c r="F19" s="25">
        <f>IF(E19&lt;=2,'E3'!$J$4,IF(E19&lt;=5,'E3'!$J$4-'E3'!$J$4*'E3'!$K$4,'E3'!$J$4-'E3'!$J$4*'E3'!$L$4))</f>
        <v>18.399999999999999</v>
      </c>
    </row>
    <row r="20" spans="1:6" x14ac:dyDescent="0.25">
      <c r="A20" s="26">
        <f>'E3'!A20</f>
        <v>19</v>
      </c>
      <c r="B20" s="26" t="str">
        <f>'E3'!B20</f>
        <v>Bernardo</v>
      </c>
      <c r="C20" s="26" t="str">
        <f>IF('E3'!E20&lt;10,"Infantil",IF('E3'!E20&lt;14,"Alevín","Juvenil"))</f>
        <v>Juvenil</v>
      </c>
      <c r="D20" s="26" t="str">
        <f>'E3'!F20</f>
        <v>Baloncesto</v>
      </c>
      <c r="E20" s="28">
        <f>2019-(YEAR('E3'!G20))</f>
        <v>9</v>
      </c>
      <c r="F20" s="25">
        <f>IF(E20&lt;=2,'E3'!$J$4,IF(E20&lt;=5,'E3'!$J$4-'E3'!$J$4*'E3'!$K$4,'E3'!$J$4-'E3'!$J$4*'E3'!$L$4))</f>
        <v>17</v>
      </c>
    </row>
    <row r="21" spans="1:6" x14ac:dyDescent="0.25">
      <c r="A21" s="26">
        <f>'E3'!A21</f>
        <v>20</v>
      </c>
      <c r="B21" s="26" t="str">
        <f>'E3'!B21</f>
        <v>Alejandra</v>
      </c>
      <c r="C21" s="26" t="str">
        <f>IF('E3'!E21&lt;10,"Infantil",IF('E3'!E21&lt;14,"Alevín","Juvenil"))</f>
        <v>Juvenil</v>
      </c>
      <c r="D21" s="26" t="str">
        <f>'E3'!F21</f>
        <v>Fútbol</v>
      </c>
      <c r="E21" s="28">
        <f>2019-(YEAR('E3'!G21))</f>
        <v>7</v>
      </c>
      <c r="F21" s="25">
        <f>IF(E21&lt;=2,'E3'!$J$4,IF(E21&lt;=5,'E3'!$J$4-'E3'!$J$4*'E3'!$K$4,'E3'!$J$4-'E3'!$J$4*'E3'!$L$4))</f>
        <v>17</v>
      </c>
    </row>
    <row r="22" spans="1:6" x14ac:dyDescent="0.25">
      <c r="A22" s="26">
        <f>'E3'!A22</f>
        <v>21</v>
      </c>
      <c r="B22" s="26" t="str">
        <f>'E3'!B22</f>
        <v>Carlos</v>
      </c>
      <c r="C22" s="26" t="str">
        <f>IF('E3'!E22&lt;10,"Infantil",IF('E3'!E22&lt;14,"Alevín","Juvenil"))</f>
        <v>Juvenil</v>
      </c>
      <c r="D22" s="26" t="str">
        <f>'E3'!F22</f>
        <v>Fútbol</v>
      </c>
      <c r="E22" s="28">
        <f>2019-(YEAR('E3'!G22))</f>
        <v>10</v>
      </c>
      <c r="F22" s="25">
        <f>IF(E22&lt;=2,'E3'!$J$4,IF(E22&lt;=5,'E3'!$J$4-'E3'!$J$4*'E3'!$K$4,'E3'!$J$4-'E3'!$J$4*'E3'!$L$4))</f>
        <v>17</v>
      </c>
    </row>
    <row r="23" spans="1:6" x14ac:dyDescent="0.25">
      <c r="A23" s="26">
        <f>'E3'!A23</f>
        <v>22</v>
      </c>
      <c r="B23" s="26" t="str">
        <f>'E3'!B23</f>
        <v>Martín</v>
      </c>
      <c r="C23" s="26" t="str">
        <f>IF('E3'!E23&lt;10,"Infantil",IF('E3'!E23&lt;14,"Alevín","Juvenil"))</f>
        <v>Alevín</v>
      </c>
      <c r="D23" s="26" t="str">
        <f>'E3'!F23</f>
        <v>Baloncesto</v>
      </c>
      <c r="E23" s="28">
        <f>2019-(YEAR('E3'!G23))</f>
        <v>8</v>
      </c>
      <c r="F23" s="25">
        <f>IF(E23&lt;=2,'E3'!$J$4,IF(E23&lt;=5,'E3'!$J$4-'E3'!$J$4*'E3'!$K$4,'E3'!$J$4-'E3'!$J$4*'E3'!$L$4))</f>
        <v>17</v>
      </c>
    </row>
    <row r="24" spans="1:6" x14ac:dyDescent="0.25">
      <c r="A24" s="26">
        <f>'E3'!A24</f>
        <v>23</v>
      </c>
      <c r="B24" s="26" t="str">
        <f>'E3'!B24</f>
        <v>Alejandro</v>
      </c>
      <c r="C24" s="26" t="str">
        <f>IF('E3'!E24&lt;10,"Infantil",IF('E3'!E24&lt;14,"Alevín","Juvenil"))</f>
        <v>Infantil</v>
      </c>
      <c r="D24" s="26" t="str">
        <f>'E3'!F24</f>
        <v>Fútbol</v>
      </c>
      <c r="E24" s="28">
        <f>2019-(YEAR('E3'!G24))</f>
        <v>3</v>
      </c>
      <c r="F24" s="25">
        <f>IF(E24&lt;=2,'E3'!$J$4,IF(E24&lt;=5,'E3'!$J$4-'E3'!$J$4*'E3'!$K$4,'E3'!$J$4-'E3'!$J$4*'E3'!$L$4))</f>
        <v>18.399999999999999</v>
      </c>
    </row>
    <row r="25" spans="1:6" x14ac:dyDescent="0.25">
      <c r="A25" s="26">
        <f>'E3'!A25</f>
        <v>24</v>
      </c>
      <c r="B25" s="26" t="str">
        <f>'E3'!B25</f>
        <v>Francisco</v>
      </c>
      <c r="C25" s="26" t="str">
        <f>IF('E3'!E25&lt;10,"Infantil",IF('E3'!E25&lt;14,"Alevín","Juvenil"))</f>
        <v>Juvenil</v>
      </c>
      <c r="D25" s="26" t="str">
        <f>'E3'!F25</f>
        <v>Baloncesto</v>
      </c>
      <c r="E25" s="28">
        <f>2019-(YEAR('E3'!G25))</f>
        <v>2</v>
      </c>
      <c r="F25" s="25">
        <f>IF(E25&lt;=2,'E3'!$J$4,IF(E25&lt;=5,'E3'!$J$4-'E3'!$J$4*'E3'!$K$4,'E3'!$J$4-'E3'!$J$4*'E3'!$L$4))</f>
        <v>20</v>
      </c>
    </row>
    <row r="26" spans="1:6" x14ac:dyDescent="0.25">
      <c r="A26" s="26">
        <f>'E3'!A26</f>
        <v>25</v>
      </c>
      <c r="B26" s="26" t="str">
        <f>'E3'!B26</f>
        <v>Jose</v>
      </c>
      <c r="C26" s="26" t="str">
        <f>IF('E3'!E26&lt;10,"Infantil",IF('E3'!E26&lt;14,"Alevín","Juvenil"))</f>
        <v>Juvenil</v>
      </c>
      <c r="D26" s="26" t="str">
        <f>'E3'!F26</f>
        <v>Fútbol</v>
      </c>
      <c r="E26" s="28">
        <f>2019-(YEAR('E3'!G26))</f>
        <v>3</v>
      </c>
      <c r="F26" s="25">
        <f>IF(E26&lt;=2,'E3'!$J$4,IF(E26&lt;=5,'E3'!$J$4-'E3'!$J$4*'E3'!$K$4,'E3'!$J$4-'E3'!$J$4*'E3'!$L$4))</f>
        <v>18.399999999999999</v>
      </c>
    </row>
    <row r="27" spans="1:6" x14ac:dyDescent="0.25">
      <c r="A27" s="26">
        <f>'E3'!A27</f>
        <v>26</v>
      </c>
      <c r="B27" s="26" t="str">
        <f>'E3'!B27</f>
        <v>Raul</v>
      </c>
      <c r="C27" s="26" t="str">
        <f>IF('E3'!E27&lt;10,"Infantil",IF('E3'!E27&lt;14,"Alevín","Juvenil"))</f>
        <v>Alevín</v>
      </c>
      <c r="D27" s="26" t="str">
        <f>'E3'!F27</f>
        <v>Fútbol</v>
      </c>
      <c r="E27" s="28">
        <f>2019-(YEAR('E3'!G27))</f>
        <v>4</v>
      </c>
      <c r="F27" s="25">
        <f>IF(E27&lt;=2,'E3'!$J$4,IF(E27&lt;=5,'E3'!$J$4-'E3'!$J$4*'E3'!$K$4,'E3'!$J$4-'E3'!$J$4*'E3'!$L$4))</f>
        <v>18.399999999999999</v>
      </c>
    </row>
    <row r="28" spans="1:6" x14ac:dyDescent="0.25">
      <c r="A28" s="26">
        <f>'E3'!A28</f>
        <v>27</v>
      </c>
      <c r="B28" s="26" t="str">
        <f>'E3'!B28</f>
        <v>Irene</v>
      </c>
      <c r="C28" s="26" t="str">
        <f>IF('E3'!E28&lt;10,"Infantil",IF('E3'!E28&lt;14,"Alevín","Juvenil"))</f>
        <v>Infantil</v>
      </c>
      <c r="D28" s="26" t="str">
        <f>'E3'!F28</f>
        <v>Baloncesto</v>
      </c>
      <c r="E28" s="28">
        <f>2019-(YEAR('E3'!G28))</f>
        <v>3</v>
      </c>
      <c r="F28" s="25">
        <f>IF(E28&lt;=2,'E3'!$J$4,IF(E28&lt;=5,'E3'!$J$4-'E3'!$J$4*'E3'!$K$4,'E3'!$J$4-'E3'!$J$4*'E3'!$L$4))</f>
        <v>18.399999999999999</v>
      </c>
    </row>
    <row r="29" spans="1:6" x14ac:dyDescent="0.25">
      <c r="A29" s="26">
        <f>'E3'!A29</f>
        <v>28</v>
      </c>
      <c r="B29" s="26" t="str">
        <f>'E3'!B29</f>
        <v>Noelia</v>
      </c>
      <c r="C29" s="26" t="str">
        <f>IF('E3'!E29&lt;10,"Infantil",IF('E3'!E29&lt;14,"Alevín","Juvenil"))</f>
        <v>Juvenil</v>
      </c>
      <c r="D29" s="26" t="str">
        <f>'E3'!F29</f>
        <v>Fútbol</v>
      </c>
      <c r="E29" s="28">
        <f>2019-(YEAR('E3'!G29))</f>
        <v>10</v>
      </c>
      <c r="F29" s="25">
        <f>IF(E29&lt;=2,'E3'!$J$4,IF(E29&lt;=5,'E3'!$J$4-'E3'!$J$4*'E3'!$K$4,'E3'!$J$4-'E3'!$J$4*'E3'!$L$4))</f>
        <v>17</v>
      </c>
    </row>
    <row r="30" spans="1:6" x14ac:dyDescent="0.25">
      <c r="A30" s="26">
        <f>'E3'!A30</f>
        <v>29</v>
      </c>
      <c r="B30" s="26" t="str">
        <f>'E3'!B30</f>
        <v>Manuela</v>
      </c>
      <c r="C30" s="26" t="str">
        <f>IF('E3'!E30&lt;10,"Infantil",IF('E3'!E30&lt;14,"Alevín","Juvenil"))</f>
        <v>Infantil</v>
      </c>
      <c r="D30" s="26" t="str">
        <f>'E3'!F30</f>
        <v>Baloncesto</v>
      </c>
      <c r="E30" s="28">
        <f>2019-(YEAR('E3'!G30))</f>
        <v>5</v>
      </c>
      <c r="F30" s="25">
        <f>IF(E30&lt;=2,'E3'!$J$4,IF(E30&lt;=5,'E3'!$J$4-'E3'!$J$4*'E3'!$K$4,'E3'!$J$4-'E3'!$J$4*'E3'!$L$4))</f>
        <v>18.399999999999999</v>
      </c>
    </row>
    <row r="31" spans="1:6" x14ac:dyDescent="0.25">
      <c r="A31" s="26">
        <f>'E3'!A31</f>
        <v>30</v>
      </c>
      <c r="B31" s="26" t="str">
        <f>'E3'!B31</f>
        <v>Francisco</v>
      </c>
      <c r="C31" s="26" t="str">
        <f>IF('E3'!E31&lt;10,"Infantil",IF('E3'!E31&lt;14,"Alevín","Juvenil"))</f>
        <v>Alevín</v>
      </c>
      <c r="D31" s="26" t="str">
        <f>'E3'!F31</f>
        <v>Baloncesto</v>
      </c>
      <c r="E31" s="28">
        <f>2019-(YEAR('E3'!G31))</f>
        <v>5</v>
      </c>
      <c r="F31" s="25">
        <f>IF(E31&lt;=2,'E3'!$J$4,IF(E31&lt;=5,'E3'!$J$4-'E3'!$J$4*'E3'!$K$4,'E3'!$J$4-'E3'!$J$4*'E3'!$L$4))</f>
        <v>18.399999999999999</v>
      </c>
    </row>
    <row r="32" spans="1:6" x14ac:dyDescent="0.25">
      <c r="A32" s="26">
        <f>'E3'!A32</f>
        <v>31</v>
      </c>
      <c r="B32" s="26" t="str">
        <f>'E3'!B32</f>
        <v>Jose</v>
      </c>
      <c r="C32" s="26" t="str">
        <f>IF('E3'!E32&lt;10,"Infantil",IF('E3'!E32&lt;14,"Alevín","Juvenil"))</f>
        <v>Alevín</v>
      </c>
      <c r="D32" s="26" t="str">
        <f>'E3'!F32</f>
        <v>Fútbol</v>
      </c>
      <c r="E32" s="28">
        <f>2019-(YEAR('E3'!G32))</f>
        <v>10</v>
      </c>
      <c r="F32" s="25">
        <f>IF(E32&lt;=2,'E3'!$J$4,IF(E32&lt;=5,'E3'!$J$4-'E3'!$J$4*'E3'!$K$4,'E3'!$J$4-'E3'!$J$4*'E3'!$L$4))</f>
        <v>17</v>
      </c>
    </row>
    <row r="33" spans="1:6" x14ac:dyDescent="0.25">
      <c r="A33" s="26">
        <f>'E3'!A33</f>
        <v>32</v>
      </c>
      <c r="B33" s="26" t="str">
        <f>'E3'!B33</f>
        <v>Raul</v>
      </c>
      <c r="C33" s="26" t="str">
        <f>IF('E3'!E33&lt;10,"Infantil",IF('E3'!E33&lt;14,"Alevín","Juvenil"))</f>
        <v>Infantil</v>
      </c>
      <c r="D33" s="26" t="str">
        <f>'E3'!F33</f>
        <v>Fútbol</v>
      </c>
      <c r="E33" s="28">
        <f>2019-(YEAR('E3'!G33))</f>
        <v>3</v>
      </c>
      <c r="F33" s="25">
        <f>IF(E33&lt;=2,'E3'!$J$4,IF(E33&lt;=5,'E3'!$J$4-'E3'!$J$4*'E3'!$K$4,'E3'!$J$4-'E3'!$J$4*'E3'!$L$4))</f>
        <v>18.399999999999999</v>
      </c>
    </row>
    <row r="34" spans="1:6" x14ac:dyDescent="0.25">
      <c r="A34" s="26">
        <f>'E3'!A34</f>
        <v>33</v>
      </c>
      <c r="B34" s="26" t="str">
        <f>'E3'!B34</f>
        <v>Román</v>
      </c>
      <c r="C34" s="26" t="str">
        <f>IF('E3'!E34&lt;10,"Infantil",IF('E3'!E34&lt;14,"Alevín","Juvenil"))</f>
        <v>Alevín</v>
      </c>
      <c r="D34" s="26" t="str">
        <f>'E3'!F34</f>
        <v>Fútbol</v>
      </c>
      <c r="E34" s="28">
        <f>2019-(YEAR('E3'!G34))</f>
        <v>6</v>
      </c>
      <c r="F34" s="25">
        <f>IF(E34&lt;=2,'E3'!$J$4,IF(E34&lt;=5,'E3'!$J$4-'E3'!$J$4*'E3'!$K$4,'E3'!$J$4-'E3'!$J$4*'E3'!$L$4))</f>
        <v>17</v>
      </c>
    </row>
    <row r="35" spans="1:6" x14ac:dyDescent="0.25">
      <c r="A35" s="26">
        <f>'E3'!A35</f>
        <v>34</v>
      </c>
      <c r="B35" s="26" t="str">
        <f>'E3'!B35</f>
        <v>Sergio</v>
      </c>
      <c r="C35" s="26" t="str">
        <f>IF('E3'!E35&lt;10,"Infantil",IF('E3'!E35&lt;14,"Alevín","Juvenil"))</f>
        <v>Alevín</v>
      </c>
      <c r="D35" s="26" t="str">
        <f>'E3'!F35</f>
        <v>Fútbol</v>
      </c>
      <c r="E35" s="28">
        <f>2019-(YEAR('E3'!G35))</f>
        <v>3</v>
      </c>
      <c r="F35" s="25">
        <f>IF(E35&lt;=2,'E3'!$J$4,IF(E35&lt;=5,'E3'!$J$4-'E3'!$J$4*'E3'!$K$4,'E3'!$J$4-'E3'!$J$4*'E3'!$L$4))</f>
        <v>18.399999999999999</v>
      </c>
    </row>
    <row r="36" spans="1:6" x14ac:dyDescent="0.25">
      <c r="A36" s="26">
        <f>'E3'!A36</f>
        <v>35</v>
      </c>
      <c r="B36" s="26" t="str">
        <f>'E3'!B36</f>
        <v>Sergio</v>
      </c>
      <c r="C36" s="26" t="str">
        <f>IF('E3'!E36&lt;10,"Infantil",IF('E3'!E36&lt;14,"Alevín","Juvenil"))</f>
        <v>Infantil</v>
      </c>
      <c r="D36" s="26" t="str">
        <f>'E3'!F36</f>
        <v>Baloncesto</v>
      </c>
      <c r="E36" s="28">
        <f>2019-(YEAR('E3'!G36))</f>
        <v>2</v>
      </c>
      <c r="F36" s="25">
        <f>IF(E36&lt;=2,'E3'!$J$4,IF(E36&lt;=5,'E3'!$J$4-'E3'!$J$4*'E3'!$K$4,'E3'!$J$4-'E3'!$J$4*'E3'!$L$4))</f>
        <v>20</v>
      </c>
    </row>
    <row r="37" spans="1:6" x14ac:dyDescent="0.25">
      <c r="A37" s="26">
        <f>'E3'!A37</f>
        <v>36</v>
      </c>
      <c r="B37" s="26" t="str">
        <f>'E3'!B37</f>
        <v>David</v>
      </c>
      <c r="C37" s="26" t="str">
        <f>IF('E3'!E37&lt;10,"Infantil",IF('E3'!E37&lt;14,"Alevín","Juvenil"))</f>
        <v>Infantil</v>
      </c>
      <c r="D37" s="26" t="str">
        <f>'E3'!F37</f>
        <v>Fútbol</v>
      </c>
      <c r="E37" s="28">
        <f>2019-(YEAR('E3'!G37))</f>
        <v>4</v>
      </c>
      <c r="F37" s="25">
        <f>IF(E37&lt;=2,'E3'!$J$4,IF(E37&lt;=5,'E3'!$J$4-'E3'!$J$4*'E3'!$K$4,'E3'!$J$4-'E3'!$J$4*'E3'!$L$4))</f>
        <v>18.399999999999999</v>
      </c>
    </row>
    <row r="38" spans="1:6" x14ac:dyDescent="0.25">
      <c r="A38" s="26">
        <f>'E3'!A38</f>
        <v>37</v>
      </c>
      <c r="B38" s="26" t="str">
        <f>'E3'!B38</f>
        <v>David</v>
      </c>
      <c r="C38" s="26" t="str">
        <f>IF('E3'!E38&lt;10,"Infantil",IF('E3'!E38&lt;14,"Alevín","Juvenil"))</f>
        <v>Juvenil</v>
      </c>
      <c r="D38" s="26" t="str">
        <f>'E3'!F38</f>
        <v>Fútbol</v>
      </c>
      <c r="E38" s="28">
        <f>2019-(YEAR('E3'!G38))</f>
        <v>9</v>
      </c>
      <c r="F38" s="25">
        <f>IF(E38&lt;=2,'E3'!$J$4,IF(E38&lt;=5,'E3'!$J$4-'E3'!$J$4*'E3'!$K$4,'E3'!$J$4-'E3'!$J$4*'E3'!$L$4))</f>
        <v>17</v>
      </c>
    </row>
    <row r="39" spans="1:6" x14ac:dyDescent="0.25">
      <c r="A39" s="26">
        <f>'E3'!A39</f>
        <v>38</v>
      </c>
      <c r="B39" s="26" t="str">
        <f>'E3'!B39</f>
        <v>Juan</v>
      </c>
      <c r="C39" s="26" t="str">
        <f>IF('E3'!E39&lt;10,"Infantil",IF('E3'!E39&lt;14,"Alevín","Juvenil"))</f>
        <v>Juvenil</v>
      </c>
      <c r="D39" s="26" t="str">
        <f>'E3'!F39</f>
        <v>Fútbol</v>
      </c>
      <c r="E39" s="28">
        <f>2019-(YEAR('E3'!G39))</f>
        <v>7</v>
      </c>
      <c r="F39" s="25">
        <f>IF(E39&lt;=2,'E3'!$J$4,IF(E39&lt;=5,'E3'!$J$4-'E3'!$J$4*'E3'!$K$4,'E3'!$J$4-'E3'!$J$4*'E3'!$L$4))</f>
        <v>17</v>
      </c>
    </row>
    <row r="40" spans="1:6" x14ac:dyDescent="0.25">
      <c r="A40" s="26">
        <f>'E3'!A40</f>
        <v>39</v>
      </c>
      <c r="B40" s="26" t="str">
        <f>'E3'!B40</f>
        <v>Antonio</v>
      </c>
      <c r="C40" s="26" t="str">
        <f>IF('E3'!E40&lt;10,"Infantil",IF('E3'!E40&lt;14,"Alevín","Juvenil"))</f>
        <v>Infantil</v>
      </c>
      <c r="D40" s="26" t="str">
        <f>'E3'!F40</f>
        <v>Baloncesto</v>
      </c>
      <c r="E40" s="28">
        <f>2019-(YEAR('E3'!G40))</f>
        <v>4</v>
      </c>
      <c r="F40" s="25">
        <f>IF(E40&lt;=2,'E3'!$J$4,IF(E40&lt;=5,'E3'!$J$4-'E3'!$J$4*'E3'!$K$4,'E3'!$J$4-'E3'!$J$4*'E3'!$L$4))</f>
        <v>18.399999999999999</v>
      </c>
    </row>
    <row r="41" spans="1:6" x14ac:dyDescent="0.25">
      <c r="A41" s="26">
        <f>'E3'!A41</f>
        <v>40</v>
      </c>
      <c r="B41" s="26" t="str">
        <f>'E3'!B41</f>
        <v>Rosa</v>
      </c>
      <c r="C41" s="26" t="str">
        <f>IF('E3'!E41&lt;10,"Infantil",IF('E3'!E41&lt;14,"Alevín","Juvenil"))</f>
        <v>Juvenil</v>
      </c>
      <c r="D41" s="26" t="str">
        <f>'E3'!F41</f>
        <v>Baloncesto</v>
      </c>
      <c r="E41" s="28">
        <f>2019-(YEAR('E3'!G41))</f>
        <v>8</v>
      </c>
      <c r="F41" s="25">
        <f>IF(E41&lt;=2,'E3'!$J$4,IF(E41&lt;=5,'E3'!$J$4-'E3'!$J$4*'E3'!$K$4,'E3'!$J$4-'E3'!$J$4*'E3'!$L$4))</f>
        <v>17</v>
      </c>
    </row>
    <row r="42" spans="1:6" x14ac:dyDescent="0.25">
      <c r="A42" s="26">
        <f>'E3'!A42</f>
        <v>41</v>
      </c>
      <c r="B42" s="26" t="str">
        <f>'E3'!B42</f>
        <v>María</v>
      </c>
      <c r="C42" s="26" t="str">
        <f>IF('E3'!E42&lt;10,"Infantil",IF('E3'!E42&lt;14,"Alevín","Juvenil"))</f>
        <v>Infantil</v>
      </c>
      <c r="D42" s="26" t="str">
        <f>'E3'!F42</f>
        <v>Fútbol</v>
      </c>
      <c r="E42" s="28">
        <f>2019-(YEAR('E3'!G42))</f>
        <v>2</v>
      </c>
      <c r="F42" s="25">
        <f>IF(E42&lt;=2,'E3'!$J$4,IF(E42&lt;=5,'E3'!$J$4-'E3'!$J$4*'E3'!$K$4,'E3'!$J$4-'E3'!$J$4*'E3'!$L$4))</f>
        <v>20</v>
      </c>
    </row>
    <row r="43" spans="1:6" x14ac:dyDescent="0.25">
      <c r="A43" s="26">
        <f>'E3'!A43</f>
        <v>42</v>
      </c>
      <c r="B43" s="26" t="str">
        <f>'E3'!B43</f>
        <v>Raquel</v>
      </c>
      <c r="C43" s="26" t="str">
        <f>IF('E3'!E43&lt;10,"Infantil",IF('E3'!E43&lt;14,"Alevín","Juvenil"))</f>
        <v>Juvenil</v>
      </c>
      <c r="D43" s="26" t="str">
        <f>'E3'!F43</f>
        <v>Fútbol</v>
      </c>
      <c r="E43" s="28">
        <f>2019-(YEAR('E3'!G43))</f>
        <v>7</v>
      </c>
      <c r="F43" s="25">
        <f>IF(E43&lt;=2,'E3'!$J$4,IF(E43&lt;=5,'E3'!$J$4-'E3'!$J$4*'E3'!$K$4,'E3'!$J$4-'E3'!$J$4*'E3'!$L$4))</f>
        <v>17</v>
      </c>
    </row>
    <row r="44" spans="1:6" x14ac:dyDescent="0.25">
      <c r="A44" s="26">
        <f>'E3'!A44</f>
        <v>43</v>
      </c>
      <c r="B44" s="26" t="str">
        <f>'E3'!B44</f>
        <v>Juan</v>
      </c>
      <c r="C44" s="26" t="str">
        <f>IF('E3'!E44&lt;10,"Infantil",IF('E3'!E44&lt;14,"Alevín","Juvenil"))</f>
        <v>Alevín</v>
      </c>
      <c r="D44" s="26" t="str">
        <f>'E3'!F44</f>
        <v>Baloncesto</v>
      </c>
      <c r="E44" s="28">
        <f>2019-(YEAR('E3'!G44))</f>
        <v>5</v>
      </c>
      <c r="F44" s="25">
        <f>IF(E44&lt;=2,'E3'!$J$4,IF(E44&lt;=5,'E3'!$J$4-'E3'!$J$4*'E3'!$K$4,'E3'!$J$4-'E3'!$J$4*'E3'!$L$4))</f>
        <v>18.399999999999999</v>
      </c>
    </row>
    <row r="45" spans="1:6" x14ac:dyDescent="0.25">
      <c r="A45" s="26">
        <f>'E3'!A45</f>
        <v>44</v>
      </c>
      <c r="B45" s="26" t="str">
        <f>'E3'!B45</f>
        <v>Vicente</v>
      </c>
      <c r="C45" s="26" t="str">
        <f>IF('E3'!E45&lt;10,"Infantil",IF('E3'!E45&lt;14,"Alevín","Juvenil"))</f>
        <v>Juvenil</v>
      </c>
      <c r="D45" s="26" t="str">
        <f>'E3'!F45</f>
        <v>Fútbol</v>
      </c>
      <c r="E45" s="28">
        <f>2019-(YEAR('E3'!G45))</f>
        <v>9</v>
      </c>
      <c r="F45" s="25">
        <f>IF(E45&lt;=2,'E3'!$J$4,IF(E45&lt;=5,'E3'!$J$4-'E3'!$J$4*'E3'!$K$4,'E3'!$J$4-'E3'!$J$4*'E3'!$L$4))</f>
        <v>17</v>
      </c>
    </row>
    <row r="46" spans="1:6" x14ac:dyDescent="0.25">
      <c r="A46" s="26">
        <f>'E3'!A46</f>
        <v>45</v>
      </c>
      <c r="B46" s="26" t="str">
        <f>'E3'!B46</f>
        <v>Natalia</v>
      </c>
      <c r="C46" s="26" t="str">
        <f>IF('E3'!E46&lt;10,"Infantil",IF('E3'!E46&lt;14,"Alevín","Juvenil"))</f>
        <v>Infantil</v>
      </c>
      <c r="D46" s="26" t="str">
        <f>'E3'!F46</f>
        <v>Baloncesto</v>
      </c>
      <c r="E46" s="28">
        <f>2019-(YEAR('E3'!G46))</f>
        <v>4</v>
      </c>
      <c r="F46" s="25">
        <f>IF(E46&lt;=2,'E3'!$J$4,IF(E46&lt;=5,'E3'!$J$4-'E3'!$J$4*'E3'!$K$4,'E3'!$J$4-'E3'!$J$4*'E3'!$L$4))</f>
        <v>18.399999999999999</v>
      </c>
    </row>
    <row r="47" spans="1:6" x14ac:dyDescent="0.25">
      <c r="A47" s="26">
        <f>'E3'!A47</f>
        <v>46</v>
      </c>
      <c r="B47" s="26" t="str">
        <f>'E3'!B47</f>
        <v>Nuria</v>
      </c>
      <c r="C47" s="26" t="str">
        <f>IF('E3'!E47&lt;10,"Infantil",IF('E3'!E47&lt;14,"Alevín","Juvenil"))</f>
        <v>Infantil</v>
      </c>
      <c r="D47" s="26" t="str">
        <f>'E3'!F47</f>
        <v>Fútbol</v>
      </c>
      <c r="E47" s="28">
        <f>2019-(YEAR('E3'!G47))</f>
        <v>3</v>
      </c>
      <c r="F47" s="25">
        <f>IF(E47&lt;=2,'E3'!$J$4,IF(E47&lt;=5,'E3'!$J$4-'E3'!$J$4*'E3'!$K$4,'E3'!$J$4-'E3'!$J$4*'E3'!$L$4))</f>
        <v>18.399999999999999</v>
      </c>
    </row>
    <row r="48" spans="1:6" x14ac:dyDescent="0.25">
      <c r="A48" s="26">
        <f>'E3'!A48</f>
        <v>47</v>
      </c>
      <c r="B48" s="26" t="str">
        <f>'E3'!B48</f>
        <v>Cecilia</v>
      </c>
      <c r="C48" s="26" t="str">
        <f>IF('E3'!E48&lt;10,"Infantil",IF('E3'!E48&lt;14,"Alevín","Juvenil"))</f>
        <v>Juvenil</v>
      </c>
      <c r="D48" s="26" t="str">
        <f>'E3'!F48</f>
        <v>Baloncesto</v>
      </c>
      <c r="E48" s="28">
        <f>2019-(YEAR('E3'!G48))</f>
        <v>5</v>
      </c>
      <c r="F48" s="25">
        <f>IF(E48&lt;=2,'E3'!$J$4,IF(E48&lt;=5,'E3'!$J$4-'E3'!$J$4*'E3'!$K$4,'E3'!$J$4-'E3'!$J$4*'E3'!$L$4))</f>
        <v>18.399999999999999</v>
      </c>
    </row>
    <row r="49" spans="1:6" x14ac:dyDescent="0.25">
      <c r="A49" s="26">
        <f>'E3'!A49</f>
        <v>48</v>
      </c>
      <c r="B49" s="26" t="str">
        <f>'E3'!B49</f>
        <v>Sergio</v>
      </c>
      <c r="C49" s="26" t="str">
        <f>IF('E3'!E49&lt;10,"Infantil",IF('E3'!E49&lt;14,"Alevín","Juvenil"))</f>
        <v>Juvenil</v>
      </c>
      <c r="D49" s="26" t="str">
        <f>'E3'!F49</f>
        <v>Fútbol</v>
      </c>
      <c r="E49" s="28">
        <f>2019-(YEAR('E3'!G49))</f>
        <v>5</v>
      </c>
      <c r="F49" s="25">
        <f>IF(E49&lt;=2,'E3'!$J$4,IF(E49&lt;=5,'E3'!$J$4-'E3'!$J$4*'E3'!$K$4,'E3'!$J$4-'E3'!$J$4*'E3'!$L$4))</f>
        <v>18.399999999999999</v>
      </c>
    </row>
    <row r="50" spans="1:6" x14ac:dyDescent="0.25">
      <c r="A50" s="26">
        <f>'E3'!A50</f>
        <v>49</v>
      </c>
      <c r="B50" s="26" t="str">
        <f>'E3'!B50</f>
        <v>David</v>
      </c>
      <c r="C50" s="26" t="str">
        <f>IF('E3'!E50&lt;10,"Infantil",IF('E3'!E50&lt;14,"Alevín","Juvenil"))</f>
        <v>Juvenil</v>
      </c>
      <c r="D50" s="26" t="str">
        <f>'E3'!F50</f>
        <v>Baloncesto</v>
      </c>
      <c r="E50" s="28">
        <f>2019-(YEAR('E3'!G50))</f>
        <v>10</v>
      </c>
      <c r="F50" s="25">
        <f>IF(E50&lt;=2,'E3'!$J$4,IF(E50&lt;=5,'E3'!$J$4-'E3'!$J$4*'E3'!$K$4,'E3'!$J$4-'E3'!$J$4*'E3'!$L$4))</f>
        <v>17</v>
      </c>
    </row>
    <row r="51" spans="1:6" x14ac:dyDescent="0.25">
      <c r="A51" s="26">
        <f>'E3'!A51</f>
        <v>50</v>
      </c>
      <c r="B51" s="26" t="str">
        <f>'E3'!B51</f>
        <v>Sandra</v>
      </c>
      <c r="C51" s="26" t="str">
        <f>IF('E3'!E51&lt;10,"Infantil",IF('E3'!E51&lt;14,"Alevín","Juvenil"))</f>
        <v>Juvenil</v>
      </c>
      <c r="D51" s="26" t="str">
        <f>'E3'!F51</f>
        <v>Baloncesto</v>
      </c>
      <c r="E51" s="28">
        <f>2019-(YEAR('E3'!G51))</f>
        <v>9</v>
      </c>
      <c r="F51" s="25">
        <f>IF(E51&lt;=2,'E3'!$J$4,IF(E51&lt;=5,'E3'!$J$4-'E3'!$J$4*'E3'!$K$4,'E3'!$J$4-'E3'!$J$4*'E3'!$L$4))</f>
        <v>17</v>
      </c>
    </row>
    <row r="52" spans="1:6" x14ac:dyDescent="0.25">
      <c r="A52" s="26">
        <f>'E3'!A52</f>
        <v>51</v>
      </c>
      <c r="B52" s="26" t="str">
        <f>'E3'!B52</f>
        <v>Sonia</v>
      </c>
      <c r="C52" s="26" t="str">
        <f>IF('E3'!E52&lt;10,"Infantil",IF('E3'!E52&lt;14,"Alevín","Juvenil"))</f>
        <v>Juvenil</v>
      </c>
      <c r="D52" s="26" t="str">
        <f>'E3'!F52</f>
        <v>Fútbol</v>
      </c>
      <c r="E52" s="28">
        <f>2019-(YEAR('E3'!G52))</f>
        <v>4</v>
      </c>
      <c r="F52" s="25">
        <f>IF(E52&lt;=2,'E3'!$J$4,IF(E52&lt;=5,'E3'!$J$4-'E3'!$J$4*'E3'!$K$4,'E3'!$J$4-'E3'!$J$4*'E3'!$L$4))</f>
        <v>18.399999999999999</v>
      </c>
    </row>
  </sheetData>
  <mergeCells count="2">
    <mergeCell ref="H2:K2"/>
    <mergeCell ref="H9:K9"/>
  </mergeCells>
  <dataValidations count="2">
    <dataValidation type="list" allowBlank="1" showInputMessage="1" showErrorMessage="1" sqref="D1 D53:D1048576">
      <formula1>"Baloncesto,Fútbol"</formula1>
    </dataValidation>
    <dataValidation type="list" allowBlank="1" showInputMessage="1" showErrorMessage="1" errorTitle="Regalo" error="Debe indicar si elige Fútbol o Baloncesto" sqref="D2:D52">
      <formula1>"Baloncesto,Fútbol"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baseColWidth="10" defaultRowHeight="15" x14ac:dyDescent="0.25"/>
  <cols>
    <col min="1" max="1" width="29.7109375" customWidth="1"/>
    <col min="2" max="2" width="22.42578125" bestFit="1" customWidth="1"/>
    <col min="3" max="3" width="7.42578125" customWidth="1"/>
    <col min="4" max="5" width="12.5703125" bestFit="1" customWidth="1"/>
  </cols>
  <sheetData>
    <row r="1" spans="1:5" x14ac:dyDescent="0.25">
      <c r="A1" s="84" t="s">
        <v>137</v>
      </c>
      <c r="B1" s="84" t="s">
        <v>136</v>
      </c>
    </row>
    <row r="2" spans="1:5" x14ac:dyDescent="0.25">
      <c r="A2" s="84" t="s">
        <v>134</v>
      </c>
      <c r="B2" s="27" t="s">
        <v>39</v>
      </c>
      <c r="C2" s="27" t="s">
        <v>40</v>
      </c>
      <c r="D2" s="27" t="s">
        <v>135</v>
      </c>
    </row>
    <row r="3" spans="1:5" x14ac:dyDescent="0.25">
      <c r="A3" s="52" t="s">
        <v>101</v>
      </c>
      <c r="B3" s="111">
        <v>89.199999999999989</v>
      </c>
      <c r="C3" s="111">
        <v>177</v>
      </c>
      <c r="D3" s="111">
        <v>266.2</v>
      </c>
    </row>
    <row r="4" spans="1:5" x14ac:dyDescent="0.25">
      <c r="A4" s="52" t="s">
        <v>103</v>
      </c>
      <c r="B4" s="111">
        <v>130.4</v>
      </c>
      <c r="C4" s="111">
        <v>170.4</v>
      </c>
      <c r="D4" s="111">
        <v>300.8</v>
      </c>
    </row>
    <row r="5" spans="1:5" x14ac:dyDescent="0.25">
      <c r="A5" s="52" t="s">
        <v>102</v>
      </c>
      <c r="B5" s="111">
        <v>157.4</v>
      </c>
      <c r="C5" s="111">
        <v>191.20000000000002</v>
      </c>
      <c r="D5" s="111">
        <v>348.6</v>
      </c>
    </row>
    <row r="6" spans="1:5" x14ac:dyDescent="0.25">
      <c r="A6" s="52" t="s">
        <v>135</v>
      </c>
      <c r="B6" s="111">
        <v>377</v>
      </c>
      <c r="C6" s="111">
        <v>538.6</v>
      </c>
      <c r="D6" s="111">
        <v>915.6</v>
      </c>
    </row>
    <row r="8" spans="1:5" x14ac:dyDescent="0.25">
      <c r="A8" s="84" t="s">
        <v>137</v>
      </c>
      <c r="B8" s="84" t="s">
        <v>136</v>
      </c>
    </row>
    <row r="9" spans="1:5" x14ac:dyDescent="0.25">
      <c r="A9" s="84" t="s">
        <v>134</v>
      </c>
      <c r="B9" s="27" t="s">
        <v>101</v>
      </c>
      <c r="C9" s="27" t="s">
        <v>103</v>
      </c>
      <c r="D9" s="27" t="s">
        <v>102</v>
      </c>
      <c r="E9" s="27" t="s">
        <v>135</v>
      </c>
    </row>
    <row r="10" spans="1:5" x14ac:dyDescent="0.25">
      <c r="A10" s="52" t="s">
        <v>39</v>
      </c>
      <c r="B10" s="111">
        <v>89.199999999999989</v>
      </c>
      <c r="C10" s="111">
        <v>130.4</v>
      </c>
      <c r="D10" s="111">
        <v>157.4</v>
      </c>
      <c r="E10" s="111">
        <v>377</v>
      </c>
    </row>
    <row r="11" spans="1:5" x14ac:dyDescent="0.25">
      <c r="A11" s="52" t="s">
        <v>40</v>
      </c>
      <c r="B11" s="111">
        <v>177</v>
      </c>
      <c r="C11" s="111">
        <v>170.4</v>
      </c>
      <c r="D11" s="111">
        <v>191.20000000000002</v>
      </c>
      <c r="E11" s="111">
        <v>538.6</v>
      </c>
    </row>
    <row r="12" spans="1:5" x14ac:dyDescent="0.25">
      <c r="A12" s="52" t="s">
        <v>135</v>
      </c>
      <c r="B12" s="111">
        <v>266.2</v>
      </c>
      <c r="C12" s="111">
        <v>300.8</v>
      </c>
      <c r="D12" s="111">
        <v>348.6</v>
      </c>
      <c r="E12" s="111">
        <v>915.6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2"/>
    </sheetView>
  </sheetViews>
  <sheetFormatPr baseColWidth="10" defaultRowHeight="15" x14ac:dyDescent="0.25"/>
  <cols>
    <col min="1" max="1" width="21.5703125" bestFit="1" customWidth="1"/>
    <col min="2" max="2" width="31.85546875" bestFit="1" customWidth="1"/>
  </cols>
  <sheetData>
    <row r="1" spans="1:3" x14ac:dyDescent="0.25">
      <c r="A1" s="105" t="s">
        <v>129</v>
      </c>
      <c r="B1" s="106"/>
    </row>
    <row r="2" spans="1:3" ht="15.75" customHeight="1" thickBot="1" x14ac:dyDescent="0.3">
      <c r="A2" s="107"/>
      <c r="B2" s="108"/>
      <c r="C2" s="27"/>
    </row>
    <row r="3" spans="1:3" x14ac:dyDescent="0.25">
      <c r="A3" s="85" t="s">
        <v>130</v>
      </c>
      <c r="B3" s="86">
        <v>10</v>
      </c>
      <c r="C3" s="27"/>
    </row>
    <row r="4" spans="1:3" x14ac:dyDescent="0.25">
      <c r="A4" s="87" t="s">
        <v>1</v>
      </c>
      <c r="B4" s="88" t="str">
        <f>VLOOKUP($B$3,'E3 Solución'!$A$1:$F$52,2,FALSE)</f>
        <v>Alicia</v>
      </c>
      <c r="C4" s="27"/>
    </row>
    <row r="5" spans="1:3" x14ac:dyDescent="0.25">
      <c r="A5" s="87" t="s">
        <v>131</v>
      </c>
      <c r="B5" s="88" t="str">
        <f>VLOOKUP($B$3,'E3 Solución'!$A$1:$F$52,3,FALSE)</f>
        <v>Juvenil</v>
      </c>
      <c r="C5" s="27"/>
    </row>
    <row r="6" spans="1:3" x14ac:dyDescent="0.25">
      <c r="A6" s="87" t="s">
        <v>132</v>
      </c>
      <c r="B6" s="88" t="str">
        <f>VLOOKUP($B$3,'E3 Solución'!$A$1:$F$52,4,FALSE)</f>
        <v>Fútbol</v>
      </c>
      <c r="C6" s="27"/>
    </row>
    <row r="7" spans="1:3" x14ac:dyDescent="0.25">
      <c r="A7" s="87" t="s">
        <v>95</v>
      </c>
      <c r="B7" s="88">
        <f>VLOOKUP($B$3,'E3 Solución'!$A$1:$F$52,5,FALSE)</f>
        <v>10</v>
      </c>
      <c r="C7" s="27"/>
    </row>
    <row r="8" spans="1:3" x14ac:dyDescent="0.25">
      <c r="A8" s="87" t="s">
        <v>97</v>
      </c>
      <c r="B8" s="89">
        <f>VLOOKUP($B$3,'E3 Solución'!$A$1:$F$52,6,FALSE)</f>
        <v>17</v>
      </c>
      <c r="C8" s="27"/>
    </row>
    <row r="9" spans="1:3" ht="15.75" thickBot="1" x14ac:dyDescent="0.3">
      <c r="A9" s="90" t="s">
        <v>133</v>
      </c>
      <c r="B9" s="91" t="str">
        <f>IF(B8=20,"No tiene descuento","Sí, tiene descuento")</f>
        <v>Sí, tiene descuento</v>
      </c>
      <c r="C9" s="27"/>
    </row>
    <row r="10" spans="1:3" x14ac:dyDescent="0.25">
      <c r="B10" s="27"/>
      <c r="C10" s="27"/>
    </row>
    <row r="11" spans="1:3" x14ac:dyDescent="0.25">
      <c r="B11" s="27"/>
      <c r="C11" s="27"/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E1</vt:lpstr>
      <vt:lpstr>E2</vt:lpstr>
      <vt:lpstr>E3</vt:lpstr>
      <vt:lpstr>E3 Solución</vt:lpstr>
      <vt:lpstr>Tabla y gráfica dinámica</vt:lpstr>
      <vt:lpstr>E3 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GRADO MEDIO</cp:lastModifiedBy>
  <dcterms:created xsi:type="dcterms:W3CDTF">2017-11-26T18:08:22Z</dcterms:created>
  <dcterms:modified xsi:type="dcterms:W3CDTF">2019-12-10T12:35:25Z</dcterms:modified>
</cp:coreProperties>
</file>