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7"/>
  <workbookPr defaultThemeVersion="124226"/>
  <mc:AlternateContent xmlns:mc="http://schemas.openxmlformats.org/markup-compatibility/2006">
    <mc:Choice Requires="x15">
      <x15ac:absPath xmlns:x15ac="http://schemas.microsoft.com/office/spreadsheetml/2010/11/ac" url="/Users/tejaltandel/Downloads/"/>
    </mc:Choice>
  </mc:AlternateContent>
  <xr:revisionPtr revIDLastSave="0" documentId="13_ncr:1_{B5E8F86F-9DCE-EB46-8FAD-55080828C54F}" xr6:coauthVersionLast="47" xr6:coauthVersionMax="47" xr10:uidLastSave="{00000000-0000-0000-0000-000000000000}"/>
  <bookViews>
    <workbookView xWindow="0" yWindow="0" windowWidth="28800" windowHeight="18000" tabRatio="832" activeTab="3" xr2:uid="{00000000-000D-0000-FFFF-FFFF00000000}"/>
  </bookViews>
  <sheets>
    <sheet name="Dashboard" sheetId="21" r:id="rId1"/>
    <sheet name="Assumptions" sheetId="7" r:id="rId2"/>
    <sheet name="Income Statement" sheetId="22" r:id="rId3"/>
    <sheet name="Balance Sheet" sheetId="1" r:id="rId4"/>
    <sheet name="CFS" sheetId="5" r:id="rId5"/>
    <sheet name="Valuation" sheetId="24" r:id="rId6"/>
    <sheet name="Market Return Calculation" sheetId="25" r:id="rId7"/>
  </sheets>
  <externalReferences>
    <externalReference r:id="rId8"/>
    <externalReference r:id="rId9"/>
  </externalReferences>
  <definedNames>
    <definedName name="Adj_closing_price">OFFSET(#REF!,1,0,COUNT(#REF!),1)</definedName>
    <definedName name="cmdOK2_click">[1]!cmdOK2_click</definedName>
    <definedName name="Date">OFFSET(#REF!,1,0,COUNT(#REF!),1)</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hidden="1">42347.1874074074</definedName>
    <definedName name="IQ_NTM" hidden="1">6000</definedName>
    <definedName name="IQ_QTD" hidden="1">750000</definedName>
    <definedName name="IQ_TODAY" hidden="1">0</definedName>
    <definedName name="IQ_WEEK" hidden="1">50000</definedName>
    <definedName name="IQ_YTD" hidden="1">3000</definedName>
    <definedName name="IQ_YTDMONTH" hidden="1">130000</definedName>
    <definedName name="PAGE1">[2]GROMM!#REF!</definedName>
    <definedName name="PAGE2">#REF!</definedName>
    <definedName name="PE_band_1">OFFSET(#REF!,1,0,COUNT(#REF!),1)</definedName>
    <definedName name="PE_band_2">OFFSET(#REF!,1,0,COUNT(#REF!),1)</definedName>
    <definedName name="PE_band_3">OFFSET(#REF!,1,0,COUNT(#REF!),1)</definedName>
    <definedName name="PE_band_4">OFFSET(#REF!,1,0,COUNT(#REF!),1)</definedName>
    <definedName name="PE_band_5">OFFSET(#REF!,1,0,COUNT(#REF!),1)</definedName>
    <definedName name="Price">[1]Template!#REF!</definedName>
    <definedName name="Print_Area_MI">#REF!</definedName>
    <definedName name="startCompany">[1]Sheet1!#REF!</definedName>
    <definedName name="Uni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22" l="1"/>
  <c r="C19" i="7"/>
  <c r="E40" i="1"/>
  <c r="F40" i="1" s="1"/>
  <c r="G40" i="1" s="1"/>
  <c r="H40" i="1" s="1"/>
  <c r="I40" i="1" s="1"/>
  <c r="J40" i="1" s="1"/>
  <c r="K40" i="1" s="1"/>
  <c r="L40" i="1" s="1"/>
  <c r="B20" i="7"/>
  <c r="D40" i="24" l="1"/>
  <c r="C40" i="24"/>
  <c r="C37" i="24"/>
  <c r="D37" i="24"/>
  <c r="B37" i="24"/>
  <c r="D27" i="24"/>
  <c r="C27" i="24"/>
  <c r="B27" i="24"/>
  <c r="E60" i="1"/>
  <c r="F60" i="1" s="1"/>
  <c r="G60" i="1" s="1"/>
  <c r="H60" i="1" s="1"/>
  <c r="I60" i="1" s="1"/>
  <c r="J60" i="1" s="1"/>
  <c r="K60" i="1" s="1"/>
  <c r="L60" i="1" s="1"/>
  <c r="E57" i="1"/>
  <c r="F57" i="1" s="1"/>
  <c r="G57" i="1" s="1"/>
  <c r="H57" i="1" s="1"/>
  <c r="I57" i="1" s="1"/>
  <c r="J57" i="1" s="1"/>
  <c r="K57" i="1" s="1"/>
  <c r="L57" i="1" s="1"/>
  <c r="F52" i="1"/>
  <c r="G52" i="1"/>
  <c r="H52" i="1"/>
  <c r="I52" i="1" s="1"/>
  <c r="J52" i="1" s="1"/>
  <c r="K52" i="1" s="1"/>
  <c r="L52" i="1" s="1"/>
  <c r="E52" i="1"/>
  <c r="E49" i="1"/>
  <c r="F49" i="1" s="1"/>
  <c r="G49" i="1" s="1"/>
  <c r="H49" i="1" s="1"/>
  <c r="I49" i="1" s="1"/>
  <c r="J49" i="1" s="1"/>
  <c r="K49" i="1" s="1"/>
  <c r="L49" i="1" s="1"/>
  <c r="E48" i="1"/>
  <c r="F48" i="1" s="1"/>
  <c r="G48" i="1" s="1"/>
  <c r="H48" i="1" s="1"/>
  <c r="I48" i="1" s="1"/>
  <c r="J48" i="1" s="1"/>
  <c r="K48" i="1" s="1"/>
  <c r="L48" i="1" s="1"/>
  <c r="E43" i="1"/>
  <c r="F43" i="1" s="1"/>
  <c r="G43" i="1" s="1"/>
  <c r="H43" i="1" s="1"/>
  <c r="I43" i="1" s="1"/>
  <c r="J43" i="1" s="1"/>
  <c r="K43" i="1" s="1"/>
  <c r="L43" i="1" s="1"/>
  <c r="E42" i="1"/>
  <c r="F42" i="1" s="1"/>
  <c r="G42" i="1" s="1"/>
  <c r="H42" i="1" s="1"/>
  <c r="I42" i="1" s="1"/>
  <c r="J42" i="1" s="1"/>
  <c r="K42" i="1" s="1"/>
  <c r="L42" i="1" s="1"/>
  <c r="E39" i="1"/>
  <c r="E31" i="1"/>
  <c r="F31" i="1" s="1"/>
  <c r="G31" i="1" s="1"/>
  <c r="E26" i="1"/>
  <c r="F26" i="1" s="1"/>
  <c r="G26" i="1" s="1"/>
  <c r="E23" i="1"/>
  <c r="F23" i="1" s="1"/>
  <c r="G23" i="1" s="1"/>
  <c r="H23" i="1" s="1"/>
  <c r="I23" i="1" s="1"/>
  <c r="J23" i="1" s="1"/>
  <c r="K23" i="1" s="1"/>
  <c r="L23" i="1" s="1"/>
  <c r="E21" i="1"/>
  <c r="F21" i="1" s="1"/>
  <c r="G21" i="1" s="1"/>
  <c r="H21" i="1" s="1"/>
  <c r="I21" i="1" s="1"/>
  <c r="J21" i="1" s="1"/>
  <c r="K21" i="1" s="1"/>
  <c r="L21" i="1" s="1"/>
  <c r="M21" i="1" s="1"/>
  <c r="M20" i="1"/>
  <c r="E17" i="1"/>
  <c r="F17" i="1" s="1"/>
  <c r="G17" i="1" s="1"/>
  <c r="H17" i="1" s="1"/>
  <c r="I17" i="1" s="1"/>
  <c r="J17" i="1" s="1"/>
  <c r="K17" i="1" s="1"/>
  <c r="L17" i="1" s="1"/>
  <c r="E16" i="1"/>
  <c r="F16" i="1" s="1"/>
  <c r="G16" i="1" s="1"/>
  <c r="H16" i="1" s="1"/>
  <c r="I16" i="1" s="1"/>
  <c r="J16" i="1" s="1"/>
  <c r="K16" i="1" s="1"/>
  <c r="L16" i="1" s="1"/>
  <c r="F26" i="22"/>
  <c r="G26" i="22" s="1"/>
  <c r="H26" i="22" s="1"/>
  <c r="I26" i="22" s="1"/>
  <c r="J26" i="22" s="1"/>
  <c r="K26" i="22" s="1"/>
  <c r="L26" i="22" s="1"/>
  <c r="B26" i="7"/>
  <c r="B25" i="7"/>
  <c r="B24" i="7"/>
  <c r="D14" i="7"/>
  <c r="C14" i="7"/>
  <c r="B14" i="7"/>
  <c r="D13" i="7"/>
  <c r="C13" i="7"/>
  <c r="B13" i="7"/>
  <c r="D12" i="7"/>
  <c r="C12" i="7"/>
  <c r="B12" i="7"/>
  <c r="D11" i="7"/>
  <c r="C11" i="7"/>
  <c r="B11" i="7"/>
  <c r="D10" i="7"/>
  <c r="B10" i="7"/>
  <c r="C10" i="7"/>
  <c r="D8" i="7"/>
  <c r="C8" i="7"/>
  <c r="E10" i="7" l="1"/>
  <c r="F10" i="7" s="1"/>
  <c r="F39" i="1"/>
  <c r="D28" i="24"/>
  <c r="C28" i="24"/>
  <c r="H31" i="1"/>
  <c r="H26" i="1"/>
  <c r="G10" i="7" l="1"/>
  <c r="G39" i="1"/>
  <c r="I31" i="1"/>
  <c r="J31" i="1"/>
  <c r="K31" i="1" s="1"/>
  <c r="I26" i="1"/>
  <c r="H39" i="1" l="1"/>
  <c r="H10" i="7"/>
  <c r="I10" i="7" s="1"/>
  <c r="L31" i="1"/>
  <c r="J26" i="1"/>
  <c r="K26" i="1" s="1"/>
  <c r="J10" i="7" l="1"/>
  <c r="K10" i="7" s="1"/>
  <c r="I39" i="1"/>
  <c r="L26" i="1"/>
  <c r="L10" i="7" l="1"/>
  <c r="J39" i="1"/>
  <c r="D7" i="7"/>
  <c r="C7" i="7"/>
  <c r="K39" i="1" l="1"/>
  <c r="B19" i="24"/>
  <c r="B14" i="24"/>
  <c r="B16" i="24" s="1"/>
  <c r="C14" i="25"/>
  <c r="E15" i="24" s="1"/>
  <c r="B8" i="24" s="1"/>
  <c r="L39" i="1" l="1"/>
  <c r="H10" i="5"/>
  <c r="E16" i="5"/>
  <c r="C49" i="22"/>
  <c r="D49" i="22"/>
  <c r="L10" i="5"/>
  <c r="F59" i="5"/>
  <c r="D27" i="1"/>
  <c r="E27" i="1" s="1"/>
  <c r="F27" i="1" s="1"/>
  <c r="G27" i="1" s="1"/>
  <c r="H27" i="1" s="1"/>
  <c r="I27" i="1" s="1"/>
  <c r="J27" i="1" s="1"/>
  <c r="K27" i="1" s="1"/>
  <c r="L27" i="1" s="1"/>
  <c r="L66" i="5" l="1"/>
  <c r="G10" i="5"/>
  <c r="E10" i="5"/>
  <c r="F10" i="5"/>
  <c r="K10" i="5"/>
  <c r="J10" i="5"/>
  <c r="I10" i="5"/>
  <c r="K66" i="5"/>
  <c r="J66" i="5"/>
  <c r="I66" i="5"/>
  <c r="H66" i="5"/>
  <c r="G66" i="5"/>
  <c r="F66" i="5"/>
  <c r="E66" i="5"/>
  <c r="E59" i="5"/>
  <c r="G59" i="5"/>
  <c r="H59" i="5" l="1"/>
  <c r="I59" i="5" l="1"/>
  <c r="J59" i="5" l="1"/>
  <c r="M31" i="1"/>
  <c r="K59" i="5" l="1"/>
  <c r="L59" i="5" l="1"/>
  <c r="D62" i="7" l="1"/>
  <c r="D60" i="7"/>
  <c r="D51" i="7"/>
  <c r="C51" i="7"/>
  <c r="B51" i="7"/>
  <c r="C43" i="7"/>
  <c r="B43" i="7"/>
  <c r="B23" i="7" s="1"/>
  <c r="C34" i="7"/>
  <c r="B35" i="7"/>
  <c r="B34" i="7"/>
  <c r="B65" i="22"/>
  <c r="A110" i="1"/>
  <c r="A103" i="1"/>
  <c r="A89" i="1"/>
  <c r="A83" i="1"/>
  <c r="B62" i="5"/>
  <c r="B49" i="22" s="1"/>
  <c r="B42" i="5"/>
  <c r="B49" i="5"/>
  <c r="B43" i="5"/>
  <c r="B17" i="5"/>
  <c r="C44" i="5"/>
  <c r="D44" i="5"/>
  <c r="C43" i="5"/>
  <c r="D43" i="5"/>
  <c r="C17" i="5"/>
  <c r="D17" i="5"/>
  <c r="C7" i="5"/>
  <c r="D7" i="5"/>
  <c r="B41" i="1"/>
  <c r="B27" i="7" s="1"/>
  <c r="C50" i="1"/>
  <c r="D50" i="1"/>
  <c r="E50" i="1" s="1"/>
  <c r="F50" i="1" s="1"/>
  <c r="G50" i="1" s="1"/>
  <c r="H50" i="1" s="1"/>
  <c r="I50" i="1" s="1"/>
  <c r="J50" i="1" s="1"/>
  <c r="K50" i="1" s="1"/>
  <c r="L50" i="1" s="1"/>
  <c r="B49" i="1"/>
  <c r="B51" i="1"/>
  <c r="B48" i="1"/>
  <c r="B47" i="1"/>
  <c r="B19" i="7" s="1"/>
  <c r="B58" i="1"/>
  <c r="B15" i="1"/>
  <c r="B8" i="1"/>
  <c r="B20" i="1"/>
  <c r="C41" i="1"/>
  <c r="D41" i="1"/>
  <c r="C38" i="1"/>
  <c r="D38" i="1"/>
  <c r="D51" i="1"/>
  <c r="E51" i="1" s="1"/>
  <c r="F51" i="1" s="1"/>
  <c r="G51" i="1" s="1"/>
  <c r="H51" i="1" s="1"/>
  <c r="I51" i="1" s="1"/>
  <c r="J51" i="1" s="1"/>
  <c r="K51" i="1" s="1"/>
  <c r="L51" i="1" s="1"/>
  <c r="D47" i="1"/>
  <c r="C58" i="1"/>
  <c r="D58" i="1"/>
  <c r="C15" i="1"/>
  <c r="D15" i="1"/>
  <c r="E15" i="1" s="1"/>
  <c r="F15" i="1" s="1"/>
  <c r="G15" i="1" s="1"/>
  <c r="H15" i="1" s="1"/>
  <c r="I15" i="1" s="1"/>
  <c r="J15" i="1" s="1"/>
  <c r="K15" i="1" s="1"/>
  <c r="L15" i="1" s="1"/>
  <c r="C13" i="1"/>
  <c r="D13" i="1"/>
  <c r="E13" i="1" s="1"/>
  <c r="F13" i="1" s="1"/>
  <c r="G13" i="1" s="1"/>
  <c r="H13" i="1" s="1"/>
  <c r="I13" i="1" s="1"/>
  <c r="J13" i="1" s="1"/>
  <c r="K13" i="1" s="1"/>
  <c r="L13" i="1" s="1"/>
  <c r="C9" i="1"/>
  <c r="D9" i="1"/>
  <c r="E9" i="1" s="1"/>
  <c r="F9" i="1" s="1"/>
  <c r="G9" i="1" s="1"/>
  <c r="H9" i="1" s="1"/>
  <c r="I9" i="1" s="1"/>
  <c r="J9" i="1" s="1"/>
  <c r="K9" i="1" s="1"/>
  <c r="L9" i="1" s="1"/>
  <c r="C8" i="1"/>
  <c r="D8" i="1"/>
  <c r="B18" i="24" s="1"/>
  <c r="C11" i="1"/>
  <c r="C20" i="7" s="1"/>
  <c r="D11" i="1"/>
  <c r="C10" i="1"/>
  <c r="D10" i="1"/>
  <c r="E10" i="1" s="1"/>
  <c r="F10" i="1" s="1"/>
  <c r="G10" i="1" s="1"/>
  <c r="H10" i="1" s="1"/>
  <c r="I10" i="1" s="1"/>
  <c r="J10" i="1" s="1"/>
  <c r="K10" i="1" s="1"/>
  <c r="L10" i="1" s="1"/>
  <c r="D30" i="1"/>
  <c r="D28" i="1"/>
  <c r="E28" i="1" s="1"/>
  <c r="F28" i="1" s="1"/>
  <c r="G28" i="1" s="1"/>
  <c r="H28" i="1" s="1"/>
  <c r="I28" i="1" s="1"/>
  <c r="J28" i="1" s="1"/>
  <c r="K28" i="1" s="1"/>
  <c r="L28" i="1" s="1"/>
  <c r="C22" i="1"/>
  <c r="D22" i="1"/>
  <c r="C25" i="1"/>
  <c r="C20" i="1"/>
  <c r="D20" i="1"/>
  <c r="C43" i="22"/>
  <c r="C47" i="22" s="1"/>
  <c r="C42" i="22"/>
  <c r="C46" i="22" s="1"/>
  <c r="D43" i="22"/>
  <c r="D47" i="22" s="1"/>
  <c r="D42" i="22"/>
  <c r="B43" i="22"/>
  <c r="B47" i="22" s="1"/>
  <c r="B42" i="22"/>
  <c r="B46" i="22" s="1"/>
  <c r="B36" i="22"/>
  <c r="B35" i="22"/>
  <c r="B38" i="22"/>
  <c r="B37" i="22"/>
  <c r="B19" i="22"/>
  <c r="B14" i="22"/>
  <c r="B9" i="22"/>
  <c r="C13" i="22"/>
  <c r="D13" i="22"/>
  <c r="C38" i="22"/>
  <c r="D38" i="22"/>
  <c r="C37" i="22"/>
  <c r="D37" i="22"/>
  <c r="C34" i="22"/>
  <c r="D34" i="22"/>
  <c r="D29" i="22"/>
  <c r="B25" i="24"/>
  <c r="C25" i="24"/>
  <c r="D25" i="24"/>
  <c r="E25" i="24"/>
  <c r="F25" i="24"/>
  <c r="D46" i="22" l="1"/>
  <c r="B52" i="24"/>
  <c r="B10" i="24"/>
  <c r="D19" i="7"/>
  <c r="E19" i="7" s="1"/>
  <c r="E23" i="22" s="1"/>
  <c r="E47" i="1"/>
  <c r="E9" i="24"/>
  <c r="E30" i="1"/>
  <c r="D20" i="7"/>
  <c r="B15" i="22"/>
  <c r="B20" i="22" s="1"/>
  <c r="B22" i="7"/>
  <c r="B9" i="7"/>
  <c r="B21" i="7"/>
  <c r="B53" i="5"/>
  <c r="C53" i="5"/>
  <c r="E11" i="7"/>
  <c r="E43" i="5"/>
  <c r="E8" i="7"/>
  <c r="E8" i="22" s="1"/>
  <c r="E13" i="7"/>
  <c r="F13" i="7" s="1"/>
  <c r="G13" i="7" s="1"/>
  <c r="E14" i="7"/>
  <c r="F14" i="7" s="1"/>
  <c r="G14" i="7" s="1"/>
  <c r="D53" i="5"/>
  <c r="B22" i="22" l="1"/>
  <c r="B29" i="24"/>
  <c r="B17" i="24"/>
  <c r="B20" i="24" s="1"/>
  <c r="F30" i="1"/>
  <c r="E53" i="1"/>
  <c r="F47" i="1"/>
  <c r="E57" i="5"/>
  <c r="B24" i="22"/>
  <c r="B27" i="22" s="1"/>
  <c r="F11" i="7"/>
  <c r="G11" i="7" s="1"/>
  <c r="F8" i="7"/>
  <c r="G8" i="7" s="1"/>
  <c r="F43" i="5"/>
  <c r="E29" i="5"/>
  <c r="E30" i="5"/>
  <c r="F30" i="5"/>
  <c r="F19" i="7"/>
  <c r="F23" i="22" s="1"/>
  <c r="E20" i="7"/>
  <c r="F20" i="7" s="1"/>
  <c r="H13" i="7"/>
  <c r="H14" i="7"/>
  <c r="A1" i="24"/>
  <c r="B63" i="7"/>
  <c r="C58" i="7" s="1"/>
  <c r="C63" i="7" s="1"/>
  <c r="B55" i="7"/>
  <c r="B56" i="7" s="1"/>
  <c r="B46" i="7"/>
  <c r="C41" i="7" s="1"/>
  <c r="C46" i="7" s="1"/>
  <c r="B38" i="7"/>
  <c r="G25" i="24"/>
  <c r="H25" i="24"/>
  <c r="I25" i="24"/>
  <c r="J25" i="24"/>
  <c r="K25" i="24"/>
  <c r="L25" i="24"/>
  <c r="B15" i="7" l="1"/>
  <c r="B35" i="24"/>
  <c r="B36" i="24"/>
  <c r="B41" i="24" s="1"/>
  <c r="B32" i="24"/>
  <c r="F53" i="1"/>
  <c r="G47" i="1"/>
  <c r="G57" i="5" s="1"/>
  <c r="G30" i="1"/>
  <c r="F8" i="22"/>
  <c r="G8" i="22" s="1"/>
  <c r="E61" i="5"/>
  <c r="B31" i="22"/>
  <c r="B39" i="22" s="1"/>
  <c r="B16" i="7" s="1"/>
  <c r="F57" i="5"/>
  <c r="H8" i="7"/>
  <c r="I8" i="7" s="1"/>
  <c r="J8" i="7" s="1"/>
  <c r="H11" i="7"/>
  <c r="I11" i="7" s="1"/>
  <c r="J11" i="7" s="1"/>
  <c r="K11" i="7" s="1"/>
  <c r="D41" i="7"/>
  <c r="D46" i="7" s="1"/>
  <c r="E41" i="7" s="1"/>
  <c r="D58" i="7"/>
  <c r="D63" i="7" s="1"/>
  <c r="E58" i="7" s="1"/>
  <c r="E17" i="5"/>
  <c r="E46" i="5"/>
  <c r="G43" i="5"/>
  <c r="F29" i="5"/>
  <c r="G19" i="7"/>
  <c r="F61" i="5"/>
  <c r="G20" i="7"/>
  <c r="H20" i="7" s="1"/>
  <c r="C33" i="7"/>
  <c r="B39" i="7"/>
  <c r="I13" i="7"/>
  <c r="I14" i="7"/>
  <c r="B64" i="7"/>
  <c r="B47" i="7"/>
  <c r="C50" i="7"/>
  <c r="G23" i="22" l="1"/>
  <c r="H47" i="1"/>
  <c r="G53" i="1"/>
  <c r="G30" i="5"/>
  <c r="H30" i="1"/>
  <c r="H30" i="5" s="1"/>
  <c r="H19" i="7"/>
  <c r="H23" i="22" s="1"/>
  <c r="G61" i="5"/>
  <c r="C25" i="7"/>
  <c r="C23" i="7"/>
  <c r="C24" i="7"/>
  <c r="C26" i="7"/>
  <c r="H8" i="22"/>
  <c r="I8" i="22" s="1"/>
  <c r="J8" i="22" s="1"/>
  <c r="K8" i="7"/>
  <c r="L8" i="7" s="1"/>
  <c r="F17" i="5"/>
  <c r="F46" i="5"/>
  <c r="L11" i="7"/>
  <c r="H43" i="5"/>
  <c r="G29" i="5"/>
  <c r="H57" i="5"/>
  <c r="I20" i="7"/>
  <c r="J20" i="7" s="1"/>
  <c r="C38" i="7"/>
  <c r="C55" i="7"/>
  <c r="C64" i="7" s="1"/>
  <c r="J13" i="7"/>
  <c r="K13" i="7" s="1"/>
  <c r="L13" i="7" s="1"/>
  <c r="J14" i="7"/>
  <c r="I47" i="1" l="1"/>
  <c r="H53" i="1"/>
  <c r="I19" i="7"/>
  <c r="I23" i="22" s="1"/>
  <c r="I30" i="1"/>
  <c r="I30" i="5" s="1"/>
  <c r="J30" i="1"/>
  <c r="K8" i="22"/>
  <c r="L8" i="22" s="1"/>
  <c r="J19" i="7"/>
  <c r="K19" i="7" s="1"/>
  <c r="G17" i="5"/>
  <c r="C47" i="7"/>
  <c r="D33" i="7"/>
  <c r="C56" i="7"/>
  <c r="D50" i="7"/>
  <c r="C39" i="7"/>
  <c r="K20" i="7"/>
  <c r="L20" i="7" s="1"/>
  <c r="G46" i="5"/>
  <c r="I57" i="5"/>
  <c r="H61" i="5"/>
  <c r="I43" i="5"/>
  <c r="H29" i="5"/>
  <c r="K14" i="7"/>
  <c r="L14" i="7" s="1"/>
  <c r="J47" i="1" l="1"/>
  <c r="I53" i="1"/>
  <c r="J23" i="22"/>
  <c r="K30" i="1"/>
  <c r="L30" i="1" s="1"/>
  <c r="D25" i="7"/>
  <c r="D23" i="7"/>
  <c r="L19" i="7"/>
  <c r="D26" i="7"/>
  <c r="D24" i="7"/>
  <c r="D38" i="7"/>
  <c r="D55" i="7"/>
  <c r="E50" i="7" s="1"/>
  <c r="H46" i="5"/>
  <c r="H17" i="5"/>
  <c r="J57" i="5"/>
  <c r="I61" i="5"/>
  <c r="J30" i="5"/>
  <c r="J43" i="5"/>
  <c r="I29" i="5"/>
  <c r="C24" i="21"/>
  <c r="D24" i="21"/>
  <c r="E24" i="21"/>
  <c r="F24" i="21"/>
  <c r="B24" i="21"/>
  <c r="J53" i="1" l="1"/>
  <c r="K47" i="1"/>
  <c r="D39" i="7"/>
  <c r="E33" i="7"/>
  <c r="E26" i="7"/>
  <c r="F26" i="7" s="1"/>
  <c r="D64" i="7"/>
  <c r="D56" i="7"/>
  <c r="D47" i="7"/>
  <c r="E24" i="7"/>
  <c r="F24" i="7" s="1"/>
  <c r="G24" i="7" s="1"/>
  <c r="E23" i="7"/>
  <c r="E25" i="7"/>
  <c r="F25" i="7" s="1"/>
  <c r="I46" i="5"/>
  <c r="I17" i="5"/>
  <c r="L30" i="5"/>
  <c r="K30" i="5"/>
  <c r="K43" i="5"/>
  <c r="J29" i="5"/>
  <c r="K57" i="5"/>
  <c r="J61" i="5"/>
  <c r="K53" i="1" l="1"/>
  <c r="L47" i="1"/>
  <c r="K23" i="22"/>
  <c r="E60" i="7"/>
  <c r="E63" i="7" s="1"/>
  <c r="F58" i="7" s="1"/>
  <c r="E43" i="7"/>
  <c r="F23" i="7"/>
  <c r="H24" i="7"/>
  <c r="G25" i="7"/>
  <c r="H25" i="7" s="1"/>
  <c r="G26" i="7"/>
  <c r="J17" i="5"/>
  <c r="J46" i="5"/>
  <c r="L57" i="5"/>
  <c r="K61" i="5"/>
  <c r="K29" i="5"/>
  <c r="E7" i="7"/>
  <c r="C73" i="5"/>
  <c r="D73" i="5"/>
  <c r="B73" i="5"/>
  <c r="C34" i="5"/>
  <c r="C36" i="5" s="1"/>
  <c r="C39" i="24" s="1"/>
  <c r="D34" i="5"/>
  <c r="D36" i="5" s="1"/>
  <c r="D39" i="24" s="1"/>
  <c r="B34" i="5"/>
  <c r="B36" i="5" s="1"/>
  <c r="B39" i="24" s="1"/>
  <c r="B5" i="5"/>
  <c r="C5" i="5"/>
  <c r="D5" i="5"/>
  <c r="E5" i="5"/>
  <c r="F5" i="5"/>
  <c r="G5" i="5"/>
  <c r="H5" i="5"/>
  <c r="I5" i="5"/>
  <c r="J5" i="5"/>
  <c r="K5" i="5"/>
  <c r="L5" i="5"/>
  <c r="A5" i="5"/>
  <c r="A122" i="1"/>
  <c r="A123" i="1"/>
  <c r="A124" i="1"/>
  <c r="A70" i="1"/>
  <c r="A71" i="1"/>
  <c r="A72" i="1"/>
  <c r="A73" i="1"/>
  <c r="A74" i="1"/>
  <c r="A75" i="1"/>
  <c r="A76" i="1"/>
  <c r="A77" i="1"/>
  <c r="A78" i="1"/>
  <c r="A79" i="1"/>
  <c r="A80" i="1"/>
  <c r="A82" i="1"/>
  <c r="A84" i="1"/>
  <c r="A85" i="1"/>
  <c r="A86" i="1"/>
  <c r="A87" i="1"/>
  <c r="A88" i="1"/>
  <c r="A90" i="1"/>
  <c r="A91" i="1"/>
  <c r="A92" i="1"/>
  <c r="A93" i="1"/>
  <c r="A94" i="1"/>
  <c r="A95" i="1"/>
  <c r="A96" i="1"/>
  <c r="A98" i="1"/>
  <c r="A100" i="1"/>
  <c r="A101" i="1"/>
  <c r="A102" i="1"/>
  <c r="A104" i="1"/>
  <c r="A105" i="1"/>
  <c r="A106" i="1"/>
  <c r="A107" i="1"/>
  <c r="A109" i="1"/>
  <c r="A111" i="1"/>
  <c r="A112" i="1"/>
  <c r="A113" i="1"/>
  <c r="A114" i="1"/>
  <c r="A115" i="1"/>
  <c r="A116" i="1"/>
  <c r="A118" i="1"/>
  <c r="A119" i="1"/>
  <c r="A120" i="1"/>
  <c r="A121" i="1"/>
  <c r="A68" i="1"/>
  <c r="C59" i="1"/>
  <c r="C61" i="1" s="1"/>
  <c r="D59" i="1"/>
  <c r="B59" i="1"/>
  <c r="B61" i="1" s="1"/>
  <c r="B28" i="7" s="1"/>
  <c r="C53" i="1"/>
  <c r="D53" i="1"/>
  <c r="B53" i="1"/>
  <c r="D45" i="1"/>
  <c r="C45" i="1"/>
  <c r="B45" i="1"/>
  <c r="C33" i="1"/>
  <c r="D33" i="1"/>
  <c r="B33" i="1"/>
  <c r="C18" i="1"/>
  <c r="D18" i="1"/>
  <c r="B18" i="1"/>
  <c r="B5" i="1"/>
  <c r="C5" i="1"/>
  <c r="D5" i="1"/>
  <c r="E5" i="1"/>
  <c r="F5" i="1"/>
  <c r="G5" i="1"/>
  <c r="H5" i="1"/>
  <c r="I5" i="1"/>
  <c r="J5" i="1"/>
  <c r="K5" i="1"/>
  <c r="L5" i="1"/>
  <c r="A5" i="1"/>
  <c r="B55" i="22"/>
  <c r="C55" i="22"/>
  <c r="D55" i="22"/>
  <c r="B57" i="22"/>
  <c r="C57" i="22"/>
  <c r="D57" i="22"/>
  <c r="B58" i="22"/>
  <c r="C58" i="22"/>
  <c r="D58" i="22"/>
  <c r="B59" i="22"/>
  <c r="C59" i="22"/>
  <c r="D59" i="22"/>
  <c r="B60" i="22"/>
  <c r="C60" i="22"/>
  <c r="D60" i="22"/>
  <c r="B63" i="22"/>
  <c r="C63" i="22"/>
  <c r="D63" i="22"/>
  <c r="C65" i="22"/>
  <c r="D65" i="22"/>
  <c r="B68" i="22"/>
  <c r="C68" i="22"/>
  <c r="D68" i="22"/>
  <c r="B70" i="22"/>
  <c r="C70" i="22"/>
  <c r="D70" i="22"/>
  <c r="B72" i="22"/>
  <c r="C72" i="22"/>
  <c r="D72" i="22"/>
  <c r="B73" i="22"/>
  <c r="C73" i="22"/>
  <c r="D73" i="22"/>
  <c r="B75" i="22"/>
  <c r="C75" i="22"/>
  <c r="D75" i="22"/>
  <c r="B76" i="22"/>
  <c r="C76" i="22"/>
  <c r="D76" i="22"/>
  <c r="B77" i="22"/>
  <c r="C77" i="22"/>
  <c r="D77" i="22"/>
  <c r="B80" i="22"/>
  <c r="C80" i="22"/>
  <c r="D80" i="22"/>
  <c r="B81" i="22"/>
  <c r="C81" i="22"/>
  <c r="D81" i="22"/>
  <c r="B82" i="22"/>
  <c r="C82" i="22"/>
  <c r="D82" i="22"/>
  <c r="C54" i="22"/>
  <c r="D54" i="22"/>
  <c r="B54" i="22"/>
  <c r="A55" i="22"/>
  <c r="A56" i="22"/>
  <c r="A57" i="22"/>
  <c r="A58" i="22"/>
  <c r="A59" i="22"/>
  <c r="A60" i="22"/>
  <c r="A61" i="22"/>
  <c r="A62" i="22"/>
  <c r="A63" i="22"/>
  <c r="A64" i="22"/>
  <c r="A65" i="22"/>
  <c r="A66" i="22"/>
  <c r="A67" i="22"/>
  <c r="A68" i="22"/>
  <c r="A69" i="22"/>
  <c r="A70" i="22"/>
  <c r="A71" i="22"/>
  <c r="A72" i="22"/>
  <c r="A73" i="22"/>
  <c r="A74" i="22"/>
  <c r="A75" i="22"/>
  <c r="A76" i="22"/>
  <c r="A77" i="22"/>
  <c r="A78" i="22"/>
  <c r="A80" i="22"/>
  <c r="A81" i="22"/>
  <c r="A82" i="22"/>
  <c r="A83" i="22"/>
  <c r="A54" i="22"/>
  <c r="A53" i="22"/>
  <c r="C14" i="22"/>
  <c r="C27" i="7" s="1"/>
  <c r="D14" i="22"/>
  <c r="D27" i="7" s="1"/>
  <c r="C9" i="22"/>
  <c r="D9" i="22"/>
  <c r="C6" i="22"/>
  <c r="D6" i="22"/>
  <c r="E6" i="22"/>
  <c r="F6" i="22"/>
  <c r="G6" i="22"/>
  <c r="H6" i="22"/>
  <c r="I6" i="22"/>
  <c r="J6" i="22"/>
  <c r="K6" i="22"/>
  <c r="L6" i="22"/>
  <c r="B6" i="22"/>
  <c r="D38" i="24" l="1"/>
  <c r="C38" i="24"/>
  <c r="L53" i="1"/>
  <c r="L23" i="22"/>
  <c r="F7" i="7"/>
  <c r="G7" i="7" s="1"/>
  <c r="H7" i="7" s="1"/>
  <c r="E7" i="22"/>
  <c r="E21" i="22"/>
  <c r="E37" i="24" s="1"/>
  <c r="E46" i="7"/>
  <c r="F41" i="7" s="1"/>
  <c r="D15" i="22"/>
  <c r="D9" i="7"/>
  <c r="D22" i="7"/>
  <c r="D21" i="7"/>
  <c r="C15" i="22"/>
  <c r="C9" i="7"/>
  <c r="C22" i="7"/>
  <c r="C21" i="7"/>
  <c r="B75" i="5"/>
  <c r="B78" i="5" s="1"/>
  <c r="D75" i="5"/>
  <c r="L29" i="5"/>
  <c r="L43" i="5"/>
  <c r="I24" i="7"/>
  <c r="J24" i="7" s="1"/>
  <c r="G23" i="7"/>
  <c r="H26" i="7"/>
  <c r="I26" i="7" s="1"/>
  <c r="I25" i="7"/>
  <c r="K17" i="5"/>
  <c r="L46" i="5"/>
  <c r="K46" i="5"/>
  <c r="L61" i="5"/>
  <c r="C75" i="5"/>
  <c r="C76" i="5"/>
  <c r="B54" i="1"/>
  <c r="B34" i="1"/>
  <c r="D61" i="22"/>
  <c r="B61" i="22"/>
  <c r="C61" i="22"/>
  <c r="D61" i="1"/>
  <c r="E8" i="24" s="1"/>
  <c r="D54" i="1"/>
  <c r="C54" i="1"/>
  <c r="D34" i="1"/>
  <c r="C34" i="1"/>
  <c r="C19" i="22"/>
  <c r="C66" i="22" s="1"/>
  <c r="B62" i="22"/>
  <c r="D56" i="22"/>
  <c r="B64" i="22"/>
  <c r="C56" i="22"/>
  <c r="B56" i="22"/>
  <c r="E10" i="24" l="1"/>
  <c r="E11" i="24"/>
  <c r="E9" i="5"/>
  <c r="E11" i="1"/>
  <c r="E27" i="24"/>
  <c r="E28" i="24" s="1"/>
  <c r="E9" i="22"/>
  <c r="E56" i="22" s="1"/>
  <c r="E17" i="22"/>
  <c r="E51" i="7"/>
  <c r="E55" i="7" s="1"/>
  <c r="E34" i="7"/>
  <c r="E38" i="7" s="1"/>
  <c r="E18" i="22"/>
  <c r="E65" i="22" s="1"/>
  <c r="E16" i="22"/>
  <c r="F7" i="22"/>
  <c r="C20" i="22"/>
  <c r="C29" i="24" s="1"/>
  <c r="C30" i="24" s="1"/>
  <c r="B89" i="1"/>
  <c r="E80" i="22"/>
  <c r="E81" i="22"/>
  <c r="E82" i="22"/>
  <c r="J26" i="7"/>
  <c r="K26" i="7" s="1"/>
  <c r="K24" i="7"/>
  <c r="L24" i="7" s="1"/>
  <c r="H23" i="7"/>
  <c r="I23" i="7" s="1"/>
  <c r="J25" i="7"/>
  <c r="K25" i="7" s="1"/>
  <c r="L25" i="7" s="1"/>
  <c r="E27" i="7"/>
  <c r="F27" i="7" s="1"/>
  <c r="E21" i="7"/>
  <c r="E22" i="7"/>
  <c r="L17" i="5"/>
  <c r="I7" i="7"/>
  <c r="E70" i="22"/>
  <c r="E55" i="22"/>
  <c r="E72" i="22"/>
  <c r="E54" i="22"/>
  <c r="E57" i="22"/>
  <c r="E68" i="22"/>
  <c r="E60" i="22"/>
  <c r="E77" i="22"/>
  <c r="E73" i="22"/>
  <c r="E76" i="22"/>
  <c r="E59" i="22"/>
  <c r="B26" i="21"/>
  <c r="E9" i="7"/>
  <c r="E14" i="22" s="1"/>
  <c r="E11" i="22" s="1"/>
  <c r="E58" i="22" s="1"/>
  <c r="D83" i="1"/>
  <c r="D89" i="1"/>
  <c r="C83" i="1"/>
  <c r="C89" i="1"/>
  <c r="B95" i="1"/>
  <c r="B83" i="1"/>
  <c r="C78" i="5"/>
  <c r="D76" i="5" s="1"/>
  <c r="C62" i="22"/>
  <c r="D62" i="22"/>
  <c r="B62" i="1"/>
  <c r="B110" i="1" s="1"/>
  <c r="B70" i="1"/>
  <c r="B79" i="1"/>
  <c r="B80" i="1"/>
  <c r="B86" i="1"/>
  <c r="B93" i="1"/>
  <c r="B75" i="1"/>
  <c r="B96" i="1"/>
  <c r="B85" i="1"/>
  <c r="B74" i="1"/>
  <c r="B82" i="1"/>
  <c r="B77" i="1"/>
  <c r="B92" i="1"/>
  <c r="B90" i="1"/>
  <c r="B72" i="1"/>
  <c r="B71" i="1"/>
  <c r="B91" i="1"/>
  <c r="B84" i="1"/>
  <c r="B73" i="1"/>
  <c r="B76" i="1"/>
  <c r="B94" i="1"/>
  <c r="B87" i="1"/>
  <c r="B78" i="1"/>
  <c r="B88" i="1"/>
  <c r="C64" i="22"/>
  <c r="C84" i="1"/>
  <c r="C92" i="1"/>
  <c r="C73" i="1"/>
  <c r="C86" i="1"/>
  <c r="C87" i="1"/>
  <c r="C76" i="1"/>
  <c r="C82" i="1"/>
  <c r="C90" i="1"/>
  <c r="C71" i="1"/>
  <c r="C79" i="1"/>
  <c r="C75" i="1"/>
  <c r="C85" i="1"/>
  <c r="C93" i="1"/>
  <c r="C74" i="1"/>
  <c r="C94" i="1"/>
  <c r="C96" i="1"/>
  <c r="C77" i="1"/>
  <c r="C91" i="1"/>
  <c r="C72" i="1"/>
  <c r="C88" i="1"/>
  <c r="C78" i="1"/>
  <c r="C70" i="1"/>
  <c r="C95" i="1"/>
  <c r="C80" i="1"/>
  <c r="D88" i="1"/>
  <c r="D78" i="1"/>
  <c r="D70" i="1"/>
  <c r="D72" i="1"/>
  <c r="D84" i="1"/>
  <c r="D92" i="1"/>
  <c r="D73" i="1"/>
  <c r="D87" i="1"/>
  <c r="D76" i="1"/>
  <c r="D90" i="1"/>
  <c r="D71" i="1"/>
  <c r="D79" i="1"/>
  <c r="D80" i="1"/>
  <c r="D85" i="1"/>
  <c r="D93" i="1"/>
  <c r="D74" i="1"/>
  <c r="D91" i="1"/>
  <c r="D96" i="1"/>
  <c r="D77" i="1"/>
  <c r="D86" i="1"/>
  <c r="D94" i="1"/>
  <c r="D82" i="1"/>
  <c r="D75" i="1"/>
  <c r="D62" i="1"/>
  <c r="D110" i="1" s="1"/>
  <c r="D95" i="1"/>
  <c r="C62" i="1"/>
  <c r="C110" i="1" s="1"/>
  <c r="D19" i="22"/>
  <c r="D20" i="22" s="1"/>
  <c r="D29" i="24" s="1"/>
  <c r="D30" i="24" s="1"/>
  <c r="D64" i="22"/>
  <c r="E19" i="22" l="1"/>
  <c r="F33" i="7"/>
  <c r="E47" i="7"/>
  <c r="E20" i="1" s="1"/>
  <c r="E39" i="7"/>
  <c r="E63" i="22"/>
  <c r="G7" i="22"/>
  <c r="F34" i="7"/>
  <c r="F18" i="22"/>
  <c r="F65" i="22" s="1"/>
  <c r="F16" i="22"/>
  <c r="F27" i="24"/>
  <c r="F28" i="24" s="1"/>
  <c r="F17" i="22"/>
  <c r="F51" i="7"/>
  <c r="F9" i="22"/>
  <c r="F56" i="22" s="1"/>
  <c r="F11" i="1"/>
  <c r="G11" i="1" s="1"/>
  <c r="F50" i="7"/>
  <c r="E64" i="7"/>
  <c r="E22" i="1" s="1"/>
  <c r="E56" i="7"/>
  <c r="E12" i="1"/>
  <c r="E41" i="1"/>
  <c r="E32" i="5" s="1"/>
  <c r="E38" i="1"/>
  <c r="E15" i="22"/>
  <c r="E20" i="22" s="1"/>
  <c r="E41" i="5"/>
  <c r="E40" i="24" s="1"/>
  <c r="F80" i="22"/>
  <c r="B64" i="1"/>
  <c r="C64" i="1"/>
  <c r="D64" i="1"/>
  <c r="L26" i="7"/>
  <c r="J23" i="7"/>
  <c r="K23" i="7" s="1"/>
  <c r="L23" i="7" s="1"/>
  <c r="F22" i="7"/>
  <c r="G22" i="7" s="1"/>
  <c r="H22" i="7" s="1"/>
  <c r="G27" i="7"/>
  <c r="H27" i="7" s="1"/>
  <c r="E28" i="5"/>
  <c r="F21" i="7"/>
  <c r="G21" i="7" s="1"/>
  <c r="J7" i="7"/>
  <c r="F70" i="22"/>
  <c r="F81" i="22"/>
  <c r="F55" i="22"/>
  <c r="F57" i="22"/>
  <c r="F60" i="22"/>
  <c r="F76" i="22"/>
  <c r="F73" i="22"/>
  <c r="F77" i="22"/>
  <c r="F72" i="22"/>
  <c r="F54" i="22"/>
  <c r="F82" i="22"/>
  <c r="F59" i="22"/>
  <c r="C26" i="21"/>
  <c r="F64" i="22"/>
  <c r="E66" i="22"/>
  <c r="E64" i="22"/>
  <c r="E61" i="22"/>
  <c r="B27" i="21"/>
  <c r="F9" i="7"/>
  <c r="F14" i="22" s="1"/>
  <c r="B107" i="1"/>
  <c r="B103" i="1"/>
  <c r="D116" i="1"/>
  <c r="D103" i="1"/>
  <c r="C116" i="1"/>
  <c r="C103" i="1"/>
  <c r="D78" i="5"/>
  <c r="E76" i="5" s="1"/>
  <c r="B109" i="1"/>
  <c r="B112" i="1"/>
  <c r="B119" i="1"/>
  <c r="B121" i="1"/>
  <c r="B123" i="1"/>
  <c r="B114" i="1"/>
  <c r="B104" i="1"/>
  <c r="B124" i="1"/>
  <c r="B122" i="1"/>
  <c r="B115" i="1"/>
  <c r="B105" i="1"/>
  <c r="B120" i="1"/>
  <c r="B113" i="1"/>
  <c r="B116" i="1"/>
  <c r="B100" i="1"/>
  <c r="B111" i="1"/>
  <c r="B101" i="1"/>
  <c r="B102" i="1"/>
  <c r="B106" i="1"/>
  <c r="D123" i="1"/>
  <c r="C120" i="1"/>
  <c r="C113" i="1"/>
  <c r="C104" i="1"/>
  <c r="C112" i="1"/>
  <c r="C111" i="1"/>
  <c r="C101" i="1"/>
  <c r="C102" i="1"/>
  <c r="C105" i="1"/>
  <c r="C124" i="1"/>
  <c r="C122" i="1"/>
  <c r="C119" i="1"/>
  <c r="C114" i="1"/>
  <c r="C109" i="1"/>
  <c r="C106" i="1"/>
  <c r="C107" i="1"/>
  <c r="C115" i="1"/>
  <c r="C121" i="1"/>
  <c r="C100" i="1"/>
  <c r="C123" i="1"/>
  <c r="D122" i="1"/>
  <c r="D119" i="1"/>
  <c r="D114" i="1"/>
  <c r="D109" i="1"/>
  <c r="D106" i="1"/>
  <c r="D124" i="1"/>
  <c r="D120" i="1"/>
  <c r="D113" i="1"/>
  <c r="D104" i="1"/>
  <c r="D111" i="1"/>
  <c r="D101" i="1"/>
  <c r="D105" i="1"/>
  <c r="D112" i="1"/>
  <c r="D102" i="1"/>
  <c r="D115" i="1"/>
  <c r="D107" i="1"/>
  <c r="D100" i="1"/>
  <c r="D121" i="1"/>
  <c r="D66" i="22"/>
  <c r="B66" i="22"/>
  <c r="C22" i="22"/>
  <c r="C67" i="22"/>
  <c r="C31" i="24" s="1"/>
  <c r="F15" i="22" l="1"/>
  <c r="F11" i="22"/>
  <c r="F58" i="22" s="1"/>
  <c r="E45" i="1"/>
  <c r="E54" i="1" s="1"/>
  <c r="E22" i="22"/>
  <c r="E29" i="24"/>
  <c r="E30" i="24" s="1"/>
  <c r="H7" i="22"/>
  <c r="H11" i="1" s="1"/>
  <c r="G18" i="22"/>
  <c r="G65" i="22" s="1"/>
  <c r="G34" i="7"/>
  <c r="G27" i="24"/>
  <c r="G28" i="24" s="1"/>
  <c r="G16" i="22"/>
  <c r="G9" i="22"/>
  <c r="G56" i="22" s="1"/>
  <c r="G17" i="22"/>
  <c r="G64" i="22" s="1"/>
  <c r="G51" i="7"/>
  <c r="F12" i="1"/>
  <c r="F41" i="1"/>
  <c r="F38" i="1"/>
  <c r="E33" i="1"/>
  <c r="F55" i="7"/>
  <c r="F56" i="7" s="1"/>
  <c r="F60" i="7"/>
  <c r="F63" i="7" s="1"/>
  <c r="G58" i="7" s="1"/>
  <c r="C36" i="24"/>
  <c r="C41" i="24" s="1"/>
  <c r="C32" i="24"/>
  <c r="C33" i="24" s="1"/>
  <c r="F19" i="22"/>
  <c r="F20" i="22" s="1"/>
  <c r="F38" i="7"/>
  <c r="F39" i="7" s="1"/>
  <c r="F43" i="7"/>
  <c r="G80" i="22"/>
  <c r="F41" i="5"/>
  <c r="F40" i="24" s="1"/>
  <c r="K7" i="7"/>
  <c r="E31" i="5"/>
  <c r="F28" i="5"/>
  <c r="I22" i="7"/>
  <c r="H21" i="7"/>
  <c r="E27" i="5"/>
  <c r="I27" i="7"/>
  <c r="G70" i="22"/>
  <c r="G77" i="22"/>
  <c r="G59" i="22"/>
  <c r="G57" i="22"/>
  <c r="G73" i="22"/>
  <c r="G60" i="22"/>
  <c r="G72" i="22"/>
  <c r="G81" i="22"/>
  <c r="G82" i="22"/>
  <c r="G54" i="22"/>
  <c r="G55" i="22"/>
  <c r="G58" i="22"/>
  <c r="G76" i="22"/>
  <c r="D26" i="21"/>
  <c r="F63" i="22"/>
  <c r="G9" i="7"/>
  <c r="G14" i="22" s="1"/>
  <c r="G11" i="22" s="1"/>
  <c r="E62" i="22"/>
  <c r="B28" i="21"/>
  <c r="C24" i="22"/>
  <c r="C69" i="22"/>
  <c r="C34" i="24" s="1"/>
  <c r="B67" i="22"/>
  <c r="B31" i="24" s="1"/>
  <c r="D22" i="22"/>
  <c r="D67" i="22"/>
  <c r="D31" i="24" s="1"/>
  <c r="F45" i="1" l="1"/>
  <c r="F54" i="1" s="1"/>
  <c r="F29" i="24"/>
  <c r="F30" i="24" s="1"/>
  <c r="G41" i="1"/>
  <c r="G38" i="1"/>
  <c r="G45" i="1" s="1"/>
  <c r="G54" i="1" s="1"/>
  <c r="G12" i="1"/>
  <c r="G15" i="22"/>
  <c r="F66" i="22"/>
  <c r="G50" i="7"/>
  <c r="F64" i="7"/>
  <c r="F22" i="1" s="1"/>
  <c r="E32" i="24"/>
  <c r="E24" i="22"/>
  <c r="E27" i="22" s="1"/>
  <c r="D32" i="24"/>
  <c r="D33" i="24" s="1"/>
  <c r="D36" i="24"/>
  <c r="D41" i="24" s="1"/>
  <c r="I7" i="22"/>
  <c r="H27" i="24"/>
  <c r="H28" i="24" s="1"/>
  <c r="H9" i="22"/>
  <c r="H56" i="22" s="1"/>
  <c r="H17" i="22"/>
  <c r="H64" i="22" s="1"/>
  <c r="H51" i="7"/>
  <c r="H18" i="22"/>
  <c r="H65" i="22" s="1"/>
  <c r="H16" i="22"/>
  <c r="H34" i="7"/>
  <c r="F46" i="7"/>
  <c r="G41" i="7" s="1"/>
  <c r="F21" i="22"/>
  <c r="F37" i="24" s="1"/>
  <c r="G33" i="7"/>
  <c r="G19" i="22"/>
  <c r="G66" i="22" s="1"/>
  <c r="G41" i="5"/>
  <c r="G40" i="24" s="1"/>
  <c r="H80" i="22"/>
  <c r="L7" i="7"/>
  <c r="J27" i="7"/>
  <c r="K27" i="7" s="1"/>
  <c r="I21" i="7"/>
  <c r="J21" i="7" s="1"/>
  <c r="F32" i="5"/>
  <c r="G28" i="5"/>
  <c r="J22" i="7"/>
  <c r="K22" i="7" s="1"/>
  <c r="L22" i="7" s="1"/>
  <c r="E53" i="5"/>
  <c r="G63" i="22"/>
  <c r="H70" i="22"/>
  <c r="H76" i="22"/>
  <c r="H57" i="22"/>
  <c r="H82" i="22"/>
  <c r="H59" i="22"/>
  <c r="H60" i="22"/>
  <c r="H72" i="22"/>
  <c r="H73" i="22"/>
  <c r="H54" i="22"/>
  <c r="H55" i="22"/>
  <c r="H77" i="22"/>
  <c r="H81" i="22"/>
  <c r="E26" i="21"/>
  <c r="F61" i="22"/>
  <c r="C27" i="21"/>
  <c r="B29" i="21"/>
  <c r="E67" i="22"/>
  <c r="E31" i="24" s="1"/>
  <c r="B31" i="21"/>
  <c r="H9" i="7"/>
  <c r="H14" i="22" s="1"/>
  <c r="H11" i="22" s="1"/>
  <c r="H58" i="22" s="1"/>
  <c r="D24" i="22"/>
  <c r="D69" i="22"/>
  <c r="D34" i="24" s="1"/>
  <c r="B69" i="22"/>
  <c r="B34" i="24" s="1"/>
  <c r="C71" i="22"/>
  <c r="C27" i="22"/>
  <c r="H19" i="22" l="1"/>
  <c r="H66" i="22" s="1"/>
  <c r="F47" i="7"/>
  <c r="F20" i="1" s="1"/>
  <c r="F33" i="1" s="1"/>
  <c r="G20" i="22"/>
  <c r="C15" i="7"/>
  <c r="C35" i="24"/>
  <c r="G38" i="7"/>
  <c r="G39" i="7" s="1"/>
  <c r="G43" i="7"/>
  <c r="E33" i="24"/>
  <c r="H41" i="1"/>
  <c r="H38" i="1"/>
  <c r="H12" i="1"/>
  <c r="J7" i="22"/>
  <c r="I9" i="22"/>
  <c r="I56" i="22" s="1"/>
  <c r="I27" i="24"/>
  <c r="I28" i="24" s="1"/>
  <c r="I18" i="22"/>
  <c r="I65" i="22" s="1"/>
  <c r="I51" i="7"/>
  <c r="I16" i="22"/>
  <c r="I17" i="22"/>
  <c r="I64" i="22" s="1"/>
  <c r="I34" i="7"/>
  <c r="G55" i="7"/>
  <c r="G56" i="7"/>
  <c r="G60" i="7"/>
  <c r="G63" i="7" s="1"/>
  <c r="H58" i="7" s="1"/>
  <c r="F22" i="22"/>
  <c r="H15" i="22"/>
  <c r="H20" i="22" s="1"/>
  <c r="I11" i="1"/>
  <c r="F27" i="5"/>
  <c r="I80" i="22"/>
  <c r="H41" i="5"/>
  <c r="H40" i="24" s="1"/>
  <c r="K21" i="7"/>
  <c r="L21" i="7" s="1"/>
  <c r="F31" i="5"/>
  <c r="L27" i="7"/>
  <c r="F9" i="5"/>
  <c r="F68" i="22"/>
  <c r="H28" i="5"/>
  <c r="G32" i="5"/>
  <c r="H63" i="22"/>
  <c r="I70" i="22"/>
  <c r="I54" i="22"/>
  <c r="I60" i="22"/>
  <c r="I72" i="22"/>
  <c r="I55" i="22"/>
  <c r="I81" i="22"/>
  <c r="I76" i="22"/>
  <c r="I57" i="22"/>
  <c r="I77" i="22"/>
  <c r="I59" i="22"/>
  <c r="I73" i="22"/>
  <c r="I82" i="22"/>
  <c r="F26" i="21"/>
  <c r="I9" i="7"/>
  <c r="J9" i="7" s="1"/>
  <c r="K9" i="7" s="1"/>
  <c r="F62" i="22"/>
  <c r="C28" i="21"/>
  <c r="E69" i="22"/>
  <c r="E34" i="24" s="1"/>
  <c r="G61" i="22"/>
  <c r="D27" i="21"/>
  <c r="C31" i="22"/>
  <c r="C74" i="22"/>
  <c r="B71" i="22"/>
  <c r="D27" i="22"/>
  <c r="D35" i="24" s="1"/>
  <c r="D71" i="22"/>
  <c r="G21" i="22" l="1"/>
  <c r="G37" i="24" s="1"/>
  <c r="I41" i="5"/>
  <c r="I40" i="24" s="1"/>
  <c r="H45" i="1"/>
  <c r="H54" i="1" s="1"/>
  <c r="H50" i="7"/>
  <c r="G64" i="7"/>
  <c r="G22" i="1" s="1"/>
  <c r="J11" i="1"/>
  <c r="H29" i="24"/>
  <c r="F24" i="22"/>
  <c r="F27" i="22" s="1"/>
  <c r="F32" i="24"/>
  <c r="F33" i="24" s="1"/>
  <c r="I14" i="22"/>
  <c r="I11" i="22" s="1"/>
  <c r="I58" i="22" s="1"/>
  <c r="K7" i="22"/>
  <c r="J51" i="7"/>
  <c r="J16" i="22"/>
  <c r="J34" i="7"/>
  <c r="J9" i="22"/>
  <c r="J56" i="22" s="1"/>
  <c r="J27" i="24"/>
  <c r="J28" i="24" s="1"/>
  <c r="J17" i="22"/>
  <c r="J64" i="22" s="1"/>
  <c r="J18" i="22"/>
  <c r="H33" i="7"/>
  <c r="I19" i="22"/>
  <c r="I66" i="22" s="1"/>
  <c r="G46" i="7"/>
  <c r="H41" i="7" s="1"/>
  <c r="G22" i="22"/>
  <c r="G29" i="24"/>
  <c r="G30" i="24" s="1"/>
  <c r="B11" i="24"/>
  <c r="B12" i="24" s="1"/>
  <c r="D15" i="7"/>
  <c r="E15" i="7" s="1"/>
  <c r="E28" i="22" s="1"/>
  <c r="J80" i="22"/>
  <c r="I28" i="5"/>
  <c r="H32" i="5"/>
  <c r="G27" i="5"/>
  <c r="G31" i="5"/>
  <c r="G68" i="22"/>
  <c r="I63" i="22"/>
  <c r="J70" i="22"/>
  <c r="J65" i="22"/>
  <c r="J73" i="22"/>
  <c r="J77" i="22"/>
  <c r="J57" i="22"/>
  <c r="J55" i="22"/>
  <c r="J54" i="22"/>
  <c r="J82" i="22"/>
  <c r="J72" i="22"/>
  <c r="J60" i="22"/>
  <c r="J81" i="22"/>
  <c r="J76" i="22"/>
  <c r="J59" i="22"/>
  <c r="H61" i="22"/>
  <c r="E27" i="21"/>
  <c r="E71" i="22"/>
  <c r="C29" i="21"/>
  <c r="F67" i="22"/>
  <c r="F31" i="24" s="1"/>
  <c r="C31" i="21"/>
  <c r="L9" i="7"/>
  <c r="G62" i="22"/>
  <c r="D28" i="21"/>
  <c r="D31" i="22"/>
  <c r="D74" i="22"/>
  <c r="B74" i="22"/>
  <c r="C78" i="22"/>
  <c r="C39" i="22"/>
  <c r="K11" i="1" l="1"/>
  <c r="C16" i="7"/>
  <c r="C28" i="7"/>
  <c r="J19" i="22"/>
  <c r="H30" i="24"/>
  <c r="E31" i="22"/>
  <c r="E35" i="24"/>
  <c r="E36" i="24"/>
  <c r="G47" i="7"/>
  <c r="G20" i="1" s="1"/>
  <c r="G33" i="1" s="1"/>
  <c r="H38" i="7"/>
  <c r="H39" i="7" s="1"/>
  <c r="H43" i="7"/>
  <c r="L7" i="22"/>
  <c r="L11" i="1" s="1"/>
  <c r="K51" i="7"/>
  <c r="K34" i="7"/>
  <c r="K41" i="5" s="1"/>
  <c r="K40" i="24" s="1"/>
  <c r="K16" i="22"/>
  <c r="K18" i="22"/>
  <c r="K65" i="22" s="1"/>
  <c r="K27" i="24"/>
  <c r="K28" i="24" s="1"/>
  <c r="K17" i="22"/>
  <c r="K64" i="22" s="1"/>
  <c r="K9" i="22"/>
  <c r="G24" i="22"/>
  <c r="G27" i="22" s="1"/>
  <c r="G32" i="24"/>
  <c r="G33" i="24" s="1"/>
  <c r="J14" i="22"/>
  <c r="J11" i="22" s="1"/>
  <c r="J58" i="22" s="1"/>
  <c r="I12" i="1"/>
  <c r="I41" i="1"/>
  <c r="I32" i="5" s="1"/>
  <c r="I38" i="1"/>
  <c r="I15" i="22"/>
  <c r="I20" i="22" s="1"/>
  <c r="H55" i="7"/>
  <c r="H56" i="7" s="1"/>
  <c r="H60" i="7"/>
  <c r="H63" i="7" s="1"/>
  <c r="I58" i="7" s="1"/>
  <c r="K80" i="22"/>
  <c r="J41" i="5"/>
  <c r="J40" i="24" s="1"/>
  <c r="G9" i="5"/>
  <c r="J28" i="5"/>
  <c r="H27" i="5"/>
  <c r="H31" i="5"/>
  <c r="F53" i="5"/>
  <c r="F15" i="7"/>
  <c r="G15" i="7" s="1"/>
  <c r="H15" i="7" s="1"/>
  <c r="I15" i="7" s="1"/>
  <c r="J66" i="22"/>
  <c r="J63" i="22"/>
  <c r="K70" i="22"/>
  <c r="K54" i="22"/>
  <c r="K55" i="22"/>
  <c r="K77" i="22"/>
  <c r="K59" i="22"/>
  <c r="K60" i="22"/>
  <c r="K72" i="22"/>
  <c r="K81" i="22"/>
  <c r="K76" i="22"/>
  <c r="K57" i="22"/>
  <c r="K73" i="22"/>
  <c r="K56" i="22"/>
  <c r="K82" i="22"/>
  <c r="D29" i="21"/>
  <c r="G67" i="22"/>
  <c r="G31" i="24" s="1"/>
  <c r="D31" i="21"/>
  <c r="F69" i="22"/>
  <c r="F34" i="24" s="1"/>
  <c r="E7" i="5"/>
  <c r="E34" i="5" s="1"/>
  <c r="E74" i="22"/>
  <c r="H62" i="22"/>
  <c r="E28" i="21"/>
  <c r="I61" i="22"/>
  <c r="F27" i="21"/>
  <c r="C83" i="22"/>
  <c r="B78" i="22"/>
  <c r="D39" i="22"/>
  <c r="D78" i="22"/>
  <c r="D16" i="7" l="1"/>
  <c r="D28" i="7"/>
  <c r="I45" i="1"/>
  <c r="I54" i="1" s="1"/>
  <c r="F28" i="22"/>
  <c r="F31" i="22" s="1"/>
  <c r="F39" i="22" s="1"/>
  <c r="H21" i="22"/>
  <c r="H37" i="24" s="1"/>
  <c r="I33" i="7"/>
  <c r="I50" i="7"/>
  <c r="H64" i="7"/>
  <c r="H22" i="1" s="1"/>
  <c r="K19" i="22"/>
  <c r="K66" i="22" s="1"/>
  <c r="G28" i="22"/>
  <c r="G31" i="22" s="1"/>
  <c r="G39" i="22" s="1"/>
  <c r="L17" i="22"/>
  <c r="L64" i="22" s="1"/>
  <c r="L18" i="22"/>
  <c r="L27" i="24"/>
  <c r="L28" i="24" s="1"/>
  <c r="L51" i="7"/>
  <c r="L34" i="7"/>
  <c r="L16" i="22"/>
  <c r="L9" i="22"/>
  <c r="L56" i="22" s="1"/>
  <c r="E39" i="22"/>
  <c r="E32" i="22"/>
  <c r="K14" i="22"/>
  <c r="K11" i="22" s="1"/>
  <c r="K58" i="22" s="1"/>
  <c r="J41" i="1"/>
  <c r="J32" i="5" s="1"/>
  <c r="J38" i="1"/>
  <c r="J12" i="1"/>
  <c r="J15" i="22"/>
  <c r="J20" i="22" s="1"/>
  <c r="I29" i="24"/>
  <c r="I30" i="24" s="1"/>
  <c r="H46" i="7"/>
  <c r="I41" i="7" s="1"/>
  <c r="L80" i="22"/>
  <c r="E75" i="22"/>
  <c r="E16" i="7"/>
  <c r="I31" i="5"/>
  <c r="G53" i="5"/>
  <c r="K28" i="5"/>
  <c r="I27" i="5"/>
  <c r="E35" i="5"/>
  <c r="E36" i="5" s="1"/>
  <c r="E39" i="24" s="1"/>
  <c r="B33" i="21"/>
  <c r="K63" i="22"/>
  <c r="L70" i="22"/>
  <c r="L65" i="22"/>
  <c r="L59" i="22"/>
  <c r="L81" i="22"/>
  <c r="L54" i="22"/>
  <c r="L60" i="22"/>
  <c r="L73" i="22"/>
  <c r="L76" i="22"/>
  <c r="L57" i="22"/>
  <c r="L82" i="22"/>
  <c r="L77" i="22"/>
  <c r="L55" i="22"/>
  <c r="L72" i="22"/>
  <c r="G69" i="22"/>
  <c r="G34" i="24" s="1"/>
  <c r="I62" i="22"/>
  <c r="F28" i="21"/>
  <c r="H67" i="22"/>
  <c r="H31" i="24" s="1"/>
  <c r="E31" i="21"/>
  <c r="F71" i="22"/>
  <c r="J15" i="7"/>
  <c r="K15" i="7" s="1"/>
  <c r="L15" i="7" s="1"/>
  <c r="J61" i="22"/>
  <c r="E29" i="21"/>
  <c r="D83" i="22"/>
  <c r="B83" i="22"/>
  <c r="J45" i="1" l="1"/>
  <c r="J54" i="1" s="1"/>
  <c r="F32" i="22"/>
  <c r="G32" i="22" s="1"/>
  <c r="F36" i="24"/>
  <c r="F35" i="24"/>
  <c r="F16" i="7"/>
  <c r="G16" i="7" s="1"/>
  <c r="H22" i="22"/>
  <c r="H32" i="24" s="1"/>
  <c r="H33" i="24" s="1"/>
  <c r="I55" i="7"/>
  <c r="I56" i="7" s="1"/>
  <c r="I60" i="7"/>
  <c r="I63" i="7" s="1"/>
  <c r="J58" i="7" s="1"/>
  <c r="J31" i="5"/>
  <c r="I38" i="7"/>
  <c r="I43" i="7"/>
  <c r="E49" i="22"/>
  <c r="E58" i="1" s="1"/>
  <c r="L14" i="22"/>
  <c r="L11" i="22" s="1"/>
  <c r="L58" i="22" s="1"/>
  <c r="K41" i="1"/>
  <c r="K32" i="5" s="1"/>
  <c r="K38" i="1"/>
  <c r="K45" i="1" s="1"/>
  <c r="K54" i="1" s="1"/>
  <c r="K12" i="1"/>
  <c r="K15" i="22"/>
  <c r="K20" i="22" s="1"/>
  <c r="H47" i="7"/>
  <c r="H20" i="1" s="1"/>
  <c r="H33" i="1" s="1"/>
  <c r="J29" i="24"/>
  <c r="J30" i="24" s="1"/>
  <c r="L19" i="22"/>
  <c r="L66" i="22" s="1"/>
  <c r="G35" i="24"/>
  <c r="G36" i="24"/>
  <c r="L41" i="5"/>
  <c r="L40" i="24" s="1"/>
  <c r="H9" i="5"/>
  <c r="H68" i="22"/>
  <c r="L28" i="5"/>
  <c r="J27" i="5"/>
  <c r="E78" i="22"/>
  <c r="L63" i="22"/>
  <c r="F35" i="5"/>
  <c r="F75" i="22"/>
  <c r="C33" i="21"/>
  <c r="K61" i="22"/>
  <c r="I67" i="22"/>
  <c r="I31" i="24" s="1"/>
  <c r="F31" i="21"/>
  <c r="F7" i="5"/>
  <c r="F34" i="5" s="1"/>
  <c r="F74" i="22"/>
  <c r="F29" i="21"/>
  <c r="J62" i="22"/>
  <c r="G71" i="22"/>
  <c r="A1" i="7"/>
  <c r="A1" i="5"/>
  <c r="A1" i="1"/>
  <c r="H24" i="22" l="1"/>
  <c r="H27" i="22" s="1"/>
  <c r="H69" i="22"/>
  <c r="H34" i="24" s="1"/>
  <c r="H16" i="7"/>
  <c r="I21" i="22"/>
  <c r="F49" i="22"/>
  <c r="I37" i="24"/>
  <c r="I22" i="22"/>
  <c r="L41" i="1"/>
  <c r="L32" i="5" s="1"/>
  <c r="L12" i="1"/>
  <c r="L38" i="1"/>
  <c r="L15" i="22"/>
  <c r="L20" i="22" s="1"/>
  <c r="I46" i="7"/>
  <c r="J41" i="7" s="1"/>
  <c r="G49" i="22"/>
  <c r="E59" i="1"/>
  <c r="E61" i="1" s="1"/>
  <c r="F58" i="1"/>
  <c r="H28" i="22"/>
  <c r="H31" i="22" s="1"/>
  <c r="J33" i="7"/>
  <c r="K29" i="24"/>
  <c r="K30" i="24" s="1"/>
  <c r="I39" i="7"/>
  <c r="J50" i="7"/>
  <c r="I64" i="7"/>
  <c r="I22" i="1" s="1"/>
  <c r="I16" i="7"/>
  <c r="E62" i="5"/>
  <c r="E73" i="5" s="1"/>
  <c r="E75" i="5" s="1"/>
  <c r="E78" i="5" s="1"/>
  <c r="K31" i="5"/>
  <c r="K27" i="5"/>
  <c r="E46" i="22"/>
  <c r="E47" i="22"/>
  <c r="B32" i="21"/>
  <c r="B34" i="21"/>
  <c r="E83" i="22"/>
  <c r="F36" i="5"/>
  <c r="F39" i="24" s="1"/>
  <c r="G35" i="5"/>
  <c r="G75" i="22"/>
  <c r="D33" i="21"/>
  <c r="G7" i="5"/>
  <c r="G34" i="5" s="1"/>
  <c r="G74" i="22"/>
  <c r="J67" i="22"/>
  <c r="J31" i="24" s="1"/>
  <c r="K62" i="22"/>
  <c r="H71" i="22"/>
  <c r="F62" i="5"/>
  <c r="F73" i="5" s="1"/>
  <c r="F78" i="22"/>
  <c r="L61" i="22"/>
  <c r="E62" i="1" l="1"/>
  <c r="E28" i="7"/>
  <c r="J16" i="7"/>
  <c r="L45" i="1"/>
  <c r="L54" i="1" s="1"/>
  <c r="I47" i="7"/>
  <c r="I20" i="1" s="1"/>
  <c r="I33" i="1" s="1"/>
  <c r="J38" i="7"/>
  <c r="J43" i="7"/>
  <c r="J46" i="7" s="1"/>
  <c r="K41" i="7" s="1"/>
  <c r="J55" i="7"/>
  <c r="J56" i="7" s="1"/>
  <c r="J60" i="7"/>
  <c r="J63" i="7" s="1"/>
  <c r="K58" i="7" s="1"/>
  <c r="H35" i="24"/>
  <c r="H36" i="24"/>
  <c r="F59" i="1"/>
  <c r="F61" i="1" s="1"/>
  <c r="G58" i="1"/>
  <c r="L29" i="24"/>
  <c r="L30" i="24" s="1"/>
  <c r="I32" i="24"/>
  <c r="I33" i="24" s="1"/>
  <c r="I24" i="22"/>
  <c r="I27" i="22" s="1"/>
  <c r="I28" i="22" s="1"/>
  <c r="H39" i="22"/>
  <c r="H32" i="22"/>
  <c r="B35" i="21"/>
  <c r="E8" i="1"/>
  <c r="I68" i="22"/>
  <c r="K16" i="7"/>
  <c r="F76" i="5"/>
  <c r="F75" i="5"/>
  <c r="I69" i="22"/>
  <c r="I34" i="24" s="1"/>
  <c r="I9" i="5"/>
  <c r="L31" i="5"/>
  <c r="L27" i="5"/>
  <c r="H53" i="5"/>
  <c r="F47" i="22"/>
  <c r="F46" i="22"/>
  <c r="G36" i="5"/>
  <c r="G39" i="24" s="1"/>
  <c r="H35" i="5"/>
  <c r="H75" i="22"/>
  <c r="E33" i="21"/>
  <c r="C32" i="21"/>
  <c r="F83" i="22"/>
  <c r="C34" i="21"/>
  <c r="L62" i="22"/>
  <c r="H7" i="5"/>
  <c r="H34" i="5" s="1"/>
  <c r="H74" i="22"/>
  <c r="K67" i="22"/>
  <c r="K31" i="24" s="1"/>
  <c r="G62" i="5"/>
  <c r="G73" i="5" s="1"/>
  <c r="G78" i="22"/>
  <c r="F62" i="1" l="1"/>
  <c r="F28" i="7"/>
  <c r="H49" i="22"/>
  <c r="L16" i="7"/>
  <c r="I31" i="22"/>
  <c r="I39" i="22" s="1"/>
  <c r="I35" i="24"/>
  <c r="I71" i="22"/>
  <c r="J21" i="22"/>
  <c r="K33" i="7"/>
  <c r="J47" i="7"/>
  <c r="J20" i="1" s="1"/>
  <c r="I36" i="24"/>
  <c r="K50" i="7"/>
  <c r="J64" i="7"/>
  <c r="J22" i="1" s="1"/>
  <c r="I32" i="22"/>
  <c r="H58" i="1"/>
  <c r="G59" i="1"/>
  <c r="G61" i="1" s="1"/>
  <c r="J39" i="7"/>
  <c r="E18" i="1"/>
  <c r="B36" i="21"/>
  <c r="F78" i="5"/>
  <c r="F8" i="1" s="1"/>
  <c r="F18" i="1" s="1"/>
  <c r="G75" i="5"/>
  <c r="I53" i="5"/>
  <c r="G47" i="22"/>
  <c r="G46" i="22"/>
  <c r="H36" i="5"/>
  <c r="H39" i="24" s="1"/>
  <c r="I35" i="5"/>
  <c r="I75" i="22"/>
  <c r="F33" i="21"/>
  <c r="H62" i="5"/>
  <c r="H73" i="5" s="1"/>
  <c r="H78" i="22"/>
  <c r="L67" i="22"/>
  <c r="L31" i="24" s="1"/>
  <c r="D32" i="21"/>
  <c r="I7" i="5"/>
  <c r="I34" i="5" s="1"/>
  <c r="I74" i="22"/>
  <c r="G83" i="22"/>
  <c r="D34" i="21"/>
  <c r="C35" i="21"/>
  <c r="I49" i="22" l="1"/>
  <c r="I58" i="1" s="1"/>
  <c r="G62" i="1"/>
  <c r="G28" i="7"/>
  <c r="J33" i="1"/>
  <c r="J37" i="24"/>
  <c r="J22" i="22"/>
  <c r="K55" i="7"/>
  <c r="K56" i="7" s="1"/>
  <c r="K60" i="7"/>
  <c r="K63" i="7" s="1"/>
  <c r="L58" i="7" s="1"/>
  <c r="K38" i="7"/>
  <c r="K43" i="7"/>
  <c r="H59" i="1"/>
  <c r="H61" i="1" s="1"/>
  <c r="F34" i="1"/>
  <c r="F38" i="24"/>
  <c r="F41" i="24" s="1"/>
  <c r="E34" i="1"/>
  <c r="E96" i="1" s="1"/>
  <c r="E38" i="24"/>
  <c r="E41" i="24" s="1"/>
  <c r="E42" i="24" s="1"/>
  <c r="C36" i="21"/>
  <c r="G76" i="5"/>
  <c r="G78" i="5" s="1"/>
  <c r="H75" i="5"/>
  <c r="J9" i="5"/>
  <c r="J68" i="22"/>
  <c r="H47" i="22"/>
  <c r="H46" i="22"/>
  <c r="I36" i="5"/>
  <c r="I39" i="24" s="1"/>
  <c r="D35" i="21"/>
  <c r="E32" i="21"/>
  <c r="I78" i="22"/>
  <c r="H83" i="22"/>
  <c r="E34" i="21"/>
  <c r="H62" i="1" l="1"/>
  <c r="H28" i="7"/>
  <c r="I62" i="5"/>
  <c r="I73" i="5" s="1"/>
  <c r="E74" i="1"/>
  <c r="E85" i="1"/>
  <c r="E88" i="1"/>
  <c r="E79" i="1"/>
  <c r="E72" i="1"/>
  <c r="E93" i="1"/>
  <c r="E87" i="1"/>
  <c r="L50" i="7"/>
  <c r="K64" i="7"/>
  <c r="K22" i="1" s="1"/>
  <c r="E70" i="1"/>
  <c r="E82" i="1"/>
  <c r="E92" i="1"/>
  <c r="E80" i="1"/>
  <c r="I59" i="1"/>
  <c r="I61" i="1" s="1"/>
  <c r="L33" i="7"/>
  <c r="E90" i="1"/>
  <c r="E75" i="1"/>
  <c r="E77" i="1"/>
  <c r="E91" i="1"/>
  <c r="E71" i="1"/>
  <c r="E78" i="1"/>
  <c r="E94" i="1"/>
  <c r="K21" i="22"/>
  <c r="K46" i="7"/>
  <c r="L41" i="7" s="1"/>
  <c r="J32" i="24"/>
  <c r="J33" i="24" s="1"/>
  <c r="J24" i="22"/>
  <c r="J27" i="22" s="1"/>
  <c r="J28" i="22" s="1"/>
  <c r="E84" i="1"/>
  <c r="E95" i="1"/>
  <c r="E73" i="1"/>
  <c r="E86" i="1"/>
  <c r="E76" i="1"/>
  <c r="K39" i="7"/>
  <c r="H76" i="5"/>
  <c r="H78" i="5" s="1"/>
  <c r="G8" i="1"/>
  <c r="G18" i="1" s="1"/>
  <c r="F42" i="24"/>
  <c r="F80" i="1"/>
  <c r="I75" i="5"/>
  <c r="F82" i="1"/>
  <c r="F94" i="1"/>
  <c r="F71" i="1"/>
  <c r="F91" i="1"/>
  <c r="F79" i="1"/>
  <c r="F77" i="1"/>
  <c r="F73" i="1"/>
  <c r="F75" i="1"/>
  <c r="F85" i="1"/>
  <c r="F88" i="1"/>
  <c r="F92" i="1"/>
  <c r="F76" i="1"/>
  <c r="F74" i="1"/>
  <c r="F93" i="1"/>
  <c r="F72" i="1"/>
  <c r="F84" i="1"/>
  <c r="F95" i="1"/>
  <c r="F78" i="1"/>
  <c r="F90" i="1"/>
  <c r="F86" i="1"/>
  <c r="F87" i="1"/>
  <c r="F96" i="1"/>
  <c r="F70" i="1"/>
  <c r="J69" i="22"/>
  <c r="J34" i="24" s="1"/>
  <c r="E119" i="1"/>
  <c r="E124" i="1"/>
  <c r="E107" i="1"/>
  <c r="E105" i="1"/>
  <c r="E104" i="1"/>
  <c r="E109" i="1"/>
  <c r="E114" i="1"/>
  <c r="E111" i="1"/>
  <c r="E100" i="1"/>
  <c r="E112" i="1"/>
  <c r="E113" i="1"/>
  <c r="E115" i="1"/>
  <c r="E101" i="1"/>
  <c r="E102" i="1"/>
  <c r="E122" i="1"/>
  <c r="E106" i="1"/>
  <c r="E116" i="1"/>
  <c r="E120" i="1"/>
  <c r="E121" i="1"/>
  <c r="E123" i="1"/>
  <c r="I47" i="22"/>
  <c r="I46" i="22"/>
  <c r="E35" i="21"/>
  <c r="F32" i="21"/>
  <c r="I83" i="22"/>
  <c r="F34" i="21"/>
  <c r="I62" i="1" l="1"/>
  <c r="I28" i="7"/>
  <c r="L38" i="7"/>
  <c r="L39" i="7" s="1"/>
  <c r="L43" i="7"/>
  <c r="J31" i="22"/>
  <c r="J35" i="24"/>
  <c r="J36" i="24"/>
  <c r="K37" i="24"/>
  <c r="K22" i="22"/>
  <c r="K47" i="7"/>
  <c r="K20" i="1" s="1"/>
  <c r="K33" i="1" s="1"/>
  <c r="L55" i="7"/>
  <c r="L56" i="7" s="1"/>
  <c r="L60" i="7"/>
  <c r="L63" i="7" s="1"/>
  <c r="G34" i="1"/>
  <c r="G75" i="1" s="1"/>
  <c r="G38" i="24"/>
  <c r="G41" i="24" s="1"/>
  <c r="I76" i="5"/>
  <c r="I78" i="5" s="1"/>
  <c r="H8" i="1"/>
  <c r="H18" i="1" s="1"/>
  <c r="D36" i="21"/>
  <c r="J53" i="5"/>
  <c r="J71" i="22"/>
  <c r="K9" i="5"/>
  <c r="K68" i="22"/>
  <c r="F122" i="1"/>
  <c r="F116" i="1"/>
  <c r="F102" i="1"/>
  <c r="F119" i="1"/>
  <c r="F106" i="1"/>
  <c r="F114" i="1"/>
  <c r="F124" i="1"/>
  <c r="F101" i="1"/>
  <c r="F104" i="1"/>
  <c r="F105" i="1"/>
  <c r="F100" i="1"/>
  <c r="F109" i="1"/>
  <c r="F113" i="1"/>
  <c r="F107" i="1"/>
  <c r="F112" i="1"/>
  <c r="F115" i="1"/>
  <c r="F111" i="1"/>
  <c r="F120" i="1"/>
  <c r="F121" i="1"/>
  <c r="F123" i="1"/>
  <c r="G123" i="1"/>
  <c r="F35" i="21"/>
  <c r="L64" i="7" l="1"/>
  <c r="L22" i="1" s="1"/>
  <c r="L21" i="22"/>
  <c r="J39" i="22"/>
  <c r="J32" i="22"/>
  <c r="H34" i="1"/>
  <c r="H79" i="1" s="1"/>
  <c r="H38" i="24"/>
  <c r="H41" i="24" s="1"/>
  <c r="K32" i="24"/>
  <c r="K33" i="24" s="1"/>
  <c r="K24" i="22"/>
  <c r="K27" i="22" s="1"/>
  <c r="K28" i="22" s="1"/>
  <c r="K36" i="24" s="1"/>
  <c r="L46" i="7"/>
  <c r="L47" i="7" s="1"/>
  <c r="L20" i="1" s="1"/>
  <c r="L33" i="1" s="1"/>
  <c r="J76" i="5"/>
  <c r="I8" i="1"/>
  <c r="I18" i="1" s="1"/>
  <c r="G42" i="24"/>
  <c r="G77" i="1"/>
  <c r="G78" i="1"/>
  <c r="G96" i="1"/>
  <c r="G92" i="1"/>
  <c r="G91" i="1"/>
  <c r="E36" i="21"/>
  <c r="G79" i="1"/>
  <c r="G87" i="1"/>
  <c r="G95" i="1"/>
  <c r="G74" i="1"/>
  <c r="G82" i="1"/>
  <c r="G85" i="1"/>
  <c r="G84" i="1"/>
  <c r="G70" i="1"/>
  <c r="G94" i="1"/>
  <c r="G72" i="1"/>
  <c r="G86" i="1"/>
  <c r="G73" i="1"/>
  <c r="G90" i="1"/>
  <c r="G93" i="1"/>
  <c r="G71" i="1"/>
  <c r="G76" i="1"/>
  <c r="G88" i="1"/>
  <c r="G80" i="1"/>
  <c r="J7" i="5"/>
  <c r="J34" i="5" s="1"/>
  <c r="J74" i="22"/>
  <c r="K69" i="22"/>
  <c r="K34" i="24" s="1"/>
  <c r="K53" i="5"/>
  <c r="G101" i="1"/>
  <c r="G112" i="1"/>
  <c r="G119" i="1"/>
  <c r="G107" i="1"/>
  <c r="G115" i="1"/>
  <c r="G116" i="1"/>
  <c r="G105" i="1"/>
  <c r="G109" i="1"/>
  <c r="G124" i="1"/>
  <c r="G100" i="1"/>
  <c r="G102" i="1"/>
  <c r="G113" i="1"/>
  <c r="G114" i="1"/>
  <c r="G106" i="1"/>
  <c r="G111" i="1"/>
  <c r="G122" i="1"/>
  <c r="G104" i="1"/>
  <c r="G120" i="1"/>
  <c r="G121" i="1"/>
  <c r="C67" i="1"/>
  <c r="D67" i="1"/>
  <c r="B67" i="1"/>
  <c r="J49" i="22" l="1"/>
  <c r="J58" i="1" s="1"/>
  <c r="L37" i="24"/>
  <c r="L22" i="22"/>
  <c r="I34" i="1"/>
  <c r="I38" i="24"/>
  <c r="I41" i="24" s="1"/>
  <c r="K31" i="22"/>
  <c r="K39" i="22" s="1"/>
  <c r="K35" i="24"/>
  <c r="H42" i="24"/>
  <c r="F36" i="21"/>
  <c r="H71" i="1"/>
  <c r="H82" i="1"/>
  <c r="H70" i="1"/>
  <c r="H90" i="1"/>
  <c r="H88" i="1"/>
  <c r="H93" i="1"/>
  <c r="H80" i="1"/>
  <c r="H95" i="1"/>
  <c r="H87" i="1"/>
  <c r="H92" i="1"/>
  <c r="H86" i="1"/>
  <c r="H94" i="1"/>
  <c r="H96" i="1"/>
  <c r="H76" i="1"/>
  <c r="H78" i="1"/>
  <c r="H85" i="1"/>
  <c r="H72" i="1"/>
  <c r="H75" i="1"/>
  <c r="H84" i="1"/>
  <c r="H77" i="1"/>
  <c r="H91" i="1"/>
  <c r="H74" i="1"/>
  <c r="H73" i="1"/>
  <c r="J35" i="5"/>
  <c r="J36" i="5" s="1"/>
  <c r="J39" i="24" s="1"/>
  <c r="J75" i="22"/>
  <c r="K71" i="22"/>
  <c r="L9" i="5"/>
  <c r="L68" i="22"/>
  <c r="H101" i="1"/>
  <c r="H107" i="1"/>
  <c r="H106" i="1"/>
  <c r="H124" i="1"/>
  <c r="H102" i="1"/>
  <c r="H114" i="1"/>
  <c r="H111" i="1"/>
  <c r="H112" i="1"/>
  <c r="H100" i="1"/>
  <c r="H109" i="1"/>
  <c r="H115" i="1"/>
  <c r="H119" i="1"/>
  <c r="H122" i="1"/>
  <c r="H113" i="1"/>
  <c r="H104" i="1"/>
  <c r="H116" i="1"/>
  <c r="H105" i="1"/>
  <c r="H120" i="1"/>
  <c r="H121" i="1"/>
  <c r="H123" i="1"/>
  <c r="I123" i="1"/>
  <c r="E67" i="1"/>
  <c r="K49" i="22" l="1"/>
  <c r="K58" i="1" s="1"/>
  <c r="L32" i="24"/>
  <c r="L33" i="24" s="1"/>
  <c r="L24" i="22"/>
  <c r="L27" i="22" s="1"/>
  <c r="L28" i="22" s="1"/>
  <c r="J59" i="1"/>
  <c r="J61" i="1" s="1"/>
  <c r="K32" i="22"/>
  <c r="J78" i="22"/>
  <c r="J46" i="22"/>
  <c r="I42" i="24"/>
  <c r="I95" i="1"/>
  <c r="L69" i="22"/>
  <c r="L34" i="24" s="1"/>
  <c r="L53" i="5"/>
  <c r="J83" i="22"/>
  <c r="K7" i="5"/>
  <c r="K34" i="5" s="1"/>
  <c r="K74" i="22"/>
  <c r="I100" i="1"/>
  <c r="I111" i="1"/>
  <c r="I113" i="1"/>
  <c r="I115" i="1"/>
  <c r="I104" i="1"/>
  <c r="I101" i="1"/>
  <c r="I107" i="1"/>
  <c r="I114" i="1"/>
  <c r="I124" i="1"/>
  <c r="I116" i="1"/>
  <c r="I112" i="1"/>
  <c r="I102" i="1"/>
  <c r="I119" i="1"/>
  <c r="I105" i="1"/>
  <c r="I122" i="1"/>
  <c r="I109" i="1"/>
  <c r="I106" i="1"/>
  <c r="I120" i="1"/>
  <c r="I121" i="1"/>
  <c r="F67" i="1"/>
  <c r="J62" i="1" l="1"/>
  <c r="J28" i="7"/>
  <c r="K59" i="1"/>
  <c r="K61" i="1" s="1"/>
  <c r="L31" i="22"/>
  <c r="L39" i="22" s="1"/>
  <c r="L35" i="24"/>
  <c r="L36" i="24"/>
  <c r="J47" i="22"/>
  <c r="I72" i="1"/>
  <c r="I84" i="1"/>
  <c r="I93" i="1"/>
  <c r="I86" i="1"/>
  <c r="I76" i="1"/>
  <c r="I91" i="1"/>
  <c r="I88" i="1"/>
  <c r="I73" i="1"/>
  <c r="I94" i="1"/>
  <c r="I77" i="1"/>
  <c r="I75" i="1"/>
  <c r="I74" i="1"/>
  <c r="I80" i="1"/>
  <c r="I96" i="1"/>
  <c r="I90" i="1"/>
  <c r="I85" i="1"/>
  <c r="I78" i="1"/>
  <c r="I70" i="1"/>
  <c r="I92" i="1"/>
  <c r="I87" i="1"/>
  <c r="I79" i="1"/>
  <c r="I82" i="1"/>
  <c r="I71" i="1"/>
  <c r="J62" i="5"/>
  <c r="J73" i="5" s="1"/>
  <c r="J75" i="5" s="1"/>
  <c r="J78" i="5" s="1"/>
  <c r="K75" i="22"/>
  <c r="K35" i="5"/>
  <c r="K36" i="5" s="1"/>
  <c r="K39" i="24" s="1"/>
  <c r="L71" i="22"/>
  <c r="G67" i="1"/>
  <c r="L49" i="22" l="1"/>
  <c r="L58" i="1" s="1"/>
  <c r="L59" i="1" s="1"/>
  <c r="L61" i="1" s="1"/>
  <c r="K62" i="1"/>
  <c r="K28" i="7"/>
  <c r="L32" i="22"/>
  <c r="K76" i="5"/>
  <c r="J8" i="1"/>
  <c r="J18" i="1" s="1"/>
  <c r="L7" i="5"/>
  <c r="L34" i="5" s="1"/>
  <c r="L74" i="22"/>
  <c r="K78" i="22"/>
  <c r="H67" i="1"/>
  <c r="L62" i="1" l="1"/>
  <c r="L28" i="7"/>
  <c r="J34" i="1"/>
  <c r="J38" i="24"/>
  <c r="J41" i="24" s="1"/>
  <c r="L62" i="5"/>
  <c r="L73" i="5" s="1"/>
  <c r="J121" i="1"/>
  <c r="K62" i="5"/>
  <c r="K73" i="5" s="1"/>
  <c r="K75" i="5" s="1"/>
  <c r="K78" i="5" s="1"/>
  <c r="K83" i="22"/>
  <c r="K47" i="22"/>
  <c r="K46" i="22"/>
  <c r="L75" i="22"/>
  <c r="L35" i="5"/>
  <c r="L36" i="5" s="1"/>
  <c r="L39" i="24" s="1"/>
  <c r="I67" i="1"/>
  <c r="K8" i="1" l="1"/>
  <c r="J105" i="1"/>
  <c r="L78" i="22"/>
  <c r="J101" i="1"/>
  <c r="J123" i="1"/>
  <c r="L46" i="22"/>
  <c r="J113" i="1"/>
  <c r="J119" i="1"/>
  <c r="J112" i="1"/>
  <c r="J107" i="1"/>
  <c r="J114" i="1"/>
  <c r="J42" i="24"/>
  <c r="J109" i="1"/>
  <c r="J120" i="1"/>
  <c r="J106" i="1"/>
  <c r="J122" i="1"/>
  <c r="J111" i="1"/>
  <c r="J104" i="1"/>
  <c r="J100" i="1"/>
  <c r="J124" i="1"/>
  <c r="J115" i="1"/>
  <c r="J102" i="1"/>
  <c r="J116" i="1"/>
  <c r="L76" i="5"/>
  <c r="J74" i="1"/>
  <c r="J96" i="1"/>
  <c r="J93" i="1"/>
  <c r="J84" i="1"/>
  <c r="J76" i="1"/>
  <c r="J75" i="1"/>
  <c r="J94" i="1"/>
  <c r="J95" i="1"/>
  <c r="J90" i="1"/>
  <c r="J82" i="1"/>
  <c r="J71" i="1"/>
  <c r="J88" i="1"/>
  <c r="J79" i="1"/>
  <c r="J86" i="1"/>
  <c r="J87" i="1"/>
  <c r="J78" i="1"/>
  <c r="J91" i="1"/>
  <c r="J77" i="1"/>
  <c r="J73" i="1"/>
  <c r="J85" i="1"/>
  <c r="J72" i="1"/>
  <c r="J92" i="1"/>
  <c r="J70" i="1"/>
  <c r="L75" i="5"/>
  <c r="J80" i="1"/>
  <c r="L83" i="22"/>
  <c r="J67" i="1"/>
  <c r="K18" i="1" l="1"/>
  <c r="L47" i="22"/>
  <c r="L78" i="5"/>
  <c r="L8" i="1" s="1"/>
  <c r="L18" i="1" s="1"/>
  <c r="K67" i="1"/>
  <c r="L34" i="1" l="1"/>
  <c r="L38" i="24"/>
  <c r="L41" i="24" s="1"/>
  <c r="M41" i="24" s="1"/>
  <c r="K34" i="1"/>
  <c r="K75" i="1" s="1"/>
  <c r="K38" i="24"/>
  <c r="K41" i="24" s="1"/>
  <c r="K42" i="24" s="1"/>
  <c r="L67" i="1"/>
  <c r="K70" i="1" l="1"/>
  <c r="K86" i="1"/>
  <c r="K91" i="1"/>
  <c r="K95" i="1"/>
  <c r="K93" i="1"/>
  <c r="K88" i="1"/>
  <c r="K82" i="1"/>
  <c r="K96" i="1"/>
  <c r="K80" i="1"/>
  <c r="K90" i="1"/>
  <c r="K76" i="1"/>
  <c r="K78" i="1"/>
  <c r="K72" i="1"/>
  <c r="K74" i="1"/>
  <c r="K87" i="1"/>
  <c r="K71" i="1"/>
  <c r="K77" i="1"/>
  <c r="K73" i="1"/>
  <c r="K94" i="1"/>
  <c r="K84" i="1"/>
  <c r="K92" i="1"/>
  <c r="K85" i="1"/>
  <c r="K79" i="1"/>
  <c r="L42" i="24"/>
  <c r="L80" i="1"/>
  <c r="L95" i="1"/>
  <c r="L85" i="1"/>
  <c r="L73" i="1"/>
  <c r="L91" i="1"/>
  <c r="L75" i="1"/>
  <c r="L86" i="1"/>
  <c r="L76" i="1"/>
  <c r="L92" i="1"/>
  <c r="L79" i="1"/>
  <c r="L93" i="1"/>
  <c r="L71" i="1"/>
  <c r="L96" i="1"/>
  <c r="L77" i="1"/>
  <c r="L94" i="1"/>
  <c r="L87" i="1"/>
  <c r="L88" i="1"/>
  <c r="L82" i="1"/>
  <c r="L78" i="1"/>
  <c r="L72" i="1"/>
  <c r="L74" i="1"/>
  <c r="L84" i="1"/>
  <c r="L90" i="1"/>
  <c r="L70" i="1"/>
  <c r="K123" i="1"/>
  <c r="K102" i="1"/>
  <c r="K105" i="1"/>
  <c r="K100" i="1"/>
  <c r="K113" i="1"/>
  <c r="K124" i="1"/>
  <c r="K116" i="1"/>
  <c r="K114" i="1"/>
  <c r="K111" i="1"/>
  <c r="K119" i="1"/>
  <c r="K106" i="1"/>
  <c r="K112" i="1"/>
  <c r="K107" i="1"/>
  <c r="K104" i="1"/>
  <c r="K122" i="1"/>
  <c r="K115" i="1"/>
  <c r="K109" i="1"/>
  <c r="K101" i="1"/>
  <c r="K120" i="1"/>
  <c r="K121" i="1"/>
  <c r="M42" i="24" l="1"/>
  <c r="L123" i="1"/>
  <c r="L124" i="1"/>
  <c r="L102" i="1"/>
  <c r="L106" i="1"/>
  <c r="L101" i="1"/>
  <c r="L112" i="1"/>
  <c r="L111" i="1"/>
  <c r="L116" i="1"/>
  <c r="L100" i="1"/>
  <c r="L107" i="1"/>
  <c r="L122" i="1"/>
  <c r="L114" i="1"/>
  <c r="L115" i="1"/>
  <c r="L109" i="1"/>
  <c r="L113" i="1"/>
  <c r="L119" i="1"/>
  <c r="L105" i="1"/>
  <c r="L104" i="1"/>
  <c r="L120" i="1"/>
  <c r="L121" i="1"/>
  <c r="B46" i="24" l="1"/>
  <c r="B47" i="24" s="1"/>
  <c r="B51" i="24"/>
  <c r="B53" i="2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Jatin Mhatre</author>
  </authors>
  <commentList>
    <comment ref="E14" authorId="0" shapeId="0" xr:uid="{F3C5EEAB-8A06-4BA3-9D67-F694681721E9}">
      <text>
        <r>
          <rPr>
            <b/>
            <sz val="9"/>
            <color indexed="81"/>
            <rFont val="Tahoma"/>
            <charset val="1"/>
          </rPr>
          <t>Jatin Mhatre:</t>
        </r>
        <r>
          <rPr>
            <sz val="9"/>
            <color indexed="81"/>
            <rFont val="Tahoma"/>
            <charset val="1"/>
          </rPr>
          <t xml:space="preserve">
364 Day T-Bill Yield taken as risk free rate </t>
        </r>
      </text>
    </comment>
    <comment ref="B15" authorId="0" shapeId="0" xr:uid="{B805D6D0-3FF3-4330-86FA-CEBFE6694A37}">
      <text>
        <r>
          <rPr>
            <b/>
            <sz val="9"/>
            <color indexed="81"/>
            <rFont val="Tahoma"/>
            <charset val="1"/>
          </rPr>
          <t>Jatin Mhatre:</t>
        </r>
        <r>
          <rPr>
            <sz val="9"/>
            <color indexed="81"/>
            <rFont val="Tahoma"/>
            <charset val="1"/>
          </rPr>
          <t xml:space="preserve">
MPS as on 31.03.2022</t>
        </r>
      </text>
    </comment>
  </commentList>
</comments>
</file>

<file path=xl/sharedStrings.xml><?xml version="1.0" encoding="utf-8"?>
<sst xmlns="http://schemas.openxmlformats.org/spreadsheetml/2006/main" count="342" uniqueCount="302">
  <si>
    <t>Inventories</t>
  </si>
  <si>
    <t>EBITDA</t>
  </si>
  <si>
    <t>Cash Flow Statement</t>
  </si>
  <si>
    <t>Balance Sheet</t>
  </si>
  <si>
    <t>Basic</t>
  </si>
  <si>
    <t>Diluted</t>
  </si>
  <si>
    <t>Revenue</t>
  </si>
  <si>
    <t>Revenue Growth</t>
  </si>
  <si>
    <t>Depreciation</t>
  </si>
  <si>
    <t>Amortization</t>
  </si>
  <si>
    <t>Market Capitalisation</t>
  </si>
  <si>
    <t>WACC</t>
  </si>
  <si>
    <t>Revenues</t>
  </si>
  <si>
    <t>EBIT</t>
  </si>
  <si>
    <t>Depreciation &amp; Amortisation</t>
  </si>
  <si>
    <t>Working Capital Change</t>
  </si>
  <si>
    <t>Operating Cash Flow</t>
  </si>
  <si>
    <t>Capex</t>
  </si>
  <si>
    <t>Terminal Value</t>
  </si>
  <si>
    <t>Enterprise Value</t>
  </si>
  <si>
    <t>Statutory Tax Rate</t>
  </si>
  <si>
    <t>Income Statement</t>
  </si>
  <si>
    <t>Tax Rate</t>
  </si>
  <si>
    <t>Ratio Snapshot</t>
  </si>
  <si>
    <t>Depreciation &amp; Amortization</t>
  </si>
  <si>
    <t>Assumptions</t>
  </si>
  <si>
    <t>Industry</t>
  </si>
  <si>
    <t>Sector</t>
  </si>
  <si>
    <t>Year end</t>
  </si>
  <si>
    <t>Current Investment</t>
  </si>
  <si>
    <t>Disposal</t>
  </si>
  <si>
    <t>Acquisitions</t>
  </si>
  <si>
    <t>Net Block</t>
  </si>
  <si>
    <t>Debt</t>
  </si>
  <si>
    <t>Minority Interest</t>
  </si>
  <si>
    <t>COMPANY DESCRIPTION</t>
  </si>
  <si>
    <t>Particulars</t>
  </si>
  <si>
    <t>(In INR Crores, unless otherwise stated)</t>
  </si>
  <si>
    <t>(in INR Crores, unless otherwise stated)</t>
  </si>
  <si>
    <t>PARTICULARS</t>
  </si>
  <si>
    <t>Other Income</t>
  </si>
  <si>
    <t/>
  </si>
  <si>
    <t>Cash And Cash Equivalents</t>
  </si>
  <si>
    <t>Bank Balance</t>
  </si>
  <si>
    <t>Short-Term Loans And Advances</t>
  </si>
  <si>
    <t>Total Current Assets</t>
  </si>
  <si>
    <t>Other Intangible Assets</t>
  </si>
  <si>
    <t>Capital Work-In-Progress</t>
  </si>
  <si>
    <t>Deferred Tax Assets (Net)</t>
  </si>
  <si>
    <t>Long-Term Loans And Advances</t>
  </si>
  <si>
    <t>Total Assets</t>
  </si>
  <si>
    <t xml:space="preserve">Accounts Payable </t>
  </si>
  <si>
    <t>Short-Term Borrowings</t>
  </si>
  <si>
    <t>Other Current Liabilities</t>
  </si>
  <si>
    <t>Short-Term Provisions</t>
  </si>
  <si>
    <t>Total Current Liabilities</t>
  </si>
  <si>
    <t>Long-Term Debt</t>
  </si>
  <si>
    <t xml:space="preserve">Deferred Tax Liabilities (Net) </t>
  </si>
  <si>
    <t xml:space="preserve">Other Long-Term Liabilities </t>
  </si>
  <si>
    <t>Long-Term Provisions</t>
  </si>
  <si>
    <t>Total Liabilities</t>
  </si>
  <si>
    <t>Shareholder'S Equity:</t>
  </si>
  <si>
    <t>Share Capital</t>
  </si>
  <si>
    <t>Reserves And Surplus</t>
  </si>
  <si>
    <t>Total Shareholder'S Equity</t>
  </si>
  <si>
    <t>Total Equity</t>
  </si>
  <si>
    <t>Total Liabilities And Equity</t>
  </si>
  <si>
    <t>LIABILITIES &amp; EQUITY</t>
  </si>
  <si>
    <t>PPE, Net</t>
  </si>
  <si>
    <t>Tangible Assets</t>
  </si>
  <si>
    <t>Gross Assets (Opening)</t>
  </si>
  <si>
    <t>Gross Assets (Ending)</t>
  </si>
  <si>
    <t>Accumulated Depreciation (Opening)</t>
  </si>
  <si>
    <t>Depreciation For The Year</t>
  </si>
  <si>
    <t>Accumulated Depreciation (Ending)</t>
  </si>
  <si>
    <t>Accumulated Amortization (Opening)</t>
  </si>
  <si>
    <t>Intangible Assets</t>
  </si>
  <si>
    <t>Amortization For The Year</t>
  </si>
  <si>
    <t>Cash Flows From Operating Activities:</t>
  </si>
  <si>
    <t xml:space="preserve">Adjustments To Reconcile Net Income To Cash Provided By Operating Activities </t>
  </si>
  <si>
    <t>Profit On Sale Of Investments (Net)</t>
  </si>
  <si>
    <t>Provision For Doubtful Trade Receivables And Advances</t>
  </si>
  <si>
    <t>Share Of (Profit) / Loss Of Associate Companies (Net)</t>
  </si>
  <si>
    <t>Share Of Minority Interest</t>
  </si>
  <si>
    <t>Interest / Dividend (Net)</t>
  </si>
  <si>
    <t>(Increase) Decrease In Accounts Receivable</t>
  </si>
  <si>
    <t>(Increase) Decrease In Finance Receivable</t>
  </si>
  <si>
    <t>Other Current And Non-Current Assets</t>
  </si>
  <si>
    <t>Trade Payables</t>
  </si>
  <si>
    <t>Cash Provided By Operating Activities</t>
  </si>
  <si>
    <t>Income Taxes Paid (Net)</t>
  </si>
  <si>
    <t>Cash Flows From Investing Activities:</t>
  </si>
  <si>
    <t>Payments For Fixed Assets</t>
  </si>
  <si>
    <t>Proceeds From Sale Of Fixed Assets</t>
  </si>
  <si>
    <t>Cash Flows From Financing Activities:</t>
  </si>
  <si>
    <t>Repayment Of Long Term Borrowings</t>
  </si>
  <si>
    <t>Proceeds From Short Term Borrowings</t>
  </si>
  <si>
    <t>Repayment Of Short Term Borrowings</t>
  </si>
  <si>
    <t>Dividend Paid (Including Dividend Distribution Tax)</t>
  </si>
  <si>
    <t>Dividend Paid To Minority Shareholders</t>
  </si>
  <si>
    <t>Interest Paid</t>
  </si>
  <si>
    <t>Increase (Decrease) In Cash And Cash Equivalents</t>
  </si>
  <si>
    <t>Cash And Cash Equivalents At Beginning Of Period</t>
  </si>
  <si>
    <t>Effect Of Exchange Rate Change On Cash</t>
  </si>
  <si>
    <t>Other Investing Activity 10</t>
  </si>
  <si>
    <t>Other Financing Activity 8</t>
  </si>
  <si>
    <t>CALCULATION OF FREE CASH FLOW</t>
  </si>
  <si>
    <t>Long Term Growth Rate</t>
  </si>
  <si>
    <t>Common size Income Statement</t>
  </si>
  <si>
    <t>Financial Year</t>
  </si>
  <si>
    <t>COGS</t>
  </si>
  <si>
    <t>Gross Profit</t>
  </si>
  <si>
    <t>Tax Expenses</t>
  </si>
  <si>
    <t>Profit After Tax</t>
  </si>
  <si>
    <t>Cash</t>
  </si>
  <si>
    <t>Net Margin (%)</t>
  </si>
  <si>
    <t>Net Profit / EBITDA</t>
  </si>
  <si>
    <t>Gross Margin (%)</t>
  </si>
  <si>
    <t>Net Profit (%)</t>
  </si>
  <si>
    <t>COMPANY DETAILS</t>
  </si>
  <si>
    <t>Market Capitalization</t>
  </si>
  <si>
    <t>% Growth Revenue</t>
  </si>
  <si>
    <t>% Margin EBITDA</t>
  </si>
  <si>
    <t>% Growth EBITDA</t>
  </si>
  <si>
    <t>% Growth EBIT</t>
  </si>
  <si>
    <t>% Margin EBIT</t>
  </si>
  <si>
    <t>Revenue from Operation</t>
  </si>
  <si>
    <t>Total Income</t>
  </si>
  <si>
    <t>Cost of materials consumed</t>
  </si>
  <si>
    <t>Purchase</t>
  </si>
  <si>
    <t xml:space="preserve">Changes in stock </t>
  </si>
  <si>
    <t>Cost of Goods Sold</t>
  </si>
  <si>
    <t>Employment Benefit Expenses</t>
  </si>
  <si>
    <t>Total Expenditure</t>
  </si>
  <si>
    <t>Interest</t>
  </si>
  <si>
    <t>Profit before Prior Period Items and Tax</t>
  </si>
  <si>
    <t>Profit/Loss before Taxation</t>
  </si>
  <si>
    <t>Current Tax</t>
  </si>
  <si>
    <t>Provision for Deferred tax</t>
  </si>
  <si>
    <t>Profit/Loss after Tax</t>
  </si>
  <si>
    <t>Share of loss/profits of associates</t>
  </si>
  <si>
    <t>Other Comprehensive Income</t>
  </si>
  <si>
    <t>Total Comprehensive Income for the year</t>
  </si>
  <si>
    <t>Number of Shares Issued:</t>
  </si>
  <si>
    <t>Earnings per share :</t>
  </si>
  <si>
    <t>Other Current Assets</t>
  </si>
  <si>
    <t>Revenue / Gross Block (Tangible)</t>
  </si>
  <si>
    <t>Revenue / Gross Block (Intangible)</t>
  </si>
  <si>
    <t>Employee Expenses</t>
  </si>
  <si>
    <t>Accounts Receivables</t>
  </si>
  <si>
    <t>(in INR Crores)</t>
  </si>
  <si>
    <t>COMMON SIZE BALANCE SHEET</t>
  </si>
  <si>
    <t>Accounts Receivable Turnover</t>
  </si>
  <si>
    <t>Inventory Turnover</t>
  </si>
  <si>
    <t>Accounts Payable Turnover</t>
  </si>
  <si>
    <t>Effective Interest Rate</t>
  </si>
  <si>
    <t>INCOME STATEMENTS</t>
  </si>
  <si>
    <t>FY2020 A</t>
  </si>
  <si>
    <t>FY2023 E</t>
  </si>
  <si>
    <t>FY2024 E</t>
  </si>
  <si>
    <t>FY2025 E</t>
  </si>
  <si>
    <t>FY2026 E</t>
  </si>
  <si>
    <t>FY2027 E</t>
  </si>
  <si>
    <t>FY2028 E</t>
  </si>
  <si>
    <t>FY2029 E</t>
  </si>
  <si>
    <t>FY2021 A</t>
  </si>
  <si>
    <t>Particular</t>
  </si>
  <si>
    <t>Excise Duty</t>
  </si>
  <si>
    <t>Other Expense</t>
  </si>
  <si>
    <t>Other Tax</t>
  </si>
  <si>
    <t>Exceptional Items</t>
  </si>
  <si>
    <t>Reassesment of defined benefit</t>
  </si>
  <si>
    <t>Income tax related income</t>
  </si>
  <si>
    <t>Total Non-Current Assets</t>
  </si>
  <si>
    <t>Total Non-Current Liabilities</t>
  </si>
  <si>
    <t>Assets</t>
  </si>
  <si>
    <t>Investment Property</t>
  </si>
  <si>
    <t>Other items 3</t>
  </si>
  <si>
    <t>ASSET SCHEDULE</t>
  </si>
  <si>
    <t>Exchange difference/capex</t>
  </si>
  <si>
    <t>Translation Adjustment</t>
  </si>
  <si>
    <t>Accumulated Depreciation On Acquisitions During The Year/exchange difference</t>
  </si>
  <si>
    <t>Capex/exchange difference</t>
  </si>
  <si>
    <t>Accumulated Amortization On Acquisitions During The Year</t>
  </si>
  <si>
    <t>Translation Adjustment Accumulated Amortization</t>
  </si>
  <si>
    <t>Esop expense</t>
  </si>
  <si>
    <t xml:space="preserve">Net gain on financial asset measured </t>
  </si>
  <si>
    <t>Interest Income</t>
  </si>
  <si>
    <t>Finance cost</t>
  </si>
  <si>
    <t>Adjustment for working capital</t>
  </si>
  <si>
    <t>Net Cash Flow From Operating Activities</t>
  </si>
  <si>
    <t>Inter corporate deposit</t>
  </si>
  <si>
    <t>Redeem of inter corporate deposit</t>
  </si>
  <si>
    <t>Interest received</t>
  </si>
  <si>
    <t>Net Cash Flow From Investing Activities</t>
  </si>
  <si>
    <t>Payment of bonus debenture</t>
  </si>
  <si>
    <t>Net Cash Used In Financing Activities</t>
  </si>
  <si>
    <t>Cash And Cash Equivalent At The end of period</t>
  </si>
  <si>
    <t>Foreign Currency translation reserve</t>
  </si>
  <si>
    <t>Other Financial Assets</t>
  </si>
  <si>
    <t>Investment In Associates</t>
  </si>
  <si>
    <t>Other Non Current Assets</t>
  </si>
  <si>
    <t>Current tax Liabilities</t>
  </si>
  <si>
    <t>Governmnet Grant</t>
  </si>
  <si>
    <t>Profit On Sale Of Assets (Including Assets Scrapped / Written Off)</t>
  </si>
  <si>
    <t xml:space="preserve">Share Based Payment </t>
  </si>
  <si>
    <t>Purchase/sale of investment</t>
  </si>
  <si>
    <t>Proceeds From Share Allotment</t>
  </si>
  <si>
    <t>payment of debenture and interest</t>
  </si>
  <si>
    <t>Issue Of bonus debenture</t>
  </si>
  <si>
    <t>Cost of Equity (Ke)</t>
  </si>
  <si>
    <t>Stock Beta</t>
  </si>
  <si>
    <t xml:space="preserve">Long Term Cost of Debt </t>
  </si>
  <si>
    <t>Tax Rate (@)</t>
  </si>
  <si>
    <t>Number of Shares Outstanding</t>
  </si>
  <si>
    <t>Current market Price</t>
  </si>
  <si>
    <t>FY2022 A</t>
  </si>
  <si>
    <t>FY2030 E</t>
  </si>
  <si>
    <t>Outsourcing Expenses</t>
  </si>
  <si>
    <t>Depreciation, amortization and impairment expense</t>
  </si>
  <si>
    <t>Cash Flow Hedging Reserve</t>
  </si>
  <si>
    <t>Unrealized gain on debt instrument</t>
  </si>
  <si>
    <t>Other Expenses</t>
  </si>
  <si>
    <t>Profit/Loss attributable to shareholders of company</t>
  </si>
  <si>
    <t>Right-of-use Assets</t>
  </si>
  <si>
    <t>Long Term Financial Investments</t>
  </si>
  <si>
    <t>Current Tax Assets</t>
  </si>
  <si>
    <t>Long-Term Lease Liabilities</t>
  </si>
  <si>
    <t>Short-Term Lease Liabilities</t>
  </si>
  <si>
    <t>Other Non Current Liabilities</t>
  </si>
  <si>
    <t>Profit before Tax</t>
  </si>
  <si>
    <t>Income on investments carried at fair value through profit and loss</t>
  </si>
  <si>
    <t>Profit on sale of investments carried at fair value through other comprehensive income</t>
  </si>
  <si>
    <t>Other Non Cash Charges (net)</t>
  </si>
  <si>
    <t>Investments in bank deposits</t>
  </si>
  <si>
    <t>Proceeds from bank deposits on maturity</t>
  </si>
  <si>
    <t>Payments for business acquisitions, net of cash acquired</t>
  </si>
  <si>
    <t>Net cash acquired on business acquisition (refer note 2(a)(ii))</t>
  </si>
  <si>
    <t>Investment in associate</t>
  </si>
  <si>
    <t>Income Taxes Paid</t>
  </si>
  <si>
    <t>Proceeds from Long Term Borrowings</t>
  </si>
  <si>
    <t>Payments for deferred and contingent consideration on business acquisitions</t>
  </si>
  <si>
    <t>Purchase of non-controlling interest</t>
  </si>
  <si>
    <t>Acquisition of treasury shares</t>
  </si>
  <si>
    <t>Payment of lease liabilities</t>
  </si>
  <si>
    <t>Other Current And Non-Current Liabilities, Provisions</t>
  </si>
  <si>
    <t>Investment in limited liability partnership (net of distribution)</t>
  </si>
  <si>
    <t>Company Name: HCL Technologies Ltd</t>
  </si>
  <si>
    <t>Expectations in 5 Years: 2023 - 2027</t>
  </si>
  <si>
    <t>Finance Cost</t>
  </si>
  <si>
    <t>Other Income Growth</t>
  </si>
  <si>
    <t>Transition Adjustment (IND AS 116)</t>
  </si>
  <si>
    <t>Deduction/other adjustments</t>
  </si>
  <si>
    <t>Acquisitions &amp; Additions</t>
  </si>
  <si>
    <t>Average Gross Block</t>
  </si>
  <si>
    <t>Depreciation as % of Gross Block</t>
  </si>
  <si>
    <t>Amortization as % of Gross Block</t>
  </si>
  <si>
    <t>Cannot be forecasted</t>
  </si>
  <si>
    <t>Lease liab historically has been decreasing at the rate of 13%</t>
  </si>
  <si>
    <t>Long term liab other than debt and lease are assumed to be constant</t>
  </si>
  <si>
    <t>Other Current Liabilities Turnover</t>
  </si>
  <si>
    <t>Calculated using accounts payable turnover ratio</t>
  </si>
  <si>
    <t>Calculated using other current liab turnover ratio</t>
  </si>
  <si>
    <t>Assumed to be constant</t>
  </si>
  <si>
    <t>(Increase) Decrease In Inventories</t>
  </si>
  <si>
    <t>Dividends distributed (including DDT)</t>
  </si>
  <si>
    <t>Dividend Payout Ratio</t>
  </si>
  <si>
    <t>Growth in all the current assets except account receivables and inventories is assumed to be in cash and cash equivalents. Cash can be seen inflated since it is assumed that excess cash is not yet invested. Hence, it can seen that investments have not been increased.</t>
  </si>
  <si>
    <t>Write-off of goodwill</t>
  </si>
  <si>
    <t>Write-off of ROU Asset</t>
  </si>
  <si>
    <t>Date</t>
  </si>
  <si>
    <t>CAGR</t>
  </si>
  <si>
    <t>Risk Free Rate</t>
  </si>
  <si>
    <t>Market Rate of Return</t>
  </si>
  <si>
    <t>Total Debt</t>
  </si>
  <si>
    <t>Equity Weight</t>
  </si>
  <si>
    <t>Debt Weight</t>
  </si>
  <si>
    <t>Cash &amp; Cash Equivalent</t>
  </si>
  <si>
    <t>Net Operating Profit After Taxes (NOPAT) = EBIT - Tax</t>
  </si>
  <si>
    <t>FCFF</t>
  </si>
  <si>
    <t>FCFF for discounting</t>
  </si>
  <si>
    <t>FCFF using DCF method</t>
  </si>
  <si>
    <t>HCL Tech is a leading global IT services company, which is ranked amongst the top five Indian IT services companies in terms of revenues. Since its inception into the global landscape after its IPO in 1999, HCL Tech has focused on transformational outsourcing, and offers an integrated portfolio of services including software-led IT solutions, remote infrastructure management, engineering and R&amp;D services and BPO. The company leverages its extensive global offshore infrastructure and network of offices in 46 countries to provide multi-service delivery in key industry verticals.</t>
  </si>
  <si>
    <t>Computers - Software</t>
  </si>
  <si>
    <t>IT - Software</t>
  </si>
  <si>
    <t>2021-22</t>
  </si>
  <si>
    <t>Justified Enterprise value</t>
  </si>
  <si>
    <t>NIFTY 50 closing price as on 31st March of every year for 10 years</t>
  </si>
  <si>
    <t>Whole Goodwill written off in FY 2023.</t>
  </si>
  <si>
    <t>Goodwill on Consolidation</t>
  </si>
  <si>
    <t>Closing</t>
  </si>
  <si>
    <t>ROU taken as 93%(Average)</t>
  </si>
  <si>
    <t>Lease Liability taken as 97%(Average)</t>
  </si>
  <si>
    <t>Current Market Price as on 31.03.2022</t>
  </si>
  <si>
    <t>Calculation of Enterprise Value</t>
  </si>
  <si>
    <t>Calculation of Target Price</t>
  </si>
  <si>
    <t>Number of shares</t>
  </si>
  <si>
    <t>Fair Price of Share</t>
  </si>
  <si>
    <t>Return on Equity</t>
  </si>
  <si>
    <t>Growth rate in Terminal Year</t>
  </si>
  <si>
    <t>Since Debt has been increasing historically, it is assumed to be increasing at a constant rate of 5%</t>
  </si>
  <si>
    <t>Cash vs PAT  2023 - 2027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</si>
</sst>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1" formatCode="_(* #,##0_);_(* \(#,##0\);_(* &quot;-&quot;_);_(@_)"/>
    <numFmt numFmtId="43" formatCode="_(* #,##0.00_);_(* \(#,##0.00\);_(* &quot;-&quot;??_);_(@_)"/>
    <numFmt numFmtId="164" formatCode="_ * #,##0.00_ ;_ * \-#,##0.00_ ;_ * &quot;-&quot;??_ ;_ @_ "/>
    <numFmt numFmtId="165" formatCode="_(* #,##0_);_(* \(#,##0\);_(* &quot;-&quot;??_);_(@_)"/>
    <numFmt numFmtId="166" formatCode="0.0%"/>
    <numFmt numFmtId="167" formatCode="_(* #,##0.0_);_(* \(#,##0.0\);_(* &quot;-&quot;??_);_(@_)"/>
    <numFmt numFmtId="168" formatCode="&quot;FY&quot;yyyy\ &quot;E&quot;"/>
    <numFmt numFmtId="169" formatCode="&quot;FY&quot;yyyy\ &quot;A&quot;"/>
    <numFmt numFmtId="170" formatCode="_ * #,##0_ ;_ * \-#,##0_ ;_ * &quot;-&quot;??_ ;_ @_ "/>
    <numFmt numFmtId="171" formatCode="0.000"/>
    <numFmt numFmtId="172" formatCode="#,##0.00_ ;\-#,##0.00\ "/>
    <numFmt numFmtId="173" formatCode="_ * #,##0.000000_ ;_ * \-#,##0.000000_ ;_ * &quot;-&quot;??_ ;_ @_ "/>
    <numFmt numFmtId="174" formatCode="_ * #,##0.0000000_ ;_ * \-#,##0.0000000_ ;_ * &quot;-&quot;??_ ;_ @_ "/>
  </numFmts>
  <fonts count="69">
    <font>
      <sz val="11"/>
      <color theme="1"/>
      <name val="Calibri"/>
      <family val="2"/>
      <scheme val="minor"/>
    </font>
    <font>
      <sz val="11"/>
      <color theme="1"/>
      <name val="Calibri"/>
      <family val="2"/>
      <scheme val="minor"/>
    </font>
    <font>
      <sz val="10"/>
      <name val="Arial"/>
      <family val="2"/>
    </font>
    <font>
      <b/>
      <sz val="10"/>
      <name val="MS Sans Serif"/>
      <family val="2"/>
    </font>
    <font>
      <sz val="11"/>
      <color indexed="8"/>
      <name val="Calibri"/>
      <family val="2"/>
    </font>
    <font>
      <sz val="8"/>
      <color theme="1"/>
      <name val="Calibri"/>
      <family val="2"/>
      <scheme val="minor"/>
    </font>
    <font>
      <sz val="10"/>
      <color indexed="8"/>
      <name val="Arial"/>
      <family val="2"/>
    </font>
    <font>
      <b/>
      <u val="singleAccounting"/>
      <sz val="8"/>
      <color indexed="8"/>
      <name val="Arial"/>
      <family val="2"/>
    </font>
    <font>
      <sz val="1"/>
      <color indexed="9"/>
      <name val="Symbol"/>
      <family val="1"/>
      <charset val="2"/>
    </font>
    <font>
      <b/>
      <u val="singleAccounting"/>
      <sz val="8"/>
      <color indexed="8"/>
      <name val="Verdana"/>
      <family val="2"/>
    </font>
    <font>
      <b/>
      <sz val="10"/>
      <color indexed="9"/>
      <name val="Arial"/>
      <family val="2"/>
    </font>
    <font>
      <b/>
      <sz val="12"/>
      <color indexed="8"/>
      <name val="Verdana"/>
      <family val="2"/>
    </font>
    <font>
      <sz val="10"/>
      <name val="Arial Narrow"/>
      <family val="2"/>
    </font>
    <font>
      <b/>
      <sz val="8"/>
      <color indexed="9"/>
      <name val="Verdana"/>
      <family val="2"/>
    </font>
    <font>
      <vertAlign val="subscript"/>
      <sz val="8"/>
      <color indexed="8"/>
      <name val="Arial"/>
      <family val="2"/>
    </font>
    <font>
      <vertAlign val="superscript"/>
      <sz val="8"/>
      <color indexed="8"/>
      <name val="Arial"/>
      <family val="2"/>
    </font>
    <font>
      <b/>
      <sz val="8"/>
      <color indexed="8"/>
      <name val="Arial"/>
      <family val="2"/>
    </font>
    <font>
      <i/>
      <sz val="8"/>
      <color indexed="8"/>
      <name val="Arial"/>
      <family val="2"/>
    </font>
    <font>
      <sz val="8"/>
      <color indexed="8"/>
      <name val="Arial"/>
      <family val="2"/>
    </font>
    <font>
      <b/>
      <sz val="13"/>
      <color indexed="8"/>
      <name val="Verdana"/>
      <family val="2"/>
    </font>
    <font>
      <sz val="10"/>
      <name val="Arial"/>
      <family val="2"/>
    </font>
    <font>
      <b/>
      <sz val="8"/>
      <color indexed="8"/>
      <name val="Verdana"/>
      <family val="2"/>
    </font>
    <font>
      <sz val="10"/>
      <name val="Arial"/>
      <family val="2"/>
    </font>
    <font>
      <sz val="1"/>
      <color indexed="9"/>
      <name val="Symbol"/>
      <family val="1"/>
      <charset val="2"/>
    </font>
    <font>
      <sz val="7"/>
      <color indexed="10"/>
      <name val="Arial"/>
      <family val="2"/>
    </font>
    <font>
      <sz val="10"/>
      <name val="Arial"/>
      <family val="2"/>
    </font>
    <font>
      <sz val="1"/>
      <color indexed="9"/>
      <name val="Symbol"/>
      <family val="1"/>
      <charset val="2"/>
    </font>
    <font>
      <sz val="11"/>
      <name val="Calibri"/>
      <family val="2"/>
    </font>
    <font>
      <sz val="9"/>
      <color indexed="81"/>
      <name val="Tahoma"/>
      <charset val="1"/>
    </font>
    <font>
      <b/>
      <sz val="9"/>
      <color indexed="81"/>
      <name val="Tahoma"/>
      <charset val="1"/>
    </font>
    <font>
      <b/>
      <sz val="16"/>
      <name val="Palatino Linotype"/>
      <family val="1"/>
    </font>
    <font>
      <sz val="11"/>
      <color theme="1"/>
      <name val="Palatino Linotype"/>
      <family val="1"/>
    </font>
    <font>
      <b/>
      <sz val="11"/>
      <color theme="0"/>
      <name val="Palatino Linotype"/>
      <family val="1"/>
    </font>
    <font>
      <sz val="10"/>
      <color theme="1"/>
      <name val="Palatino Linotype"/>
      <family val="1"/>
    </font>
    <font>
      <b/>
      <sz val="11"/>
      <color theme="1"/>
      <name val="Palatino Linotype"/>
      <family val="1"/>
    </font>
    <font>
      <b/>
      <sz val="14"/>
      <color theme="1"/>
      <name val="Palatino Linotype"/>
      <family val="1"/>
    </font>
    <font>
      <b/>
      <sz val="11"/>
      <name val="Palatino Linotype"/>
      <family val="1"/>
    </font>
    <font>
      <sz val="11"/>
      <color theme="0"/>
      <name val="Palatino Linotype"/>
      <family val="1"/>
    </font>
    <font>
      <b/>
      <sz val="16"/>
      <color theme="0"/>
      <name val="Palatino Linotype"/>
      <family val="1"/>
    </font>
    <font>
      <sz val="8"/>
      <color theme="1"/>
      <name val="Palatino Linotype"/>
      <family val="1"/>
    </font>
    <font>
      <b/>
      <sz val="10"/>
      <color indexed="9"/>
      <name val="Palatino Linotype"/>
      <family val="1"/>
    </font>
    <font>
      <b/>
      <sz val="12"/>
      <color theme="0"/>
      <name val="Palatino Linotype"/>
      <family val="1"/>
    </font>
    <font>
      <b/>
      <sz val="12"/>
      <color theme="1"/>
      <name val="Palatino Linotype"/>
      <family val="1"/>
    </font>
    <font>
      <sz val="12"/>
      <color theme="1"/>
      <name val="Palatino Linotype"/>
      <family val="1"/>
    </font>
    <font>
      <sz val="12"/>
      <name val="Palatino Linotype"/>
      <family val="1"/>
    </font>
    <font>
      <sz val="14"/>
      <color theme="1"/>
      <name val="Palatino Linotype"/>
      <family val="1"/>
    </font>
    <font>
      <sz val="14"/>
      <name val="Palatino Linotype"/>
      <family val="1"/>
    </font>
    <font>
      <b/>
      <sz val="14"/>
      <color rgb="FFFF0000"/>
      <name val="Palatino Linotype"/>
      <family val="1"/>
    </font>
    <font>
      <b/>
      <sz val="14"/>
      <color theme="0"/>
      <name val="Palatino Linotype"/>
      <family val="1"/>
    </font>
    <font>
      <b/>
      <sz val="14"/>
      <name val="Palatino Linotype"/>
      <family val="1"/>
    </font>
    <font>
      <b/>
      <sz val="12"/>
      <name val="Palatino Linotype"/>
      <family val="1"/>
    </font>
    <font>
      <sz val="12"/>
      <color rgb="FF0000FF"/>
      <name val="Palatino Linotype"/>
      <family val="1"/>
    </font>
    <font>
      <sz val="12"/>
      <color theme="0"/>
      <name val="Palatino Linotype"/>
      <family val="1"/>
    </font>
    <font>
      <sz val="8"/>
      <name val="Palatino Linotype"/>
      <family val="1"/>
    </font>
    <font>
      <b/>
      <sz val="10"/>
      <color theme="0"/>
      <name val="Palatino Linotype"/>
      <family val="1"/>
    </font>
    <font>
      <b/>
      <sz val="8"/>
      <name val="Palatino Linotype"/>
      <family val="1"/>
    </font>
    <font>
      <sz val="10"/>
      <name val="Palatino Linotype"/>
      <family val="1"/>
    </font>
    <font>
      <sz val="8"/>
      <color rgb="FF1F497D"/>
      <name val="Palatino Linotype"/>
      <family val="1"/>
    </font>
    <font>
      <b/>
      <sz val="10"/>
      <name val="Palatino Linotype"/>
      <family val="1"/>
    </font>
    <font>
      <b/>
      <sz val="10"/>
      <color theme="1"/>
      <name val="Palatino Linotype"/>
      <family val="1"/>
    </font>
    <font>
      <sz val="14"/>
      <color rgb="FF002060"/>
      <name val="Palatino Linotype"/>
      <family val="1"/>
    </font>
    <font>
      <b/>
      <sz val="14"/>
      <color indexed="10"/>
      <name val="Palatino Linotype"/>
      <family val="1"/>
    </font>
    <font>
      <b/>
      <sz val="12"/>
      <color indexed="9"/>
      <name val="Palatino Linotype"/>
      <family val="1"/>
    </font>
    <font>
      <b/>
      <sz val="12"/>
      <color rgb="FF00B050"/>
      <name val="Palatino Linotype"/>
      <family val="1"/>
    </font>
    <font>
      <b/>
      <sz val="12"/>
      <color rgb="FF002060"/>
      <name val="Palatino Linotype"/>
      <family val="1"/>
    </font>
    <font>
      <b/>
      <sz val="12"/>
      <color rgb="FFFF0000"/>
      <name val="Palatino Linotype"/>
      <family val="1"/>
    </font>
    <font>
      <sz val="10"/>
      <color theme="0"/>
      <name val="Palatino Linotype"/>
      <family val="1"/>
    </font>
    <font>
      <sz val="10"/>
      <color rgb="FF0000FF"/>
      <name val="Palatino Linotype"/>
      <family val="1"/>
    </font>
    <font>
      <sz val="11"/>
      <name val="Palatino Linotype"/>
      <family val="1"/>
    </font>
  </fonts>
  <fills count="11">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indexed="60"/>
        <bgColor indexed="64"/>
      </patternFill>
    </fill>
    <fill>
      <patternFill patternType="solid">
        <fgColor indexed="62"/>
        <bgColor indexed="64"/>
      </patternFill>
    </fill>
    <fill>
      <patternFill patternType="solid">
        <fgColor indexed="63"/>
        <bgColor indexed="64"/>
      </patternFill>
    </fill>
    <fill>
      <patternFill patternType="solid">
        <fgColor indexed="56"/>
        <bgColor indexed="64"/>
      </patternFill>
    </fill>
    <fill>
      <patternFill patternType="solid">
        <fgColor rgb="FFFFFF99"/>
        <bgColor indexed="64"/>
      </patternFill>
    </fill>
    <fill>
      <patternFill patternType="solid">
        <fgColor rgb="FFB7E9C3"/>
        <bgColor indexed="64"/>
      </patternFill>
    </fill>
    <fill>
      <patternFill patternType="solid">
        <fgColor theme="0" tint="-0.34998626667073579"/>
        <bgColor indexed="64"/>
      </patternFill>
    </fill>
  </fills>
  <borders count="42">
    <border>
      <left/>
      <right/>
      <top/>
      <bottom/>
      <diagonal/>
    </border>
    <border>
      <left/>
      <right/>
      <top style="thin">
        <color indexed="64"/>
      </top>
      <bottom/>
      <diagonal/>
    </border>
    <border>
      <left/>
      <right/>
      <top/>
      <bottom style="hair">
        <color indexed="64"/>
      </bottom>
      <diagonal/>
    </border>
    <border>
      <left/>
      <right/>
      <top/>
      <bottom style="thin">
        <color indexed="64"/>
      </bottom>
      <diagonal/>
    </border>
    <border>
      <left/>
      <right/>
      <top style="hair">
        <color indexed="64"/>
      </top>
      <bottom style="hair">
        <color indexed="64"/>
      </bottom>
      <diagonal/>
    </border>
    <border>
      <left/>
      <right/>
      <top style="hair">
        <color indexed="64"/>
      </top>
      <bottom style="thin">
        <color indexed="64"/>
      </bottom>
      <diagonal/>
    </border>
    <border>
      <left/>
      <right/>
      <top style="thin">
        <color indexed="64"/>
      </top>
      <bottom style="hair">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hair">
        <color indexed="64"/>
      </left>
      <right style="hair">
        <color indexed="64"/>
      </right>
      <top style="hair">
        <color indexed="64"/>
      </top>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65">
    <xf numFmtId="0" fontId="0" fillId="0" borderId="0"/>
    <xf numFmtId="9" fontId="1" fillId="0" borderId="0" applyFont="0" applyFill="0" applyBorder="0" applyAlignment="0" applyProtection="0"/>
    <xf numFmtId="0" fontId="2" fillId="0" borderId="0" applyNumberForma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0" fontId="3" fillId="0" borderId="0" applyNumberFormat="0" applyFill="0" applyBorder="0" applyAlignment="0" applyProtection="0"/>
    <xf numFmtId="0" fontId="4" fillId="0" borderId="0"/>
    <xf numFmtId="0" fontId="5" fillId="0" borderId="0"/>
    <xf numFmtId="0" fontId="5" fillId="0" borderId="0"/>
    <xf numFmtId="0" fontId="5" fillId="0" borderId="0"/>
    <xf numFmtId="0" fontId="6" fillId="0" borderId="0" applyAlignment="0"/>
    <xf numFmtId="0" fontId="7" fillId="4" borderId="0" applyAlignment="0"/>
    <xf numFmtId="0" fontId="8" fillId="0" borderId="0" applyAlignment="0"/>
    <xf numFmtId="0" fontId="9" fillId="5" borderId="0" applyAlignment="0"/>
    <xf numFmtId="0" fontId="10" fillId="6" borderId="0" applyAlignment="0"/>
    <xf numFmtId="0" fontId="11" fillId="0" borderId="0" applyAlignment="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0" fontId="13" fillId="7" borderId="0" applyAlignment="0"/>
    <xf numFmtId="0" fontId="14" fillId="0" borderId="0" applyAlignment="0"/>
    <xf numFmtId="0" fontId="15" fillId="0" borderId="0" applyAlignment="0"/>
    <xf numFmtId="0" fontId="16" fillId="0" borderId="0" applyAlignment="0"/>
    <xf numFmtId="0" fontId="17" fillId="0" borderId="0" applyAlignment="0"/>
    <xf numFmtId="0" fontId="18" fillId="0" borderId="0" applyAlignment="0"/>
    <xf numFmtId="0" fontId="19" fillId="0" borderId="0" applyAlignment="0"/>
    <xf numFmtId="43" fontId="4" fillId="0" borderId="0" applyFont="0" applyFill="0" applyBorder="0" applyAlignment="0" applyProtection="0"/>
    <xf numFmtId="9" fontId="4" fillId="0" borderId="0" applyFont="0" applyFill="0" applyBorder="0" applyAlignment="0" applyProtection="0"/>
    <xf numFmtId="0" fontId="2" fillId="0" borderId="0"/>
    <xf numFmtId="9" fontId="2" fillId="0" borderId="0" applyFont="0" applyFill="0" applyBorder="0" applyAlignment="0" applyProtection="0"/>
    <xf numFmtId="0" fontId="20" fillId="0" borderId="0" applyNumberFormat="0" applyFill="0" applyBorder="0" applyAlignment="0" applyProtection="0"/>
    <xf numFmtId="0" fontId="21" fillId="0" borderId="0" applyAlignment="0"/>
    <xf numFmtId="0" fontId="21" fillId="0" borderId="0" applyAlignment="0"/>
    <xf numFmtId="0" fontId="21" fillId="0" borderId="0" applyAlignment="0"/>
    <xf numFmtId="0" fontId="21" fillId="0" borderId="0" applyAlignment="0"/>
    <xf numFmtId="0" fontId="22" fillId="0" borderId="0"/>
    <xf numFmtId="0" fontId="23" fillId="0" borderId="0" applyAlignment="0"/>
    <xf numFmtId="0" fontId="2" fillId="0" borderId="0"/>
    <xf numFmtId="0" fontId="24" fillId="0" borderId="0"/>
    <xf numFmtId="0" fontId="25" fillId="0" borderId="0"/>
    <xf numFmtId="0" fontId="26" fillId="0" borderId="0" applyAlignment="0"/>
    <xf numFmtId="164" fontId="1" fillId="0" borderId="0" applyFont="0" applyFill="0" applyBorder="0" applyAlignment="0" applyProtection="0"/>
    <xf numFmtId="0" fontId="27" fillId="0" borderId="0"/>
  </cellStyleXfs>
  <cellXfs count="319">
    <xf numFmtId="0" fontId="0" fillId="0" borderId="0" xfId="0"/>
    <xf numFmtId="43" fontId="30" fillId="3" borderId="0" xfId="0" applyNumberFormat="1" applyFont="1" applyFill="1" applyAlignment="1">
      <alignment vertical="center"/>
    </xf>
    <xf numFmtId="43" fontId="30" fillId="0" borderId="0" xfId="0" applyNumberFormat="1" applyFont="1" applyAlignment="1">
      <alignment vertical="center"/>
    </xf>
    <xf numFmtId="0" fontId="31" fillId="0" borderId="0" xfId="0" applyFont="1"/>
    <xf numFmtId="43" fontId="32" fillId="10" borderId="0" xfId="0" applyNumberFormat="1" applyFont="1" applyFill="1" applyAlignment="1">
      <alignment vertical="center"/>
    </xf>
    <xf numFmtId="43" fontId="32" fillId="0" borderId="0" xfId="0" applyNumberFormat="1" applyFont="1" applyAlignment="1">
      <alignment horizontal="center" vertical="center"/>
    </xf>
    <xf numFmtId="0" fontId="33" fillId="0" borderId="0" xfId="0" applyFont="1"/>
    <xf numFmtId="0" fontId="34" fillId="0" borderId="0" xfId="0" applyFont="1"/>
    <xf numFmtId="0" fontId="31" fillId="0" borderId="9" xfId="0" applyFont="1" applyBorder="1"/>
    <xf numFmtId="164" fontId="31" fillId="0" borderId="0" xfId="63" applyFont="1" applyFill="1"/>
    <xf numFmtId="0" fontId="31" fillId="0" borderId="7" xfId="0" applyFont="1" applyBorder="1"/>
    <xf numFmtId="39" fontId="31" fillId="0" borderId="0" xfId="63" applyNumberFormat="1" applyFont="1" applyFill="1"/>
    <xf numFmtId="164" fontId="31" fillId="0" borderId="0" xfId="63" applyFont="1"/>
    <xf numFmtId="39" fontId="31" fillId="0" borderId="0" xfId="63" applyNumberFormat="1" applyFont="1" applyFill="1" applyBorder="1"/>
    <xf numFmtId="39" fontId="34" fillId="0" borderId="0" xfId="63" applyNumberFormat="1" applyFont="1" applyFill="1" applyBorder="1"/>
    <xf numFmtId="0" fontId="31" fillId="0" borderId="8" xfId="0" applyFont="1" applyBorder="1"/>
    <xf numFmtId="9" fontId="31" fillId="0" borderId="0" xfId="1" applyFont="1" applyFill="1"/>
    <xf numFmtId="43" fontId="34" fillId="0" borderId="0" xfId="1" applyNumberFormat="1" applyFont="1" applyFill="1"/>
    <xf numFmtId="43" fontId="31" fillId="0" borderId="0" xfId="1" applyNumberFormat="1" applyFont="1" applyFill="1"/>
    <xf numFmtId="43" fontId="34" fillId="0" borderId="0" xfId="1" applyNumberFormat="1" applyFont="1" applyFill="1" applyBorder="1"/>
    <xf numFmtId="164" fontId="34" fillId="0" borderId="0" xfId="63" applyFont="1" applyFill="1"/>
    <xf numFmtId="168" fontId="32" fillId="0" borderId="0" xfId="63" applyNumberFormat="1" applyFont="1" applyFill="1" applyAlignment="1">
      <alignment horizontal="center"/>
    </xf>
    <xf numFmtId="0" fontId="36" fillId="10" borderId="0" xfId="0" applyFont="1" applyFill="1"/>
    <xf numFmtId="168" fontId="36" fillId="10" borderId="0" xfId="63" applyNumberFormat="1" applyFont="1" applyFill="1" applyAlignment="1">
      <alignment horizontal="center"/>
    </xf>
    <xf numFmtId="39" fontId="31" fillId="0" borderId="0" xfId="63" applyNumberFormat="1" applyFont="1"/>
    <xf numFmtId="169" fontId="32" fillId="0" borderId="0" xfId="0" applyNumberFormat="1" applyFont="1"/>
    <xf numFmtId="168" fontId="32" fillId="0" borderId="0" xfId="0" applyNumberFormat="1" applyFont="1"/>
    <xf numFmtId="39" fontId="31" fillId="0" borderId="0" xfId="63" applyNumberFormat="1" applyFont="1" applyBorder="1"/>
    <xf numFmtId="39" fontId="34" fillId="0" borderId="0" xfId="63" applyNumberFormat="1" applyFont="1" applyBorder="1"/>
    <xf numFmtId="9" fontId="31" fillId="0" borderId="0" xfId="1" applyFont="1"/>
    <xf numFmtId="0" fontId="34" fillId="0" borderId="1" xfId="0" applyFont="1" applyBorder="1"/>
    <xf numFmtId="43" fontId="34" fillId="0" borderId="0" xfId="1" applyNumberFormat="1" applyFont="1"/>
    <xf numFmtId="43" fontId="31" fillId="0" borderId="0" xfId="1" applyNumberFormat="1" applyFont="1"/>
    <xf numFmtId="43" fontId="34" fillId="0" borderId="0" xfId="1" applyNumberFormat="1" applyFont="1" applyBorder="1"/>
    <xf numFmtId="164" fontId="34" fillId="0" borderId="0" xfId="63" applyFont="1"/>
    <xf numFmtId="0" fontId="37" fillId="0" borderId="0" xfId="0" applyFont="1"/>
    <xf numFmtId="43" fontId="38" fillId="0" borderId="0" xfId="0" applyNumberFormat="1" applyFont="1" applyAlignment="1">
      <alignment horizontal="center" vertical="center"/>
    </xf>
    <xf numFmtId="0" fontId="39" fillId="0" borderId="0" xfId="0" applyFont="1"/>
    <xf numFmtId="9" fontId="36" fillId="0" borderId="0" xfId="1" applyFont="1" applyAlignment="1">
      <alignment horizontal="center" vertical="center"/>
    </xf>
    <xf numFmtId="166" fontId="33" fillId="0" borderId="0" xfId="0" applyNumberFormat="1" applyFont="1"/>
    <xf numFmtId="0" fontId="40" fillId="0" borderId="0" xfId="0" applyFont="1" applyAlignment="1">
      <alignment vertical="center"/>
    </xf>
    <xf numFmtId="169" fontId="41" fillId="10" borderId="0" xfId="0" applyNumberFormat="1" applyFont="1" applyFill="1" applyAlignment="1">
      <alignment horizontal="left" vertical="center"/>
    </xf>
    <xf numFmtId="169" fontId="41" fillId="10" borderId="0" xfId="0" applyNumberFormat="1" applyFont="1" applyFill="1" applyAlignment="1">
      <alignment horizontal="center"/>
    </xf>
    <xf numFmtId="0" fontId="42" fillId="0" borderId="14" xfId="7" applyFont="1" applyBorder="1"/>
    <xf numFmtId="0" fontId="43" fillId="0" borderId="4" xfId="7" applyFont="1" applyBorder="1"/>
    <xf numFmtId="0" fontId="43" fillId="0" borderId="14" xfId="7" applyFont="1" applyBorder="1"/>
    <xf numFmtId="166" fontId="39" fillId="0" borderId="0" xfId="0" applyNumberFormat="1" applyFont="1"/>
    <xf numFmtId="0" fontId="43" fillId="0" borderId="14" xfId="0" applyFont="1" applyBorder="1"/>
    <xf numFmtId="0" fontId="43" fillId="0" borderId="14" xfId="0" applyFont="1" applyBorder="1" applyAlignment="1">
      <alignment wrapText="1"/>
    </xf>
    <xf numFmtId="0" fontId="43" fillId="0" borderId="4" xfId="0" applyFont="1" applyBorder="1"/>
    <xf numFmtId="0" fontId="42" fillId="0" borderId="14" xfId="0" applyFont="1" applyBorder="1"/>
    <xf numFmtId="0" fontId="44" fillId="0" borderId="14" xfId="8" applyFont="1" applyBorder="1"/>
    <xf numFmtId="0" fontId="43" fillId="0" borderId="14" xfId="9" applyFont="1" applyBorder="1"/>
    <xf numFmtId="0" fontId="43" fillId="0" borderId="14" xfId="8" applyFont="1" applyBorder="1"/>
    <xf numFmtId="43" fontId="45" fillId="0" borderId="0" xfId="0" applyNumberFormat="1" applyFont="1"/>
    <xf numFmtId="43" fontId="47" fillId="0" borderId="4" xfId="0" applyNumberFormat="1" applyFont="1" applyBorder="1" applyAlignment="1">
      <alignment horizontal="right"/>
    </xf>
    <xf numFmtId="43" fontId="45" fillId="0" borderId="4" xfId="0" applyNumberFormat="1" applyFont="1" applyBorder="1"/>
    <xf numFmtId="41" fontId="48" fillId="10" borderId="4" xfId="0" applyNumberFormat="1" applyFont="1" applyFill="1" applyBorder="1" applyAlignment="1">
      <alignment horizontal="left" vertical="center"/>
    </xf>
    <xf numFmtId="43" fontId="49" fillId="0" borderId="4" xfId="0" applyNumberFormat="1" applyFont="1" applyBorder="1" applyAlignment="1">
      <alignment horizontal="left" vertical="top"/>
    </xf>
    <xf numFmtId="43" fontId="46" fillId="0" borderId="4" xfId="0" applyNumberFormat="1" applyFont="1" applyBorder="1"/>
    <xf numFmtId="43" fontId="49" fillId="0" borderId="0" xfId="0" applyNumberFormat="1" applyFont="1"/>
    <xf numFmtId="166" fontId="44" fillId="0" borderId="4" xfId="1" applyNumberFormat="1" applyFont="1" applyFill="1" applyBorder="1"/>
    <xf numFmtId="9" fontId="44" fillId="8" borderId="4" xfId="1" applyFont="1" applyFill="1" applyBorder="1"/>
    <xf numFmtId="166" fontId="44" fillId="8" borderId="4" xfId="1" applyNumberFormat="1" applyFont="1" applyFill="1" applyBorder="1"/>
    <xf numFmtId="0" fontId="44" fillId="0" borderId="4" xfId="0" applyFont="1" applyBorder="1"/>
    <xf numFmtId="166" fontId="44" fillId="0" borderId="4" xfId="0" applyNumberFormat="1" applyFont="1" applyBorder="1"/>
    <xf numFmtId="166" fontId="44" fillId="8" borderId="4" xfId="0" applyNumberFormat="1" applyFont="1" applyFill="1" applyBorder="1"/>
    <xf numFmtId="2" fontId="44" fillId="0" borderId="4" xfId="1" applyNumberFormat="1" applyFont="1" applyFill="1" applyBorder="1"/>
    <xf numFmtId="2" fontId="44" fillId="8" borderId="4" xfId="1" applyNumberFormat="1" applyFont="1" applyFill="1" applyBorder="1"/>
    <xf numFmtId="171" fontId="44" fillId="0" borderId="4" xfId="1" applyNumberFormat="1" applyFont="1" applyFill="1" applyBorder="1"/>
    <xf numFmtId="9" fontId="44" fillId="0" borderId="4" xfId="1" applyFont="1" applyFill="1" applyBorder="1"/>
    <xf numFmtId="172" fontId="31" fillId="0" borderId="11" xfId="63" applyNumberFormat="1" applyFont="1" applyBorder="1"/>
    <xf numFmtId="39" fontId="34" fillId="0" borderId="11" xfId="63" applyNumberFormat="1" applyFont="1" applyBorder="1"/>
    <xf numFmtId="172" fontId="34" fillId="0" borderId="11" xfId="63" applyNumberFormat="1" applyFont="1" applyBorder="1"/>
    <xf numFmtId="43" fontId="34" fillId="0" borderId="10" xfId="1" applyNumberFormat="1" applyFont="1" applyBorder="1"/>
    <xf numFmtId="9" fontId="31" fillId="0" borderId="11" xfId="1" applyFont="1" applyBorder="1"/>
    <xf numFmtId="1" fontId="31" fillId="0" borderId="11" xfId="1" applyNumberFormat="1" applyFont="1" applyBorder="1"/>
    <xf numFmtId="172" fontId="31" fillId="0" borderId="7" xfId="63" applyNumberFormat="1" applyFont="1" applyBorder="1"/>
    <xf numFmtId="39" fontId="34" fillId="0" borderId="7" xfId="63" applyNumberFormat="1" applyFont="1" applyBorder="1"/>
    <xf numFmtId="172" fontId="34" fillId="0" borderId="7" xfId="63" applyNumberFormat="1" applyFont="1" applyBorder="1"/>
    <xf numFmtId="43" fontId="34" fillId="0" borderId="9" xfId="1" applyNumberFormat="1" applyFont="1" applyBorder="1"/>
    <xf numFmtId="9" fontId="31" fillId="0" borderId="7" xfId="1" applyFont="1" applyBorder="1"/>
    <xf numFmtId="1" fontId="31" fillId="0" borderId="7" xfId="1" applyNumberFormat="1" applyFont="1" applyBorder="1"/>
    <xf numFmtId="39" fontId="31" fillId="0" borderId="12" xfId="63" applyNumberFormat="1" applyFont="1" applyBorder="1"/>
    <xf numFmtId="39" fontId="31" fillId="0" borderId="8" xfId="63" applyNumberFormat="1" applyFont="1" applyBorder="1"/>
    <xf numFmtId="172" fontId="31" fillId="0" borderId="36" xfId="63" applyNumberFormat="1" applyFont="1" applyBorder="1"/>
    <xf numFmtId="39" fontId="31" fillId="0" borderId="37" xfId="63" applyNumberFormat="1" applyFont="1" applyBorder="1"/>
    <xf numFmtId="39" fontId="34" fillId="0" borderId="36" xfId="63" applyNumberFormat="1" applyFont="1" applyBorder="1"/>
    <xf numFmtId="172" fontId="34" fillId="0" borderId="36" xfId="63" applyNumberFormat="1" applyFont="1" applyBorder="1"/>
    <xf numFmtId="43" fontId="34" fillId="0" borderId="38" xfId="1" applyNumberFormat="1" applyFont="1" applyBorder="1"/>
    <xf numFmtId="9" fontId="31" fillId="0" borderId="36" xfId="1" applyFont="1" applyBorder="1"/>
    <xf numFmtId="1" fontId="31" fillId="0" borderId="36" xfId="1" applyNumberFormat="1" applyFont="1" applyBorder="1"/>
    <xf numFmtId="165" fontId="41" fillId="0" borderId="14" xfId="3" applyNumberFormat="1" applyFont="1" applyFill="1" applyBorder="1"/>
    <xf numFmtId="43" fontId="43" fillId="0" borderId="4" xfId="0" applyNumberFormat="1" applyFont="1" applyBorder="1"/>
    <xf numFmtId="0" fontId="43" fillId="0" borderId="0" xfId="0" applyFont="1"/>
    <xf numFmtId="41" fontId="41" fillId="10" borderId="4" xfId="0" applyNumberFormat="1" applyFont="1" applyFill="1" applyBorder="1" applyAlignment="1">
      <alignment horizontal="left" vertical="center"/>
    </xf>
    <xf numFmtId="43" fontId="50" fillId="3" borderId="0" xfId="0" applyNumberFormat="1" applyFont="1" applyFill="1"/>
    <xf numFmtId="43" fontId="44" fillId="3" borderId="0" xfId="0" applyNumberFormat="1" applyFont="1" applyFill="1"/>
    <xf numFmtId="43" fontId="50" fillId="0" borderId="4" xfId="0" applyNumberFormat="1" applyFont="1" applyBorder="1" applyAlignment="1">
      <alignment horizontal="left" vertical="top"/>
    </xf>
    <xf numFmtId="43" fontId="43" fillId="3" borderId="0" xfId="0" applyNumberFormat="1" applyFont="1" applyFill="1"/>
    <xf numFmtId="43" fontId="44" fillId="0" borderId="4" xfId="0" applyNumberFormat="1" applyFont="1" applyBorder="1"/>
    <xf numFmtId="43" fontId="50" fillId="3" borderId="4" xfId="0" applyNumberFormat="1" applyFont="1" applyFill="1" applyBorder="1"/>
    <xf numFmtId="43" fontId="50" fillId="0" borderId="4" xfId="0" applyNumberFormat="1" applyFont="1" applyBorder="1" applyAlignment="1">
      <alignment horizontal="center"/>
    </xf>
    <xf numFmtId="43" fontId="50" fillId="0" borderId="0" xfId="0" applyNumberFormat="1" applyFont="1"/>
    <xf numFmtId="43" fontId="43" fillId="0" borderId="0" xfId="0" applyNumberFormat="1" applyFont="1"/>
    <xf numFmtId="43" fontId="43" fillId="10" borderId="0" xfId="0" applyNumberFormat="1" applyFont="1" applyFill="1"/>
    <xf numFmtId="165" fontId="44" fillId="2" borderId="4" xfId="3" applyNumberFormat="1" applyFont="1" applyFill="1" applyBorder="1" applyAlignment="1">
      <alignment horizontal="left" wrapText="1"/>
    </xf>
    <xf numFmtId="165" fontId="44" fillId="2" borderId="5" xfId="3" applyNumberFormat="1" applyFont="1" applyFill="1" applyBorder="1" applyAlignment="1">
      <alignment horizontal="left"/>
    </xf>
    <xf numFmtId="43" fontId="50" fillId="0" borderId="1" xfId="0" applyNumberFormat="1" applyFont="1" applyBorder="1" applyAlignment="1">
      <alignment horizontal="center"/>
    </xf>
    <xf numFmtId="43" fontId="44" fillId="0" borderId="0" xfId="0" applyNumberFormat="1" applyFont="1"/>
    <xf numFmtId="165" fontId="41" fillId="10" borderId="0" xfId="3" applyNumberFormat="1" applyFont="1" applyFill="1" applyBorder="1"/>
    <xf numFmtId="165" fontId="44" fillId="2" borderId="6" xfId="3" applyNumberFormat="1" applyFont="1" applyFill="1" applyBorder="1" applyAlignment="1">
      <alignment horizontal="left"/>
    </xf>
    <xf numFmtId="165" fontId="44" fillId="2" borderId="4" xfId="3" applyNumberFormat="1" applyFont="1" applyFill="1" applyBorder="1" applyAlignment="1">
      <alignment horizontal="left"/>
    </xf>
    <xf numFmtId="43" fontId="50" fillId="0" borderId="0" xfId="0" applyNumberFormat="1" applyFont="1" applyAlignment="1">
      <alignment horizontal="center"/>
    </xf>
    <xf numFmtId="43" fontId="44" fillId="0" borderId="6" xfId="0" applyNumberFormat="1" applyFont="1" applyBorder="1"/>
    <xf numFmtId="43" fontId="44" fillId="8" borderId="4" xfId="0" applyNumberFormat="1" applyFont="1" applyFill="1" applyBorder="1"/>
    <xf numFmtId="43" fontId="50" fillId="9" borderId="4" xfId="0" applyNumberFormat="1" applyFont="1" applyFill="1" applyBorder="1" applyAlignment="1">
      <alignment horizontal="center"/>
    </xf>
    <xf numFmtId="43" fontId="44" fillId="10" borderId="0" xfId="0" applyNumberFormat="1" applyFont="1" applyFill="1"/>
    <xf numFmtId="43" fontId="44" fillId="9" borderId="1" xfId="0" applyNumberFormat="1" applyFont="1" applyFill="1" applyBorder="1" applyAlignment="1">
      <alignment horizontal="center"/>
    </xf>
    <xf numFmtId="0" fontId="53" fillId="0" borderId="0" xfId="0" applyFont="1"/>
    <xf numFmtId="43" fontId="50" fillId="9" borderId="2" xfId="0" applyNumberFormat="1" applyFont="1" applyFill="1" applyBorder="1" applyAlignment="1">
      <alignment horizontal="center"/>
    </xf>
    <xf numFmtId="43" fontId="44" fillId="8" borderId="5" xfId="0" applyNumberFormat="1" applyFont="1" applyFill="1" applyBorder="1"/>
    <xf numFmtId="43" fontId="50" fillId="9" borderId="5" xfId="0" applyNumberFormat="1" applyFont="1" applyFill="1" applyBorder="1" applyAlignment="1">
      <alignment horizontal="center"/>
    </xf>
    <xf numFmtId="164" fontId="39" fillId="0" borderId="0" xfId="0" applyNumberFormat="1" applyFont="1"/>
    <xf numFmtId="0" fontId="54" fillId="10" borderId="14" xfId="64" applyFont="1" applyFill="1" applyBorder="1" applyAlignment="1">
      <alignment horizontal="left" vertical="center"/>
    </xf>
    <xf numFmtId="164" fontId="54" fillId="10" borderId="4" xfId="64" applyNumberFormat="1" applyFont="1" applyFill="1" applyBorder="1" applyAlignment="1">
      <alignment horizontal="right" vertical="center" wrapText="1"/>
    </xf>
    <xf numFmtId="164" fontId="55" fillId="0" borderId="0" xfId="64" applyNumberFormat="1" applyFont="1" applyAlignment="1">
      <alignment horizontal="right" vertical="center" wrapText="1"/>
    </xf>
    <xf numFmtId="0" fontId="56" fillId="0" borderId="14" xfId="64" applyFont="1" applyBorder="1" applyAlignment="1">
      <alignment horizontal="left" vertical="center"/>
    </xf>
    <xf numFmtId="43" fontId="56" fillId="0" borderId="2" xfId="0" applyNumberFormat="1" applyFont="1" applyBorder="1" applyAlignment="1">
      <alignment horizontal="center"/>
    </xf>
    <xf numFmtId="164" fontId="56" fillId="0" borderId="4" xfId="64" applyNumberFormat="1" applyFont="1" applyBorder="1" applyAlignment="1">
      <alignment horizontal="right" vertical="center" wrapText="1"/>
    </xf>
    <xf numFmtId="164" fontId="57" fillId="0" borderId="0" xfId="64" applyNumberFormat="1" applyFont="1" applyAlignment="1">
      <alignment horizontal="right" vertical="center" wrapText="1"/>
    </xf>
    <xf numFmtId="164" fontId="58" fillId="0" borderId="4" xfId="64" applyNumberFormat="1" applyFont="1" applyBorder="1" applyAlignment="1">
      <alignment horizontal="right" vertical="center" wrapText="1"/>
    </xf>
    <xf numFmtId="0" fontId="58" fillId="0" borderId="14" xfId="64" applyFont="1" applyBorder="1" applyAlignment="1">
      <alignment horizontal="left" vertical="center"/>
    </xf>
    <xf numFmtId="43" fontId="58" fillId="0" borderId="4" xfId="64" applyNumberFormat="1" applyFont="1" applyBorder="1" applyAlignment="1">
      <alignment horizontal="right" vertical="center" wrapText="1"/>
    </xf>
    <xf numFmtId="43" fontId="56" fillId="0" borderId="4" xfId="0" applyNumberFormat="1" applyFont="1" applyBorder="1" applyAlignment="1">
      <alignment horizontal="center"/>
    </xf>
    <xf numFmtId="167" fontId="58" fillId="0" borderId="4" xfId="64" applyNumberFormat="1" applyFont="1" applyBorder="1" applyAlignment="1">
      <alignment horizontal="right" vertical="center" wrapText="1"/>
    </xf>
    <xf numFmtId="43" fontId="58" fillId="0" borderId="4" xfId="1" applyNumberFormat="1" applyFont="1" applyFill="1" applyBorder="1" applyAlignment="1">
      <alignment horizontal="right" vertical="center" wrapText="1"/>
    </xf>
    <xf numFmtId="41" fontId="58" fillId="0" borderId="4" xfId="64" applyNumberFormat="1" applyFont="1" applyBorder="1" applyAlignment="1">
      <alignment horizontal="right" vertical="center" wrapText="1"/>
    </xf>
    <xf numFmtId="174" fontId="57" fillId="0" borderId="0" xfId="64" applyNumberFormat="1" applyFont="1" applyAlignment="1">
      <alignment horizontal="right" vertical="center" wrapText="1"/>
    </xf>
    <xf numFmtId="0" fontId="58" fillId="0" borderId="14" xfId="64" applyFont="1" applyBorder="1" applyAlignment="1">
      <alignment horizontal="left" vertical="center" wrapText="1"/>
    </xf>
    <xf numFmtId="173" fontId="57" fillId="0" borderId="0" xfId="64" applyNumberFormat="1" applyFont="1" applyAlignment="1">
      <alignment horizontal="right" vertical="center" wrapText="1"/>
    </xf>
    <xf numFmtId="0" fontId="56" fillId="0" borderId="4" xfId="0" applyFont="1" applyBorder="1"/>
    <xf numFmtId="0" fontId="33" fillId="0" borderId="4" xfId="0" applyFont="1" applyBorder="1"/>
    <xf numFmtId="0" fontId="58" fillId="0" borderId="4" xfId="64" applyFont="1" applyBorder="1" applyAlignment="1">
      <alignment horizontal="left" vertical="center"/>
    </xf>
    <xf numFmtId="0" fontId="56" fillId="0" borderId="4" xfId="64" applyFont="1" applyBorder="1" applyAlignment="1">
      <alignment horizontal="left" vertical="center"/>
    </xf>
    <xf numFmtId="0" fontId="59" fillId="0" borderId="4" xfId="0" applyFont="1" applyBorder="1"/>
    <xf numFmtId="164" fontId="58" fillId="0" borderId="0" xfId="64" applyNumberFormat="1" applyFont="1" applyAlignment="1">
      <alignment horizontal="right" vertical="center" wrapText="1"/>
    </xf>
    <xf numFmtId="43" fontId="58" fillId="0" borderId="0" xfId="64" applyNumberFormat="1" applyFont="1" applyAlignment="1">
      <alignment horizontal="right" vertical="center" wrapText="1"/>
    </xf>
    <xf numFmtId="165" fontId="58" fillId="0" borderId="0" xfId="64" applyNumberFormat="1" applyFont="1" applyAlignment="1">
      <alignment horizontal="right" vertical="center" wrapText="1"/>
    </xf>
    <xf numFmtId="43" fontId="32" fillId="3" borderId="0" xfId="0" applyNumberFormat="1" applyFont="1" applyFill="1" applyAlignment="1">
      <alignment vertical="center"/>
    </xf>
    <xf numFmtId="43" fontId="36" fillId="0" borderId="0" xfId="0" applyNumberFormat="1" applyFont="1" applyAlignment="1">
      <alignment vertical="center"/>
    </xf>
    <xf numFmtId="0" fontId="56" fillId="0" borderId="0" xfId="0" applyFont="1"/>
    <xf numFmtId="0" fontId="54" fillId="10" borderId="14" xfId="0" applyFont="1" applyFill="1" applyBorder="1"/>
    <xf numFmtId="0" fontId="33" fillId="0" borderId="14" xfId="0" applyFont="1" applyBorder="1"/>
    <xf numFmtId="9" fontId="56" fillId="0" borderId="4" xfId="64" applyNumberFormat="1" applyFont="1" applyBorder="1" applyAlignment="1">
      <alignment horizontal="right" vertical="center" wrapText="1"/>
    </xf>
    <xf numFmtId="9" fontId="31" fillId="0" borderId="0" xfId="0" applyNumberFormat="1" applyFont="1"/>
    <xf numFmtId="0" fontId="59" fillId="0" borderId="14" xfId="0" applyFont="1" applyBorder="1"/>
    <xf numFmtId="167" fontId="56" fillId="0" borderId="4" xfId="64" applyNumberFormat="1" applyFont="1" applyBorder="1" applyAlignment="1">
      <alignment horizontal="right" vertical="center" wrapText="1"/>
    </xf>
    <xf numFmtId="43" fontId="56" fillId="0" borderId="4" xfId="64" applyNumberFormat="1" applyFont="1" applyBorder="1" applyAlignment="1">
      <alignment horizontal="right" vertical="center" wrapText="1"/>
    </xf>
    <xf numFmtId="41" fontId="56" fillId="0" borderId="4" xfId="64" applyNumberFormat="1" applyFont="1" applyBorder="1" applyAlignment="1">
      <alignment horizontal="right" vertical="center" wrapText="1"/>
    </xf>
    <xf numFmtId="43" fontId="38" fillId="0" borderId="0" xfId="0" applyNumberFormat="1" applyFont="1" applyAlignment="1">
      <alignment vertical="center"/>
    </xf>
    <xf numFmtId="43" fontId="33" fillId="0" borderId="0" xfId="0" applyNumberFormat="1" applyFont="1"/>
    <xf numFmtId="43" fontId="32" fillId="0" borderId="0" xfId="0" applyNumberFormat="1" applyFont="1" applyAlignment="1">
      <alignment vertical="center"/>
    </xf>
    <xf numFmtId="43" fontId="54" fillId="0" borderId="0" xfId="0" applyNumberFormat="1" applyFont="1"/>
    <xf numFmtId="43" fontId="40" fillId="0" borderId="0" xfId="0" applyNumberFormat="1" applyFont="1" applyAlignment="1">
      <alignment vertical="center"/>
    </xf>
    <xf numFmtId="41" fontId="48" fillId="10" borderId="0" xfId="0" applyNumberFormat="1" applyFont="1" applyFill="1" applyAlignment="1">
      <alignment horizontal="left" vertical="center"/>
    </xf>
    <xf numFmtId="43" fontId="49" fillId="0" borderId="4" xfId="0" applyNumberFormat="1" applyFont="1" applyBorder="1"/>
    <xf numFmtId="43" fontId="46" fillId="0" borderId="4" xfId="0" applyNumberFormat="1" applyFont="1" applyBorder="1" applyAlignment="1">
      <alignment horizontal="center"/>
    </xf>
    <xf numFmtId="43" fontId="46" fillId="0" borderId="2" xfId="0" applyNumberFormat="1" applyFont="1" applyBorder="1" applyAlignment="1">
      <alignment horizontal="center"/>
    </xf>
    <xf numFmtId="43" fontId="45" fillId="0" borderId="0" xfId="0" applyNumberFormat="1" applyFont="1" applyAlignment="1">
      <alignment wrapText="1"/>
    </xf>
    <xf numFmtId="43" fontId="49" fillId="0" borderId="4" xfId="0" applyNumberFormat="1" applyFont="1" applyBorder="1" applyAlignment="1">
      <alignment horizontal="center"/>
    </xf>
    <xf numFmtId="43" fontId="49" fillId="0" borderId="0" xfId="0" applyNumberFormat="1" applyFont="1" applyAlignment="1">
      <alignment horizontal="center"/>
    </xf>
    <xf numFmtId="43" fontId="60" fillId="0" borderId="4" xfId="0" applyNumberFormat="1" applyFont="1" applyBorder="1" applyAlignment="1">
      <alignment horizontal="center"/>
    </xf>
    <xf numFmtId="43" fontId="46" fillId="0" borderId="4" xfId="0" applyNumberFormat="1" applyFont="1" applyBorder="1" applyAlignment="1">
      <alignment horizontal="right"/>
    </xf>
    <xf numFmtId="43" fontId="35" fillId="0" borderId="0" xfId="0" applyNumberFormat="1" applyFont="1"/>
    <xf numFmtId="43" fontId="46" fillId="0" borderId="4" xfId="0" applyNumberFormat="1" applyFont="1" applyBorder="1" applyAlignment="1">
      <alignment horizontal="left" indent="2"/>
    </xf>
    <xf numFmtId="43" fontId="46" fillId="0" borderId="4" xfId="0" applyNumberFormat="1" applyFont="1" applyBorder="1" applyAlignment="1">
      <alignment horizontal="left" vertical="top"/>
    </xf>
    <xf numFmtId="43" fontId="47" fillId="0" borderId="4" xfId="0" applyNumberFormat="1" applyFont="1" applyBorder="1" applyAlignment="1">
      <alignment horizontal="left" indent="2"/>
    </xf>
    <xf numFmtId="43" fontId="47" fillId="0" borderId="4" xfId="0" applyNumberFormat="1" applyFont="1" applyBorder="1" applyAlignment="1">
      <alignment horizontal="center"/>
    </xf>
    <xf numFmtId="43" fontId="61" fillId="0" borderId="4" xfId="0" applyNumberFormat="1" applyFont="1" applyBorder="1"/>
    <xf numFmtId="43" fontId="35" fillId="10" borderId="4" xfId="0" applyNumberFormat="1" applyFont="1" applyFill="1" applyBorder="1" applyAlignment="1">
      <alignment horizontal="center" vertical="center"/>
    </xf>
    <xf numFmtId="43" fontId="35" fillId="0" borderId="4" xfId="0" applyNumberFormat="1" applyFont="1" applyBorder="1"/>
    <xf numFmtId="169" fontId="48" fillId="10" borderId="4" xfId="0" applyNumberFormat="1" applyFont="1" applyFill="1" applyBorder="1" applyAlignment="1">
      <alignment horizontal="right"/>
    </xf>
    <xf numFmtId="168" fontId="48" fillId="10" borderId="4" xfId="0" applyNumberFormat="1" applyFont="1" applyFill="1" applyBorder="1" applyAlignment="1">
      <alignment horizontal="right"/>
    </xf>
    <xf numFmtId="166" fontId="45" fillId="0" borderId="4" xfId="0" applyNumberFormat="1" applyFont="1" applyBorder="1" applyAlignment="1">
      <alignment horizontal="right"/>
    </xf>
    <xf numFmtId="41" fontId="62" fillId="10" borderId="4" xfId="0" applyNumberFormat="1" applyFont="1" applyFill="1" applyBorder="1" applyAlignment="1">
      <alignment horizontal="left" vertical="center"/>
    </xf>
    <xf numFmtId="0" fontId="50" fillId="0" borderId="4" xfId="0" applyFont="1" applyBorder="1"/>
    <xf numFmtId="43" fontId="50" fillId="0" borderId="4" xfId="0" applyNumberFormat="1" applyFont="1" applyBorder="1"/>
    <xf numFmtId="43" fontId="44" fillId="0" borderId="4" xfId="0" applyNumberFormat="1" applyFont="1" applyBorder="1" applyAlignment="1">
      <alignment horizontal="right"/>
    </xf>
    <xf numFmtId="0" fontId="50" fillId="0" borderId="4" xfId="0" applyFont="1" applyBorder="1" applyAlignment="1">
      <alignment horizontal="left"/>
    </xf>
    <xf numFmtId="43" fontId="50" fillId="0" borderId="4" xfId="0" applyNumberFormat="1" applyFont="1" applyBorder="1" applyAlignment="1">
      <alignment horizontal="right"/>
    </xf>
    <xf numFmtId="43" fontId="49" fillId="0" borderId="4" xfId="0" applyNumberFormat="1" applyFont="1" applyBorder="1" applyAlignment="1">
      <alignment horizontal="right"/>
    </xf>
    <xf numFmtId="0" fontId="42" fillId="0" borderId="4" xfId="0" applyFont="1" applyBorder="1"/>
    <xf numFmtId="43" fontId="63" fillId="0" borderId="4" xfId="0" applyNumberFormat="1" applyFont="1" applyBorder="1" applyAlignment="1">
      <alignment horizontal="right"/>
    </xf>
    <xf numFmtId="0" fontId="50" fillId="0" borderId="0" xfId="0" applyFont="1"/>
    <xf numFmtId="43" fontId="63" fillId="0" borderId="0" xfId="0" applyNumberFormat="1" applyFont="1" applyAlignment="1">
      <alignment horizontal="right"/>
    </xf>
    <xf numFmtId="43" fontId="64" fillId="0" borderId="0" xfId="0" applyNumberFormat="1" applyFont="1" applyAlignment="1">
      <alignment horizontal="right"/>
    </xf>
    <xf numFmtId="43" fontId="50" fillId="0" borderId="0" xfId="0" applyNumberFormat="1" applyFont="1" applyAlignment="1">
      <alignment horizontal="right"/>
    </xf>
    <xf numFmtId="43" fontId="65" fillId="0" borderId="0" xfId="0" applyNumberFormat="1" applyFont="1" applyAlignment="1">
      <alignment horizontal="center"/>
    </xf>
    <xf numFmtId="0" fontId="50" fillId="10" borderId="0" xfId="50" applyFont="1" applyFill="1" applyAlignment="1">
      <alignment horizontal="left"/>
    </xf>
    <xf numFmtId="0" fontId="44" fillId="0" borderId="0" xfId="50" applyFont="1" applyAlignment="1">
      <alignment horizontal="left"/>
    </xf>
    <xf numFmtId="166" fontId="51" fillId="0" borderId="0" xfId="50" applyNumberFormat="1" applyFont="1" applyAlignment="1">
      <alignment horizontal="left"/>
    </xf>
    <xf numFmtId="164" fontId="44" fillId="0" borderId="0" xfId="63" applyFont="1" applyFill="1" applyBorder="1" applyAlignment="1">
      <alignment horizontal="left"/>
    </xf>
    <xf numFmtId="0" fontId="56" fillId="0" borderId="0" xfId="50" applyFont="1"/>
    <xf numFmtId="0" fontId="50" fillId="0" borderId="0" xfId="50" applyFont="1" applyAlignment="1">
      <alignment horizontal="left"/>
    </xf>
    <xf numFmtId="0" fontId="44" fillId="0" borderId="15" xfId="50" applyFont="1" applyBorder="1" applyAlignment="1">
      <alignment horizontal="left"/>
    </xf>
    <xf numFmtId="166" fontId="50" fillId="0" borderId="0" xfId="51" applyNumberFormat="1" applyFont="1" applyFill="1" applyBorder="1" applyAlignment="1">
      <alignment horizontal="left"/>
    </xf>
    <xf numFmtId="164" fontId="44" fillId="0" borderId="19" xfId="63" applyFont="1" applyBorder="1" applyAlignment="1">
      <alignment horizontal="left"/>
    </xf>
    <xf numFmtId="166" fontId="44" fillId="0" borderId="0" xfId="49" applyNumberFormat="1" applyFont="1" applyFill="1" applyBorder="1" applyAlignment="1">
      <alignment horizontal="left"/>
    </xf>
    <xf numFmtId="164" fontId="44" fillId="0" borderId="21" xfId="63" applyFont="1" applyBorder="1" applyAlignment="1">
      <alignment horizontal="left"/>
    </xf>
    <xf numFmtId="2" fontId="44" fillId="0" borderId="21" xfId="50" applyNumberFormat="1" applyFont="1" applyBorder="1" applyAlignment="1">
      <alignment horizontal="right"/>
    </xf>
    <xf numFmtId="2" fontId="44" fillId="0" borderId="23" xfId="50" applyNumberFormat="1" applyFont="1" applyBorder="1" applyAlignment="1">
      <alignment horizontal="right"/>
    </xf>
    <xf numFmtId="0" fontId="50" fillId="10" borderId="15" xfId="50" applyFont="1" applyFill="1" applyBorder="1" applyAlignment="1">
      <alignment horizontal="left"/>
    </xf>
    <xf numFmtId="166" fontId="51" fillId="0" borderId="0" xfId="51" applyNumberFormat="1" applyFont="1" applyFill="1" applyBorder="1" applyAlignment="1">
      <alignment horizontal="left"/>
    </xf>
    <xf numFmtId="164" fontId="44" fillId="0" borderId="15" xfId="50" applyNumberFormat="1" applyFont="1" applyBorder="1" applyAlignment="1">
      <alignment horizontal="left"/>
    </xf>
    <xf numFmtId="2" fontId="51" fillId="0" borderId="0" xfId="50" applyNumberFormat="1" applyFont="1" applyAlignment="1">
      <alignment horizontal="left"/>
    </xf>
    <xf numFmtId="164" fontId="44" fillId="0" borderId="15" xfId="63" applyFont="1" applyFill="1" applyBorder="1" applyAlignment="1">
      <alignment horizontal="right"/>
    </xf>
    <xf numFmtId="10" fontId="51" fillId="0" borderId="0" xfId="50" applyNumberFormat="1" applyFont="1" applyAlignment="1">
      <alignment horizontal="left"/>
    </xf>
    <xf numFmtId="4" fontId="50" fillId="0" borderId="0" xfId="0" applyNumberFormat="1" applyFont="1" applyAlignment="1">
      <alignment horizontal="left"/>
    </xf>
    <xf numFmtId="166" fontId="56" fillId="0" borderId="0" xfId="49" applyNumberFormat="1" applyFont="1" applyFill="1"/>
    <xf numFmtId="164" fontId="44" fillId="0" borderId="15" xfId="63" applyFont="1" applyBorder="1" applyAlignment="1">
      <alignment horizontal="left"/>
    </xf>
    <xf numFmtId="0" fontId="50" fillId="10" borderId="15" xfId="0" applyFont="1" applyFill="1" applyBorder="1" applyAlignment="1">
      <alignment horizontal="left"/>
    </xf>
    <xf numFmtId="164" fontId="44" fillId="0" borderId="15" xfId="63" applyFont="1" applyFill="1" applyBorder="1" applyAlignment="1">
      <alignment horizontal="left"/>
    </xf>
    <xf numFmtId="165" fontId="52" fillId="0" borderId="0" xfId="48" applyNumberFormat="1" applyFont="1" applyFill="1" applyBorder="1" applyAlignment="1">
      <alignment horizontal="left"/>
    </xf>
    <xf numFmtId="170" fontId="44" fillId="0" borderId="0" xfId="63" applyNumberFormat="1" applyFont="1" applyFill="1" applyBorder="1" applyAlignment="1">
      <alignment horizontal="left"/>
    </xf>
    <xf numFmtId="0" fontId="50" fillId="10" borderId="0" xfId="0" applyFont="1" applyFill="1"/>
    <xf numFmtId="165" fontId="44" fillId="0" borderId="0" xfId="48" applyNumberFormat="1" applyFont="1" applyFill="1" applyBorder="1"/>
    <xf numFmtId="43" fontId="41" fillId="10" borderId="15" xfId="0" applyNumberFormat="1" applyFont="1" applyFill="1" applyBorder="1" applyAlignment="1">
      <alignment vertical="center"/>
    </xf>
    <xf numFmtId="168" fontId="41" fillId="10" borderId="15" xfId="0" applyNumberFormat="1" applyFont="1" applyFill="1" applyBorder="1" applyAlignment="1">
      <alignment horizontal="right"/>
    </xf>
    <xf numFmtId="168" fontId="44" fillId="0" borderId="0" xfId="0" applyNumberFormat="1" applyFont="1" applyAlignment="1">
      <alignment horizontal="right"/>
    </xf>
    <xf numFmtId="43" fontId="41" fillId="0" borderId="15" xfId="0" applyNumberFormat="1" applyFont="1" applyBorder="1" applyAlignment="1">
      <alignment vertical="center"/>
    </xf>
    <xf numFmtId="14" fontId="50" fillId="0" borderId="15" xfId="0" applyNumberFormat="1" applyFont="1" applyBorder="1" applyAlignment="1">
      <alignment vertical="center"/>
    </xf>
    <xf numFmtId="0" fontId="44" fillId="0" borderId="15" xfId="50" applyFont="1" applyBorder="1"/>
    <xf numFmtId="165" fontId="44" fillId="0" borderId="0" xfId="3" applyNumberFormat="1" applyFont="1" applyFill="1" applyBorder="1"/>
    <xf numFmtId="166" fontId="44" fillId="0" borderId="15" xfId="51" applyNumberFormat="1" applyFont="1" applyFill="1" applyBorder="1" applyAlignment="1"/>
    <xf numFmtId="166" fontId="50" fillId="0" borderId="15" xfId="51" applyNumberFormat="1" applyFont="1" applyFill="1" applyBorder="1" applyAlignment="1">
      <alignment wrapText="1"/>
    </xf>
    <xf numFmtId="43" fontId="56" fillId="0" borderId="0" xfId="50" applyNumberFormat="1" applyFont="1"/>
    <xf numFmtId="166" fontId="50" fillId="0" borderId="15" xfId="51" applyNumberFormat="1" applyFont="1" applyFill="1" applyBorder="1" applyAlignment="1"/>
    <xf numFmtId="0" fontId="50" fillId="0" borderId="24" xfId="50" applyFont="1" applyBorder="1"/>
    <xf numFmtId="0" fontId="50" fillId="0" borderId="25" xfId="50" applyFont="1" applyBorder="1"/>
    <xf numFmtId="165" fontId="50" fillId="0" borderId="26" xfId="3" applyNumberFormat="1" applyFont="1" applyFill="1" applyBorder="1"/>
    <xf numFmtId="165" fontId="50" fillId="0" borderId="27" xfId="3" applyNumberFormat="1" applyFont="1" applyFill="1" applyBorder="1"/>
    <xf numFmtId="0" fontId="50" fillId="0" borderId="20" xfId="50" applyFont="1" applyBorder="1"/>
    <xf numFmtId="165" fontId="50" fillId="0" borderId="0" xfId="3" applyNumberFormat="1" applyFont="1" applyFill="1" applyBorder="1"/>
    <xf numFmtId="0" fontId="50" fillId="10" borderId="20" xfId="50" applyFont="1" applyFill="1" applyBorder="1"/>
    <xf numFmtId="0" fontId="44" fillId="9" borderId="28" xfId="50" applyFont="1" applyFill="1" applyBorder="1" applyAlignment="1">
      <alignment horizontal="left"/>
    </xf>
    <xf numFmtId="164" fontId="50" fillId="9" borderId="29" xfId="63" applyFont="1" applyFill="1" applyBorder="1"/>
    <xf numFmtId="0" fontId="44" fillId="3" borderId="0" xfId="50" applyFont="1" applyFill="1"/>
    <xf numFmtId="0" fontId="44" fillId="0" borderId="0" xfId="50" applyFont="1"/>
    <xf numFmtId="0" fontId="44" fillId="3" borderId="30" xfId="50" applyFont="1" applyFill="1" applyBorder="1"/>
    <xf numFmtId="167" fontId="50" fillId="3" borderId="31" xfId="3" applyNumberFormat="1" applyFont="1" applyFill="1" applyBorder="1"/>
    <xf numFmtId="165" fontId="50" fillId="3" borderId="0" xfId="3" applyNumberFormat="1" applyFont="1" applyFill="1" applyBorder="1"/>
    <xf numFmtId="0" fontId="50" fillId="3" borderId="0" xfId="50" applyFont="1" applyFill="1"/>
    <xf numFmtId="167" fontId="50" fillId="3" borderId="0" xfId="3" applyNumberFormat="1" applyFont="1" applyFill="1" applyBorder="1"/>
    <xf numFmtId="0" fontId="58" fillId="3" borderId="0" xfId="0" applyFont="1" applyFill="1"/>
    <xf numFmtId="0" fontId="31" fillId="3" borderId="0" xfId="0" applyFont="1" applyFill="1"/>
    <xf numFmtId="165" fontId="54" fillId="3" borderId="0" xfId="50" applyNumberFormat="1" applyFont="1" applyFill="1"/>
    <xf numFmtId="0" fontId="66" fillId="3" borderId="0" xfId="50" applyFont="1" applyFill="1"/>
    <xf numFmtId="0" fontId="44" fillId="3" borderId="28" xfId="50" applyFont="1" applyFill="1" applyBorder="1" applyAlignment="1">
      <alignment horizontal="left"/>
    </xf>
    <xf numFmtId="164" fontId="50" fillId="3" borderId="29" xfId="63" applyFont="1" applyFill="1" applyBorder="1"/>
    <xf numFmtId="0" fontId="58" fillId="3" borderId="0" xfId="50" applyFont="1" applyFill="1" applyAlignment="1">
      <alignment horizontal="center"/>
    </xf>
    <xf numFmtId="0" fontId="44" fillId="3" borderId="34" xfId="50" applyFont="1" applyFill="1" applyBorder="1" applyAlignment="1">
      <alignment horizontal="left"/>
    </xf>
    <xf numFmtId="164" fontId="50" fillId="3" borderId="35" xfId="63" applyFont="1" applyFill="1" applyBorder="1"/>
    <xf numFmtId="9" fontId="67" fillId="3" borderId="0" xfId="50" applyNumberFormat="1" applyFont="1" applyFill="1"/>
    <xf numFmtId="0" fontId="44" fillId="9" borderId="32" xfId="50" applyFont="1" applyFill="1" applyBorder="1" applyAlignment="1">
      <alignment horizontal="left"/>
    </xf>
    <xf numFmtId="164" fontId="50" fillId="9" borderId="33" xfId="63" applyFont="1" applyFill="1" applyBorder="1"/>
    <xf numFmtId="164" fontId="56" fillId="3" borderId="0" xfId="63" applyFont="1" applyFill="1" applyBorder="1"/>
    <xf numFmtId="0" fontId="58" fillId="3" borderId="0" xfId="50" applyFont="1" applyFill="1" applyAlignment="1">
      <alignment horizontal="center" vertical="center" textRotation="255"/>
    </xf>
    <xf numFmtId="0" fontId="68" fillId="0" borderId="39" xfId="50" applyFont="1" applyBorder="1" applyAlignment="1">
      <alignment horizontal="left"/>
    </xf>
    <xf numFmtId="0" fontId="68" fillId="0" borderId="40" xfId="50" applyFont="1" applyBorder="1" applyAlignment="1">
      <alignment horizontal="left"/>
    </xf>
    <xf numFmtId="0" fontId="68" fillId="0" borderId="41" xfId="50" applyFont="1" applyBorder="1" applyAlignment="1">
      <alignment horizontal="left"/>
    </xf>
    <xf numFmtId="0" fontId="68" fillId="0" borderId="0" xfId="50" applyFont="1"/>
    <xf numFmtId="0" fontId="68" fillId="0" borderId="39" xfId="50" applyFont="1" applyBorder="1" applyAlignment="1">
      <alignment horizontal="left" wrapText="1"/>
    </xf>
    <xf numFmtId="165" fontId="44" fillId="0" borderId="15" xfId="3" applyNumberFormat="1" applyFont="1" applyFill="1" applyBorder="1"/>
    <xf numFmtId="9" fontId="44" fillId="0" borderId="15" xfId="51" applyFont="1" applyFill="1" applyBorder="1"/>
    <xf numFmtId="10" fontId="44" fillId="0" borderId="15" xfId="3" applyNumberFormat="1" applyFont="1" applyFill="1" applyBorder="1"/>
    <xf numFmtId="9" fontId="44" fillId="0" borderId="15" xfId="49" applyFont="1" applyFill="1" applyBorder="1"/>
    <xf numFmtId="165" fontId="50" fillId="0" borderId="15" xfId="3" applyNumberFormat="1" applyFont="1" applyFill="1" applyBorder="1"/>
    <xf numFmtId="165" fontId="50" fillId="0" borderId="24" xfId="3" applyNumberFormat="1" applyFont="1" applyFill="1" applyBorder="1"/>
    <xf numFmtId="0" fontId="31" fillId="0" borderId="18" xfId="0" applyFont="1" applyBorder="1"/>
    <xf numFmtId="0" fontId="31" fillId="0" borderId="19" xfId="0" applyFont="1" applyBorder="1"/>
    <xf numFmtId="15" fontId="31" fillId="0" borderId="20" xfId="0" applyNumberFormat="1" applyFont="1" applyBorder="1"/>
    <xf numFmtId="4" fontId="31" fillId="0" borderId="21" xfId="0" applyNumberFormat="1" applyFont="1" applyBorder="1"/>
    <xf numFmtId="15" fontId="31" fillId="0" borderId="22" xfId="0" applyNumberFormat="1" applyFont="1" applyBorder="1"/>
    <xf numFmtId="4" fontId="31" fillId="0" borderId="23" xfId="0" applyNumberFormat="1" applyFont="1" applyBorder="1"/>
    <xf numFmtId="0" fontId="31" fillId="0" borderId="16" xfId="0" applyFont="1" applyBorder="1"/>
    <xf numFmtId="10" fontId="31" fillId="0" borderId="17" xfId="1" applyNumberFormat="1" applyFont="1" applyBorder="1"/>
    <xf numFmtId="2" fontId="31" fillId="0" borderId="0" xfId="0" applyNumberFormat="1" applyFont="1"/>
    <xf numFmtId="2" fontId="41" fillId="3" borderId="0" xfId="0" applyNumberFormat="1" applyFont="1" applyFill="1" applyAlignment="1">
      <alignment horizontal="left" vertical="center"/>
    </xf>
    <xf numFmtId="2" fontId="41" fillId="3" borderId="0" xfId="0" applyNumberFormat="1" applyFont="1" applyFill="1" applyAlignment="1">
      <alignment horizontal="center"/>
    </xf>
    <xf numFmtId="2" fontId="31" fillId="0" borderId="0" xfId="1" applyNumberFormat="1" applyFont="1" applyBorder="1"/>
    <xf numFmtId="10" fontId="68" fillId="0" borderId="19" xfId="50" applyNumberFormat="1" applyFont="1" applyBorder="1"/>
    <xf numFmtId="10" fontId="68" fillId="0" borderId="21" xfId="50" applyNumberFormat="1" applyFont="1" applyBorder="1"/>
    <xf numFmtId="10" fontId="68" fillId="0" borderId="23" xfId="50" applyNumberFormat="1" applyFont="1" applyBorder="1"/>
    <xf numFmtId="10" fontId="44" fillId="0" borderId="15" xfId="50" applyNumberFormat="1" applyFont="1" applyBorder="1" applyAlignment="1">
      <alignment horizontal="right"/>
    </xf>
    <xf numFmtId="0" fontId="44" fillId="0" borderId="15" xfId="50" applyFont="1" applyBorder="1" applyAlignment="1">
      <alignment horizontal="right"/>
    </xf>
    <xf numFmtId="10" fontId="44" fillId="0" borderId="15" xfId="1" applyNumberFormat="1" applyFont="1" applyFill="1" applyBorder="1" applyAlignment="1">
      <alignment horizontal="right"/>
    </xf>
    <xf numFmtId="10" fontId="44" fillId="0" borderId="15" xfId="1" applyNumberFormat="1" applyFont="1" applyBorder="1" applyAlignment="1">
      <alignment horizontal="right"/>
    </xf>
    <xf numFmtId="0" fontId="31" fillId="0" borderId="0" xfId="0" applyFont="1"/>
    <xf numFmtId="0" fontId="31" fillId="0" borderId="3" xfId="0" applyFont="1" applyBorder="1"/>
    <xf numFmtId="0" fontId="31" fillId="0" borderId="12" xfId="0" applyFont="1" applyBorder="1"/>
    <xf numFmtId="0" fontId="34" fillId="10" borderId="13" xfId="0" applyFont="1" applyFill="1" applyBorder="1"/>
    <xf numFmtId="0" fontId="31" fillId="0" borderId="9" xfId="0" applyFont="1" applyBorder="1" applyAlignment="1">
      <alignment horizontal="left" vertical="center" wrapText="1"/>
    </xf>
    <xf numFmtId="0" fontId="31" fillId="0" borderId="1" xfId="0" applyFont="1" applyBorder="1" applyAlignment="1">
      <alignment horizontal="left" vertical="center"/>
    </xf>
    <xf numFmtId="0" fontId="31" fillId="0" borderId="10" xfId="0" applyFont="1" applyBorder="1" applyAlignment="1">
      <alignment horizontal="left" vertical="center"/>
    </xf>
    <xf numFmtId="0" fontId="31" fillId="0" borderId="7" xfId="0" applyFont="1" applyBorder="1" applyAlignment="1">
      <alignment horizontal="left" vertical="center"/>
    </xf>
    <xf numFmtId="0" fontId="31" fillId="0" borderId="0" xfId="0" applyFont="1" applyAlignment="1">
      <alignment horizontal="left" vertical="center"/>
    </xf>
    <xf numFmtId="0" fontId="31" fillId="0" borderId="11" xfId="0" applyFont="1" applyBorder="1" applyAlignment="1">
      <alignment horizontal="left" vertical="center"/>
    </xf>
    <xf numFmtId="0" fontId="31" fillId="0" borderId="8" xfId="0" applyFont="1" applyBorder="1" applyAlignment="1">
      <alignment horizontal="left" vertical="center"/>
    </xf>
    <xf numFmtId="0" fontId="31" fillId="0" borderId="3" xfId="0" applyFont="1" applyBorder="1" applyAlignment="1">
      <alignment horizontal="left" vertical="center"/>
    </xf>
    <xf numFmtId="0" fontId="31" fillId="0" borderId="12" xfId="0" applyFont="1" applyBorder="1" applyAlignment="1">
      <alignment horizontal="left" vertical="center"/>
    </xf>
    <xf numFmtId="0" fontId="35" fillId="0" borderId="0" xfId="0" applyFont="1" applyAlignment="1">
      <alignment horizontal="center"/>
    </xf>
    <xf numFmtId="0" fontId="31" fillId="0" borderId="1" xfId="0" applyFont="1" applyBorder="1"/>
    <xf numFmtId="0" fontId="31" fillId="0" borderId="10" xfId="0" applyFont="1" applyBorder="1"/>
    <xf numFmtId="0" fontId="31" fillId="0" borderId="0" xfId="0" applyFont="1" applyAlignment="1">
      <alignment horizontal="left"/>
    </xf>
    <xf numFmtId="0" fontId="31" fillId="0" borderId="11" xfId="0" applyFont="1" applyBorder="1" applyAlignment="1">
      <alignment horizontal="left"/>
    </xf>
    <xf numFmtId="4" fontId="31" fillId="0" borderId="0" xfId="0" applyNumberFormat="1" applyFont="1" applyAlignment="1">
      <alignment horizontal="left"/>
    </xf>
    <xf numFmtId="4" fontId="31" fillId="0" borderId="11" xfId="0" applyNumberFormat="1" applyFont="1" applyBorder="1" applyAlignment="1">
      <alignment horizontal="left"/>
    </xf>
    <xf numFmtId="0" fontId="35" fillId="10" borderId="0" xfId="0" applyFont="1" applyFill="1" applyAlignment="1">
      <alignment horizontal="center"/>
    </xf>
  </cellXfs>
  <cellStyles count="65">
    <cellStyle name="_x000a_386grabber=M" xfId="5" xr:uid="{00000000-0005-0000-0000-000000000000}"/>
    <cellStyle name="ChartingText" xfId="10" xr:uid="{00000000-0005-0000-0000-000001000000}"/>
    <cellStyle name="CHPAboveAverage" xfId="53" xr:uid="{00000000-0005-0000-0000-000002000000}"/>
    <cellStyle name="CHPBelowAverage" xfId="54" xr:uid="{00000000-0005-0000-0000-000003000000}"/>
    <cellStyle name="CHPBottom" xfId="55" xr:uid="{00000000-0005-0000-0000-000004000000}"/>
    <cellStyle name="CHPTop" xfId="56" xr:uid="{00000000-0005-0000-0000-000005000000}"/>
    <cellStyle name="ColumnHeaderNormal" xfId="11" xr:uid="{00000000-0005-0000-0000-000006000000}"/>
    <cellStyle name="Comma" xfId="63" builtinId="3"/>
    <cellStyle name="Comma 2" xfId="3" xr:uid="{00000000-0005-0000-0000-000008000000}"/>
    <cellStyle name="Comma 3" xfId="48" xr:uid="{00000000-0005-0000-0000-000009000000}"/>
    <cellStyle name="Invisible" xfId="12" xr:uid="{00000000-0005-0000-0000-00000B000000}"/>
    <cellStyle name="Invisible 2" xfId="58" xr:uid="{00000000-0005-0000-0000-00000C000000}"/>
    <cellStyle name="Invisible 3" xfId="62" xr:uid="{00000000-0005-0000-0000-00000D000000}"/>
    <cellStyle name="NewColumnHeaderNormal" xfId="13" xr:uid="{00000000-0005-0000-0000-00000E000000}"/>
    <cellStyle name="NewSectionHeaderNormal" xfId="14" xr:uid="{00000000-0005-0000-0000-00000F000000}"/>
    <cellStyle name="NewTitleNormal" xfId="15" xr:uid="{00000000-0005-0000-0000-000010000000}"/>
    <cellStyle name="Normal" xfId="0" builtinId="0"/>
    <cellStyle name="Normal 10" xfId="8" xr:uid="{00000000-0005-0000-0000-000012000000}"/>
    <cellStyle name="Normal 11" xfId="9" xr:uid="{00000000-0005-0000-0000-000013000000}"/>
    <cellStyle name="Normal 12" xfId="16" xr:uid="{00000000-0005-0000-0000-000014000000}"/>
    <cellStyle name="Normal 13" xfId="64" xr:uid="{00000000-0005-0000-0000-000015000000}"/>
    <cellStyle name="Normal 15" xfId="17" xr:uid="{00000000-0005-0000-0000-000016000000}"/>
    <cellStyle name="Normal 16" xfId="18" xr:uid="{00000000-0005-0000-0000-000017000000}"/>
    <cellStyle name="Normal 18" xfId="19" xr:uid="{00000000-0005-0000-0000-000018000000}"/>
    <cellStyle name="Normal 19" xfId="20" xr:uid="{00000000-0005-0000-0000-000019000000}"/>
    <cellStyle name="Normal 2" xfId="2" xr:uid="{00000000-0005-0000-0000-00001A000000}"/>
    <cellStyle name="Normal 2 2" xfId="50" xr:uid="{00000000-0005-0000-0000-00001B000000}"/>
    <cellStyle name="Normal 2_Consolidated Trading Comps_3 Comps_Feb 29, 2012_ALedits" xfId="59" xr:uid="{00000000-0005-0000-0000-00001C000000}"/>
    <cellStyle name="Normal 3" xfId="6" xr:uid="{00000000-0005-0000-0000-00001D000000}"/>
    <cellStyle name="Normal 4" xfId="7" xr:uid="{00000000-0005-0000-0000-00001E000000}"/>
    <cellStyle name="Normal 5" xfId="21" xr:uid="{00000000-0005-0000-0000-00001F000000}"/>
    <cellStyle name="Normal 6" xfId="22" xr:uid="{00000000-0005-0000-0000-000020000000}"/>
    <cellStyle name="Normal 7" xfId="52" xr:uid="{00000000-0005-0000-0000-000021000000}"/>
    <cellStyle name="Normal 8" xfId="57" xr:uid="{00000000-0005-0000-0000-000022000000}"/>
    <cellStyle name="Normal 9" xfId="61" xr:uid="{00000000-0005-0000-0000-000023000000}"/>
    <cellStyle name="Percent" xfId="1" builtinId="5"/>
    <cellStyle name="Percent 2" xfId="4" xr:uid="{00000000-0005-0000-0000-000027000000}"/>
    <cellStyle name="Percent 2 10" xfId="23" xr:uid="{00000000-0005-0000-0000-000028000000}"/>
    <cellStyle name="Percent 2 11" xfId="24" xr:uid="{00000000-0005-0000-0000-000029000000}"/>
    <cellStyle name="Percent 2 12" xfId="25" xr:uid="{00000000-0005-0000-0000-00002A000000}"/>
    <cellStyle name="Percent 2 13" xfId="26" xr:uid="{00000000-0005-0000-0000-00002B000000}"/>
    <cellStyle name="Percent 2 14" xfId="27" xr:uid="{00000000-0005-0000-0000-00002C000000}"/>
    <cellStyle name="Percent 2 15" xfId="28" xr:uid="{00000000-0005-0000-0000-00002D000000}"/>
    <cellStyle name="Percent 2 16" xfId="29" xr:uid="{00000000-0005-0000-0000-00002E000000}"/>
    <cellStyle name="Percent 2 17" xfId="30" xr:uid="{00000000-0005-0000-0000-00002F000000}"/>
    <cellStyle name="Percent 2 18" xfId="31" xr:uid="{00000000-0005-0000-0000-000030000000}"/>
    <cellStyle name="Percent 2 19" xfId="32" xr:uid="{00000000-0005-0000-0000-000031000000}"/>
    <cellStyle name="Percent 2 2" xfId="33" xr:uid="{00000000-0005-0000-0000-000032000000}"/>
    <cellStyle name="Percent 2 2 2" xfId="51" xr:uid="{00000000-0005-0000-0000-000033000000}"/>
    <cellStyle name="Percent 2 20" xfId="49" xr:uid="{00000000-0005-0000-0000-000034000000}"/>
    <cellStyle name="Percent 2 3" xfId="34" xr:uid="{00000000-0005-0000-0000-000035000000}"/>
    <cellStyle name="Percent 2 4" xfId="35" xr:uid="{00000000-0005-0000-0000-000036000000}"/>
    <cellStyle name="Percent 2 5" xfId="36" xr:uid="{00000000-0005-0000-0000-000037000000}"/>
    <cellStyle name="Percent 2 6" xfId="37" xr:uid="{00000000-0005-0000-0000-000038000000}"/>
    <cellStyle name="Percent 2 7" xfId="38" xr:uid="{00000000-0005-0000-0000-000039000000}"/>
    <cellStyle name="Percent 2 8" xfId="39" xr:uid="{00000000-0005-0000-0000-00003A000000}"/>
    <cellStyle name="Percent 2 9" xfId="40" xr:uid="{00000000-0005-0000-0000-00003B000000}"/>
    <cellStyle name="SectionHeaderNormal" xfId="41" xr:uid="{00000000-0005-0000-0000-00003C000000}"/>
    <cellStyle name="SubScript" xfId="42" xr:uid="{00000000-0005-0000-0000-00003D000000}"/>
    <cellStyle name="SuperScript" xfId="43" xr:uid="{00000000-0005-0000-0000-00003E000000}"/>
    <cellStyle name="TextBold" xfId="44" xr:uid="{00000000-0005-0000-0000-00003F000000}"/>
    <cellStyle name="TextItalic" xfId="45" xr:uid="{00000000-0005-0000-0000-000040000000}"/>
    <cellStyle name="TextNormal" xfId="46" xr:uid="{00000000-0005-0000-0000-000041000000}"/>
    <cellStyle name="TitleNormal" xfId="47" xr:uid="{00000000-0005-0000-0000-000042000000}"/>
    <cellStyle name="TTS" xfId="60" xr:uid="{00000000-0005-0000-0000-000043000000}"/>
  </cellStyles>
  <dxfs count="0"/>
  <tableStyles count="0" defaultTableStyle="TableStyleMedium2" defaultPivotStyle="PivotStyleLight16"/>
  <colors>
    <mruColors>
      <color rgb="FFB7E9C3"/>
      <color rgb="FFFFFF99"/>
      <color rgb="FF0000FF"/>
      <color rgb="FFFFFF66"/>
      <color rgb="FFFFC901"/>
      <color rgb="FF00924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Dashboard!$A$34</c:f>
              <c:strCache>
                <c:ptCount val="1"/>
                <c:pt idx="0">
                  <c:v>Profit After Tax</c:v>
                </c:pt>
              </c:strCache>
            </c:strRef>
          </c:tx>
          <c:spPr>
            <a:gradFill flip="none" rotWithShape="1">
              <a:gsLst>
                <a:gs pos="0">
                  <a:schemeClr val="accent6">
                    <a:lumMod val="40000"/>
                    <a:lumOff val="60000"/>
                  </a:schemeClr>
                </a:gs>
                <a:gs pos="46000">
                  <a:schemeClr val="accent6">
                    <a:lumMod val="95000"/>
                    <a:lumOff val="5000"/>
                  </a:schemeClr>
                </a:gs>
                <a:gs pos="100000">
                  <a:schemeClr val="accent6">
                    <a:lumMod val="60000"/>
                  </a:schemeClr>
                </a:gs>
              </a:gsLst>
              <a:path path="circle">
                <a:fillToRect l="50000" t="130000" r="50000" b="-30000"/>
              </a:path>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Dashboard!$B$24:$F$24</c:f>
              <c:strCache>
                <c:ptCount val="5"/>
                <c:pt idx="0">
                  <c:v>FY2023 E</c:v>
                </c:pt>
                <c:pt idx="1">
                  <c:v>FY2024 E</c:v>
                </c:pt>
                <c:pt idx="2">
                  <c:v>FY2025 E</c:v>
                </c:pt>
                <c:pt idx="3">
                  <c:v>FY2026 E</c:v>
                </c:pt>
                <c:pt idx="4">
                  <c:v>FY2027 E</c:v>
                </c:pt>
              </c:strCache>
            </c:strRef>
          </c:cat>
          <c:val>
            <c:numRef>
              <c:f>Dashboard!$B$34:$F$34</c:f>
              <c:numCache>
                <c:formatCode>_(* #,##0.00_);_(* \(#,##0.00\);_(* "-"??_);_(@_)</c:formatCode>
                <c:ptCount val="5"/>
                <c:pt idx="0">
                  <c:v>16157.011508151343</c:v>
                </c:pt>
                <c:pt idx="1">
                  <c:v>18089.481224495419</c:v>
                </c:pt>
                <c:pt idx="2">
                  <c:v>20630.715232800358</c:v>
                </c:pt>
                <c:pt idx="3">
                  <c:v>23360.44583858754</c:v>
                </c:pt>
                <c:pt idx="4">
                  <c:v>26545.911481336123</c:v>
                </c:pt>
              </c:numCache>
            </c:numRef>
          </c:val>
          <c:extLst>
            <c:ext xmlns:c16="http://schemas.microsoft.com/office/drawing/2014/chart" uri="{C3380CC4-5D6E-409C-BE32-E72D297353CC}">
              <c16:uniqueId val="{00000000-E585-43DF-A38C-60312A247DAB}"/>
            </c:ext>
          </c:extLst>
        </c:ser>
        <c:dLbls>
          <c:showLegendKey val="0"/>
          <c:showVal val="0"/>
          <c:showCatName val="0"/>
          <c:showSerName val="0"/>
          <c:showPercent val="0"/>
          <c:showBubbleSize val="0"/>
        </c:dLbls>
        <c:gapWidth val="219"/>
        <c:overlap val="-27"/>
        <c:axId val="1233739551"/>
        <c:axId val="1233737887"/>
      </c:barChart>
      <c:scatterChart>
        <c:scatterStyle val="lineMarker"/>
        <c:varyColors val="0"/>
        <c:ser>
          <c:idx val="1"/>
          <c:order val="1"/>
          <c:tx>
            <c:strRef>
              <c:f>Dashboard!$A$36</c:f>
              <c:strCache>
                <c:ptCount val="1"/>
                <c:pt idx="0">
                  <c:v>Cash</c:v>
                </c:pt>
              </c:strCache>
            </c:strRef>
          </c:tx>
          <c:spPr>
            <a:ln w="28575" cap="rnd">
              <a:solidFill>
                <a:schemeClr val="accent5"/>
              </a:solidFill>
              <a:round/>
            </a:ln>
            <a:effectLst/>
          </c:spPr>
          <c:marker>
            <c:symbol val="circle"/>
            <c:size val="18"/>
            <c:spPr>
              <a:gradFill flip="none" rotWithShape="1">
                <a:gsLst>
                  <a:gs pos="0">
                    <a:schemeClr val="accent5">
                      <a:lumMod val="40000"/>
                      <a:lumOff val="60000"/>
                    </a:schemeClr>
                  </a:gs>
                  <a:gs pos="46000">
                    <a:schemeClr val="accent5">
                      <a:lumMod val="95000"/>
                      <a:lumOff val="5000"/>
                    </a:schemeClr>
                  </a:gs>
                  <a:gs pos="100000">
                    <a:schemeClr val="accent5">
                      <a:lumMod val="60000"/>
                    </a:schemeClr>
                  </a:gs>
                </a:gsLst>
                <a:path path="circle">
                  <a:fillToRect l="50000" t="130000" r="50000" b="-30000"/>
                </a:path>
                <a:tileRect/>
              </a:gradFill>
              <a:ln w="9525">
                <a:solidFill>
                  <a:schemeClr val="accent1">
                    <a:alpha val="85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Dashboard!$B$24:$F$24</c:f>
              <c:strCache>
                <c:ptCount val="5"/>
                <c:pt idx="0">
                  <c:v>FY2023 E</c:v>
                </c:pt>
                <c:pt idx="1">
                  <c:v>FY2024 E</c:v>
                </c:pt>
                <c:pt idx="2">
                  <c:v>FY2025 E</c:v>
                </c:pt>
                <c:pt idx="3">
                  <c:v>FY2026 E</c:v>
                </c:pt>
                <c:pt idx="4">
                  <c:v>FY2027 E</c:v>
                </c:pt>
              </c:strCache>
            </c:strRef>
          </c:xVal>
          <c:yVal>
            <c:numRef>
              <c:f>Dashboard!$B$36:$F$36</c:f>
              <c:numCache>
                <c:formatCode>0</c:formatCode>
                <c:ptCount val="5"/>
                <c:pt idx="0">
                  <c:v>48060.127344145672</c:v>
                </c:pt>
                <c:pt idx="1">
                  <c:v>36758.030203052767</c:v>
                </c:pt>
                <c:pt idx="2">
                  <c:v>66517.903958682844</c:v>
                </c:pt>
                <c:pt idx="3">
                  <c:v>58343.965298768213</c:v>
                </c:pt>
                <c:pt idx="4">
                  <c:v>87028.415132612383</c:v>
                </c:pt>
              </c:numCache>
            </c:numRef>
          </c:yVal>
          <c:smooth val="0"/>
          <c:extLst>
            <c:ext xmlns:c16="http://schemas.microsoft.com/office/drawing/2014/chart" uri="{C3380CC4-5D6E-409C-BE32-E72D297353CC}">
              <c16:uniqueId val="{00000001-E585-43DF-A38C-60312A247DAB}"/>
            </c:ext>
          </c:extLst>
        </c:ser>
        <c:dLbls>
          <c:showLegendKey val="0"/>
          <c:showVal val="0"/>
          <c:showCatName val="0"/>
          <c:showSerName val="0"/>
          <c:showPercent val="0"/>
          <c:showBubbleSize val="0"/>
        </c:dLbls>
        <c:axId val="1233739551"/>
        <c:axId val="1233737887"/>
      </c:scatterChart>
      <c:catAx>
        <c:axId val="12337395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737887"/>
        <c:crosses val="autoZero"/>
        <c:auto val="1"/>
        <c:lblAlgn val="ctr"/>
        <c:lblOffset val="100"/>
        <c:noMultiLvlLbl val="1"/>
      </c:catAx>
      <c:valAx>
        <c:axId val="1233737887"/>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7395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Dashboard!$A$26</c:f>
              <c:strCache>
                <c:ptCount val="1"/>
                <c:pt idx="0">
                  <c:v>Revenue</c:v>
                </c:pt>
              </c:strCache>
            </c:strRef>
          </c:tx>
          <c:spPr>
            <a:solidFill>
              <a:schemeClr val="accent1"/>
            </a:solidFill>
            <a:ln>
              <a:noFill/>
            </a:ln>
            <a:effectLst/>
          </c:spPr>
          <c:invertIfNegative val="0"/>
          <c:cat>
            <c:strRef>
              <c:f>Dashboard!$B$24:$F$24</c:f>
              <c:strCache>
                <c:ptCount val="5"/>
                <c:pt idx="0">
                  <c:v>FY2023 E</c:v>
                </c:pt>
                <c:pt idx="1">
                  <c:v>FY2024 E</c:v>
                </c:pt>
                <c:pt idx="2">
                  <c:v>FY2025 E</c:v>
                </c:pt>
                <c:pt idx="3">
                  <c:v>FY2026 E</c:v>
                </c:pt>
                <c:pt idx="4">
                  <c:v>FY2027 E</c:v>
                </c:pt>
              </c:strCache>
            </c:strRef>
          </c:cat>
          <c:val>
            <c:numRef>
              <c:f>Dashboard!$B$26:$F$26</c:f>
              <c:numCache>
                <c:formatCode>#,##0.00_ ;\-#,##0.00\ </c:formatCode>
                <c:ptCount val="5"/>
                <c:pt idx="0">
                  <c:v>94336.631230511106</c:v>
                </c:pt>
                <c:pt idx="1">
                  <c:v>103903.0483230954</c:v>
                </c:pt>
                <c:pt idx="2">
                  <c:v>115647.06609799439</c:v>
                </c:pt>
                <c:pt idx="3">
                  <c:v>127822.50831925299</c:v>
                </c:pt>
                <c:pt idx="4">
                  <c:v>141444.84629044367</c:v>
                </c:pt>
              </c:numCache>
            </c:numRef>
          </c:val>
          <c:extLst>
            <c:ext xmlns:c16="http://schemas.microsoft.com/office/drawing/2014/chart" uri="{C3380CC4-5D6E-409C-BE32-E72D297353CC}">
              <c16:uniqueId val="{00000000-D475-41CF-90E2-F4E435B45B25}"/>
            </c:ext>
          </c:extLst>
        </c:ser>
        <c:ser>
          <c:idx val="1"/>
          <c:order val="1"/>
          <c:tx>
            <c:strRef>
              <c:f>Dashboard!$A$31</c:f>
              <c:strCache>
                <c:ptCount val="1"/>
                <c:pt idx="0">
                  <c:v>Net Profit / EBITDA</c:v>
                </c:pt>
              </c:strCache>
            </c:strRef>
          </c:tx>
          <c:spPr>
            <a:solidFill>
              <a:schemeClr val="accent2"/>
            </a:solidFill>
            <a:ln>
              <a:noFill/>
            </a:ln>
            <a:effectLst/>
          </c:spPr>
          <c:invertIfNegative val="0"/>
          <c:cat>
            <c:strRef>
              <c:f>Dashboard!$B$24:$F$24</c:f>
              <c:strCache>
                <c:ptCount val="5"/>
                <c:pt idx="0">
                  <c:v>FY2023 E</c:v>
                </c:pt>
                <c:pt idx="1">
                  <c:v>FY2024 E</c:v>
                </c:pt>
                <c:pt idx="2">
                  <c:v>FY2025 E</c:v>
                </c:pt>
                <c:pt idx="3">
                  <c:v>FY2026 E</c:v>
                </c:pt>
                <c:pt idx="4">
                  <c:v>FY2027 E</c:v>
                </c:pt>
              </c:strCache>
            </c:strRef>
          </c:cat>
          <c:val>
            <c:numRef>
              <c:f>Dashboard!$B$31:$F$31</c:f>
              <c:numCache>
                <c:formatCode>#,##0.00_ ;\-#,##0.00\ </c:formatCode>
                <c:ptCount val="5"/>
                <c:pt idx="0">
                  <c:v>25530.964492498406</c:v>
                </c:pt>
                <c:pt idx="1">
                  <c:v>28744.585943654809</c:v>
                </c:pt>
                <c:pt idx="2">
                  <c:v>31838.74663749271</c:v>
                </c:pt>
                <c:pt idx="3">
                  <c:v>36340.755752896257</c:v>
                </c:pt>
                <c:pt idx="4">
                  <c:v>41066.303296183723</c:v>
                </c:pt>
              </c:numCache>
            </c:numRef>
          </c:val>
          <c:extLst>
            <c:ext xmlns:c16="http://schemas.microsoft.com/office/drawing/2014/chart" uri="{C3380CC4-5D6E-409C-BE32-E72D297353CC}">
              <c16:uniqueId val="{00000001-D475-41CF-90E2-F4E435B45B25}"/>
            </c:ext>
          </c:extLst>
        </c:ser>
        <c:dLbls>
          <c:showLegendKey val="0"/>
          <c:showVal val="0"/>
          <c:showCatName val="0"/>
          <c:showSerName val="0"/>
          <c:showPercent val="0"/>
          <c:showBubbleSize val="0"/>
        </c:dLbls>
        <c:gapWidth val="219"/>
        <c:overlap val="-27"/>
        <c:axId val="503710480"/>
        <c:axId val="503705680"/>
      </c:barChart>
      <c:catAx>
        <c:axId val="503710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705680"/>
        <c:crosses val="autoZero"/>
        <c:auto val="1"/>
        <c:lblAlgn val="ctr"/>
        <c:lblOffset val="100"/>
        <c:noMultiLvlLbl val="0"/>
      </c:catAx>
      <c:valAx>
        <c:axId val="503705680"/>
        <c:scaling>
          <c:orientation val="minMax"/>
        </c:scaling>
        <c:delete val="0"/>
        <c:axPos val="l"/>
        <c:majorGridlines>
          <c:spPr>
            <a:ln w="9525" cap="flat" cmpd="sng" algn="ctr">
              <a:solidFill>
                <a:schemeClr val="tx1">
                  <a:lumMod val="15000"/>
                  <a:lumOff val="85000"/>
                </a:schemeClr>
              </a:solidFill>
              <a:round/>
            </a:ln>
            <a:effectLst/>
          </c:spPr>
        </c:majorGridlines>
        <c:numFmt formatCode="#,##0.00_ ;\-#,##0.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710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174173</xdr:colOff>
      <xdr:row>6</xdr:row>
      <xdr:rowOff>21770</xdr:rowOff>
    </xdr:from>
    <xdr:to>
      <xdr:col>20</xdr:col>
      <xdr:colOff>370115</xdr:colOff>
      <xdr:row>22</xdr:row>
      <xdr:rowOff>76197</xdr:rowOff>
    </xdr:to>
    <xdr:graphicFrame macro="">
      <xdr:nvGraphicFramePr>
        <xdr:cNvPr id="4" name="Chart 3">
          <a:extLst>
            <a:ext uri="{FF2B5EF4-FFF2-40B4-BE49-F238E27FC236}">
              <a16:creationId xmlns:a16="http://schemas.microsoft.com/office/drawing/2014/main" id="{681CAF82-D1B2-4F29-A7D5-8E9843F310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426720</xdr:colOff>
      <xdr:row>6</xdr:row>
      <xdr:rowOff>60960</xdr:rowOff>
    </xdr:from>
    <xdr:to>
      <xdr:col>12</xdr:col>
      <xdr:colOff>617220</xdr:colOff>
      <xdr:row>21</xdr:row>
      <xdr:rowOff>15240</xdr:rowOff>
    </xdr:to>
    <xdr:graphicFrame macro="">
      <xdr:nvGraphicFramePr>
        <xdr:cNvPr id="8" name="Chart 7">
          <a:extLst>
            <a:ext uri="{FF2B5EF4-FFF2-40B4-BE49-F238E27FC236}">
              <a16:creationId xmlns:a16="http://schemas.microsoft.com/office/drawing/2014/main" id="{AB6BC9EF-986A-40E7-B959-FFEFF58480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92.168.0.34/tda$/Documents%20and%20Settings/thamaliw/Local%20Settings/Temporary%20Internet%20Files/OLK5D/Templates/Models/Trash/._financial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92.168.0.34/tda$/Documents%20and%20Settings/thamaliw/Local%20Settings/Temporary%20Internet%20Files/OLK5D/Templates/Models/Revised%20input-output%20template%20Y-end%20Dec%20-%20v1%20-%204Q%2020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_financial2"/>
      <sheetName val="Sheet1"/>
      <sheetName val="Template"/>
      <sheetName val="ACE-IN"/>
    </sheetNames>
    <definedNames>
      <definedName name="cmdOK2_click"/>
    </definedNames>
    <sheetDataSet>
      <sheetData sheetId="0" refreshError="1"/>
      <sheetData sheetId="1" refreshError="1"/>
      <sheetData sheetId="2" refreshError="1"/>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ont"/>
      <sheetName val="Input"/>
      <sheetName val="Output"/>
      <sheetName val="GROMM"/>
    </sheetNames>
    <sheetDataSet>
      <sheetData sheetId="0" refreshError="1"/>
      <sheetData sheetId="1"/>
      <sheetData sheetId="2"/>
      <sheetData sheetId="3"/>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51"/>
  <sheetViews>
    <sheetView showGridLines="0" zoomScale="80" zoomScaleNormal="80" workbookViewId="0"/>
  </sheetViews>
  <sheetFormatPr baseColWidth="10" defaultColWidth="12.6640625" defaultRowHeight="17"/>
  <cols>
    <col min="1" max="1" width="52.1640625" style="3" bestFit="1" customWidth="1"/>
    <col min="2" max="6" width="12.6640625" style="3"/>
    <col min="7" max="7" width="2.6640625" style="3" customWidth="1"/>
    <col min="8" max="12" width="12.6640625" style="3"/>
    <col min="13" max="23" width="12.6640625" style="3" customWidth="1"/>
    <col min="24" max="16384" width="12.6640625" style="3"/>
  </cols>
  <sheetData>
    <row r="1" spans="1:20" ht="35.5" customHeight="1">
      <c r="A1" s="1" t="s">
        <v>247</v>
      </c>
      <c r="B1" s="2"/>
      <c r="C1" s="2"/>
      <c r="D1" s="2"/>
      <c r="E1" s="2"/>
      <c r="F1" s="2"/>
      <c r="G1" s="2"/>
      <c r="H1" s="2"/>
      <c r="I1" s="2"/>
      <c r="J1" s="2"/>
      <c r="K1" s="2"/>
      <c r="L1" s="2"/>
      <c r="M1" s="2"/>
    </row>
    <row r="2" spans="1:20" ht="18.5" customHeight="1">
      <c r="A2" s="4" t="s">
        <v>23</v>
      </c>
      <c r="B2" s="5"/>
      <c r="C2" s="5"/>
      <c r="D2" s="5"/>
      <c r="E2" s="5"/>
      <c r="F2" s="5"/>
      <c r="G2" s="5"/>
      <c r="H2" s="5"/>
      <c r="I2" s="5"/>
      <c r="J2" s="5"/>
      <c r="K2" s="5"/>
      <c r="L2" s="5"/>
      <c r="M2" s="5"/>
    </row>
    <row r="3" spans="1:20">
      <c r="A3" s="6" t="s">
        <v>37</v>
      </c>
      <c r="B3" s="6"/>
      <c r="C3" s="6"/>
      <c r="D3" s="6"/>
      <c r="E3" s="6"/>
      <c r="F3" s="6"/>
      <c r="G3" s="6"/>
      <c r="H3" s="6"/>
      <c r="I3" s="6"/>
      <c r="J3" s="6"/>
      <c r="K3" s="6"/>
      <c r="L3" s="6"/>
      <c r="M3" s="6"/>
    </row>
    <row r="5" spans="1:20" ht="21">
      <c r="A5" s="301" t="s">
        <v>119</v>
      </c>
      <c r="B5" s="301"/>
      <c r="C5" s="301"/>
      <c r="D5" s="301"/>
      <c r="E5" s="7"/>
      <c r="F5" s="7"/>
      <c r="G5" s="7"/>
      <c r="H5" s="318" t="s">
        <v>248</v>
      </c>
      <c r="I5" s="318"/>
      <c r="J5" s="318"/>
      <c r="K5" s="318"/>
      <c r="L5" s="318"/>
      <c r="M5" s="318"/>
      <c r="O5" s="318" t="s">
        <v>301</v>
      </c>
      <c r="P5" s="318"/>
      <c r="Q5" s="318"/>
      <c r="R5" s="318"/>
      <c r="S5" s="318"/>
      <c r="T5" s="318"/>
    </row>
    <row r="6" spans="1:20">
      <c r="A6" s="8" t="s">
        <v>26</v>
      </c>
      <c r="B6" s="312" t="s">
        <v>283</v>
      </c>
      <c r="C6" s="312"/>
      <c r="D6" s="313"/>
      <c r="I6" s="9"/>
    </row>
    <row r="7" spans="1:20">
      <c r="A7" s="10" t="s">
        <v>27</v>
      </c>
      <c r="B7" s="312" t="s">
        <v>284</v>
      </c>
      <c r="C7" s="312"/>
      <c r="D7" s="313"/>
      <c r="I7" s="11"/>
      <c r="K7" s="12"/>
      <c r="L7" s="12"/>
    </row>
    <row r="8" spans="1:20">
      <c r="A8" s="10" t="s">
        <v>293</v>
      </c>
      <c r="B8" s="314">
        <v>1163.75</v>
      </c>
      <c r="C8" s="314"/>
      <c r="D8" s="315"/>
      <c r="I8" s="13"/>
    </row>
    <row r="9" spans="1:20">
      <c r="A9" s="10" t="s">
        <v>120</v>
      </c>
      <c r="B9" s="316">
        <v>314241</v>
      </c>
      <c r="C9" s="316"/>
      <c r="D9" s="317"/>
      <c r="I9" s="14"/>
    </row>
    <row r="10" spans="1:20">
      <c r="A10" s="15" t="s">
        <v>28</v>
      </c>
      <c r="B10" s="299" t="s">
        <v>285</v>
      </c>
      <c r="C10" s="299"/>
      <c r="D10" s="300"/>
      <c r="I10" s="16"/>
    </row>
    <row r="11" spans="1:20">
      <c r="I11" s="16"/>
    </row>
    <row r="12" spans="1:20" ht="18" customHeight="1">
      <c r="A12" s="301" t="s">
        <v>35</v>
      </c>
      <c r="B12" s="301"/>
      <c r="C12" s="301"/>
      <c r="D12" s="301"/>
      <c r="I12" s="17"/>
    </row>
    <row r="13" spans="1:20">
      <c r="A13" s="302" t="s">
        <v>282</v>
      </c>
      <c r="B13" s="303"/>
      <c r="C13" s="303"/>
      <c r="D13" s="304"/>
      <c r="I13" s="16"/>
    </row>
    <row r="14" spans="1:20">
      <c r="A14" s="305"/>
      <c r="B14" s="306"/>
      <c r="C14" s="306"/>
      <c r="D14" s="307"/>
      <c r="I14" s="18"/>
    </row>
    <row r="15" spans="1:20">
      <c r="A15" s="305"/>
      <c r="B15" s="306"/>
      <c r="C15" s="306"/>
      <c r="D15" s="307"/>
      <c r="I15" s="19"/>
    </row>
    <row r="16" spans="1:20">
      <c r="A16" s="305"/>
      <c r="B16" s="306"/>
      <c r="C16" s="306"/>
      <c r="D16" s="307"/>
      <c r="I16" s="16"/>
    </row>
    <row r="17" spans="1:23">
      <c r="A17" s="305"/>
      <c r="B17" s="306"/>
      <c r="C17" s="306"/>
      <c r="D17" s="307"/>
      <c r="I17" s="16"/>
    </row>
    <row r="18" spans="1:23">
      <c r="A18" s="305"/>
      <c r="B18" s="306"/>
      <c r="C18" s="306"/>
      <c r="D18" s="307"/>
      <c r="I18" s="20"/>
    </row>
    <row r="19" spans="1:23">
      <c r="A19" s="305"/>
      <c r="B19" s="306"/>
      <c r="C19" s="306"/>
      <c r="D19" s="307"/>
    </row>
    <row r="20" spans="1:23">
      <c r="A20" s="308"/>
      <c r="B20" s="309"/>
      <c r="C20" s="309"/>
      <c r="D20" s="310"/>
    </row>
    <row r="22" spans="1:23">
      <c r="G22" s="21"/>
    </row>
    <row r="23" spans="1:23">
      <c r="G23" s="12"/>
    </row>
    <row r="24" spans="1:23" ht="21">
      <c r="A24" s="22" t="s">
        <v>109</v>
      </c>
      <c r="B24" s="23" t="str">
        <f>Assumptions!E5</f>
        <v>FY2023 E</v>
      </c>
      <c r="C24" s="23" t="str">
        <f>Assumptions!F5</f>
        <v>FY2024 E</v>
      </c>
      <c r="D24" s="23" t="str">
        <f>Assumptions!G5</f>
        <v>FY2025 E</v>
      </c>
      <c r="E24" s="23" t="str">
        <f>Assumptions!H5</f>
        <v>FY2026 E</v>
      </c>
      <c r="F24" s="23" t="str">
        <f>Assumptions!I5</f>
        <v>FY2027 E</v>
      </c>
      <c r="G24" s="24"/>
      <c r="H24" s="311"/>
      <c r="I24" s="311"/>
      <c r="J24" s="311"/>
      <c r="K24" s="311"/>
      <c r="L24" s="311"/>
      <c r="M24" s="311"/>
      <c r="N24" s="25"/>
      <c r="O24" s="25"/>
      <c r="P24" s="26"/>
      <c r="Q24" s="26"/>
      <c r="R24" s="26"/>
      <c r="S24" s="26"/>
      <c r="T24" s="26"/>
      <c r="U24" s="26"/>
      <c r="V24" s="26"/>
      <c r="W24" s="26"/>
    </row>
    <row r="25" spans="1:23">
      <c r="B25" s="12"/>
      <c r="C25" s="12"/>
      <c r="D25" s="12"/>
      <c r="E25" s="12"/>
      <c r="F25" s="12"/>
      <c r="G25" s="27"/>
      <c r="J25" s="298"/>
      <c r="K25" s="298"/>
      <c r="L25" s="298"/>
    </row>
    <row r="26" spans="1:23">
      <c r="A26" s="3" t="s">
        <v>6</v>
      </c>
      <c r="B26" s="77">
        <f>'Income Statement'!E7</f>
        <v>94336.631230511106</v>
      </c>
      <c r="C26" s="85">
        <f>'Income Statement'!F7</f>
        <v>103903.0483230954</v>
      </c>
      <c r="D26" s="85">
        <f>'Income Statement'!G7</f>
        <v>115647.06609799439</v>
      </c>
      <c r="E26" s="85">
        <f>'Income Statement'!H7</f>
        <v>127822.50831925299</v>
      </c>
      <c r="F26" s="71">
        <f>'Income Statement'!I7</f>
        <v>141444.84629044367</v>
      </c>
      <c r="G26" s="28"/>
      <c r="J26" s="298"/>
      <c r="K26" s="298"/>
      <c r="L26" s="298"/>
    </row>
    <row r="27" spans="1:23">
      <c r="A27" s="3" t="s">
        <v>110</v>
      </c>
      <c r="B27" s="84">
        <f>'Income Statement'!E14</f>
        <v>-1434.4175100478312</v>
      </c>
      <c r="C27" s="86">
        <f>'Income Statement'!F14</f>
        <v>-1462.6819528717904</v>
      </c>
      <c r="D27" s="86">
        <f>'Income Statement'!G14</f>
        <v>-1490.1469892996859</v>
      </c>
      <c r="E27" s="86">
        <f>'Income Statement'!H14</f>
        <v>-1519.3008461410013</v>
      </c>
      <c r="F27" s="83">
        <f>'Income Statement'!I14</f>
        <v>-1548.6973257175443</v>
      </c>
      <c r="G27" s="29"/>
      <c r="J27" s="298"/>
      <c r="K27" s="298"/>
      <c r="L27" s="298"/>
    </row>
    <row r="28" spans="1:23">
      <c r="A28" s="30" t="s">
        <v>111</v>
      </c>
      <c r="B28" s="78">
        <f>'Income Statement'!E15</f>
        <v>92902.213720463275</v>
      </c>
      <c r="C28" s="87">
        <f>'Income Statement'!F15</f>
        <v>102440.36637022361</v>
      </c>
      <c r="D28" s="87">
        <f>'Income Statement'!G15</f>
        <v>114156.91910869471</v>
      </c>
      <c r="E28" s="87">
        <f>'Income Statement'!H15</f>
        <v>126303.20747311198</v>
      </c>
      <c r="F28" s="72">
        <f>'Income Statement'!I15</f>
        <v>139896.14896472613</v>
      </c>
      <c r="G28" s="29"/>
      <c r="J28" s="298"/>
      <c r="K28" s="298"/>
      <c r="L28" s="298"/>
    </row>
    <row r="29" spans="1:23">
      <c r="A29" s="3" t="s">
        <v>117</v>
      </c>
      <c r="B29" s="78">
        <f>'Income Statement'!E62</f>
        <v>0.9847946922490497</v>
      </c>
      <c r="C29" s="87">
        <f>'Income Statement'!F62</f>
        <v>0.98592262713675682</v>
      </c>
      <c r="D29" s="87">
        <f>'Income Statement'!G62</f>
        <v>0.98711470130995804</v>
      </c>
      <c r="E29" s="87">
        <f>'Income Statement'!H62</f>
        <v>0.98811398034572784</v>
      </c>
      <c r="F29" s="72">
        <f>'Income Statement'!I62</f>
        <v>0.98905087483684317</v>
      </c>
      <c r="G29" s="31"/>
      <c r="J29" s="298"/>
      <c r="K29" s="298"/>
      <c r="L29" s="298"/>
    </row>
    <row r="30" spans="1:23">
      <c r="B30" s="78"/>
      <c r="C30" s="87"/>
      <c r="D30" s="87"/>
      <c r="E30" s="87"/>
      <c r="F30" s="72"/>
      <c r="G30" s="29"/>
      <c r="J30" s="298"/>
      <c r="K30" s="298"/>
      <c r="L30" s="298"/>
    </row>
    <row r="31" spans="1:23">
      <c r="A31" s="7" t="s">
        <v>116</v>
      </c>
      <c r="B31" s="79">
        <f>'Income Statement'!E20</f>
        <v>25530.964492498406</v>
      </c>
      <c r="C31" s="88">
        <f>'Income Statement'!F20</f>
        <v>28744.585943654809</v>
      </c>
      <c r="D31" s="88">
        <f>'Income Statement'!G20</f>
        <v>31838.74663749271</v>
      </c>
      <c r="E31" s="88">
        <f>'Income Statement'!H20</f>
        <v>36340.755752896257</v>
      </c>
      <c r="F31" s="73">
        <f>'Income Statement'!I20</f>
        <v>41066.303296183723</v>
      </c>
      <c r="G31" s="32"/>
    </row>
    <row r="32" spans="1:23">
      <c r="A32" s="3" t="s">
        <v>115</v>
      </c>
      <c r="B32" s="78">
        <f>'Income Statement'!E78</f>
        <v>0.17126975277155873</v>
      </c>
      <c r="C32" s="87">
        <f>'Income Statement'!F78</f>
        <v>0.17409961994805612</v>
      </c>
      <c r="D32" s="87">
        <f>'Income Statement'!G78</f>
        <v>0.17839376240914551</v>
      </c>
      <c r="E32" s="87">
        <f>'Income Statement'!H78</f>
        <v>0.18275690366083142</v>
      </c>
      <c r="F32" s="72">
        <f>'Income Statement'!I78</f>
        <v>0.18767676714658513</v>
      </c>
      <c r="G32" s="33"/>
    </row>
    <row r="33" spans="1:12">
      <c r="A33" s="3" t="s">
        <v>112</v>
      </c>
      <c r="B33" s="78">
        <f>SUM('Income Statement'!E28:E30)</f>
        <v>-4979.6488234052731</v>
      </c>
      <c r="C33" s="87">
        <f>SUM('Income Statement'!F28:F30)</f>
        <v>-5851.9953109719982</v>
      </c>
      <c r="D33" s="87">
        <f>SUM('Income Statement'!G28:G30)</f>
        <v>-6072.8559368720798</v>
      </c>
      <c r="E33" s="87">
        <f>SUM('Income Statement'!H28:H30)</f>
        <v>-7208.5787411963001</v>
      </c>
      <c r="F33" s="72">
        <f>SUM('Income Statement'!I28:I30)</f>
        <v>-8194.8881653815624</v>
      </c>
      <c r="G33" s="29"/>
      <c r="J33" s="298"/>
      <c r="K33" s="298"/>
      <c r="L33" s="298"/>
    </row>
    <row r="34" spans="1:12">
      <c r="A34" s="30" t="s">
        <v>113</v>
      </c>
      <c r="B34" s="80">
        <f>'Income Statement'!E39</f>
        <v>16157.011508151343</v>
      </c>
      <c r="C34" s="89">
        <f>'Income Statement'!F39</f>
        <v>18089.481224495419</v>
      </c>
      <c r="D34" s="89">
        <f>'Income Statement'!G39</f>
        <v>20630.715232800358</v>
      </c>
      <c r="E34" s="89">
        <f>'Income Statement'!H39</f>
        <v>23360.44583858754</v>
      </c>
      <c r="F34" s="74">
        <f>'Income Statement'!I39</f>
        <v>26545.911481336123</v>
      </c>
      <c r="G34" s="29"/>
      <c r="J34" s="298"/>
      <c r="K34" s="298"/>
      <c r="L34" s="298"/>
    </row>
    <row r="35" spans="1:12">
      <c r="A35" s="3" t="s">
        <v>118</v>
      </c>
      <c r="B35" s="81">
        <f>Dashboard!B32</f>
        <v>0.17126975277155873</v>
      </c>
      <c r="C35" s="90">
        <f>Dashboard!C32</f>
        <v>0.17409961994805612</v>
      </c>
      <c r="D35" s="90">
        <f>Dashboard!D32</f>
        <v>0.17839376240914551</v>
      </c>
      <c r="E35" s="90">
        <f>Dashboard!E32</f>
        <v>0.18275690366083142</v>
      </c>
      <c r="F35" s="75">
        <f>Dashboard!F32</f>
        <v>0.18767676714658513</v>
      </c>
      <c r="G35" s="34"/>
      <c r="J35" s="298"/>
      <c r="K35" s="298"/>
      <c r="L35" s="298"/>
    </row>
    <row r="36" spans="1:12">
      <c r="A36" s="7" t="s">
        <v>114</v>
      </c>
      <c r="B36" s="82">
        <f>'Balance Sheet'!E8</f>
        <v>48060.127344145672</v>
      </c>
      <c r="C36" s="91">
        <f>'Balance Sheet'!F8</f>
        <v>36758.030203052767</v>
      </c>
      <c r="D36" s="91">
        <f>'Balance Sheet'!G8</f>
        <v>66517.903958682844</v>
      </c>
      <c r="E36" s="91">
        <f>'Balance Sheet'!H8</f>
        <v>58343.965298768213</v>
      </c>
      <c r="F36" s="76">
        <f>'Balance Sheet'!I8</f>
        <v>87028.415132612383</v>
      </c>
      <c r="G36" s="34"/>
    </row>
    <row r="37" spans="1:12">
      <c r="B37" s="29"/>
      <c r="C37" s="29"/>
      <c r="D37" s="29"/>
      <c r="E37" s="29"/>
      <c r="F37" s="29"/>
      <c r="J37" s="298"/>
      <c r="K37" s="298"/>
      <c r="L37" s="298"/>
    </row>
    <row r="51" spans="13:14">
      <c r="M51" s="35"/>
      <c r="N51" s="35"/>
    </row>
  </sheetData>
  <mergeCells count="21">
    <mergeCell ref="B7:D7"/>
    <mergeCell ref="B8:D8"/>
    <mergeCell ref="B9:D9"/>
    <mergeCell ref="H5:M5"/>
    <mergeCell ref="O5:T5"/>
    <mergeCell ref="A5:D5"/>
    <mergeCell ref="B6:D6"/>
    <mergeCell ref="B10:D10"/>
    <mergeCell ref="A12:D12"/>
    <mergeCell ref="A13:D20"/>
    <mergeCell ref="J25:L25"/>
    <mergeCell ref="H24:M24"/>
    <mergeCell ref="J33:L33"/>
    <mergeCell ref="J34:L34"/>
    <mergeCell ref="J35:L35"/>
    <mergeCell ref="J37:L37"/>
    <mergeCell ref="J26:L26"/>
    <mergeCell ref="J29:L29"/>
    <mergeCell ref="J30:L30"/>
    <mergeCell ref="J27:L27"/>
    <mergeCell ref="J28:L28"/>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tint="0.79998168889431442"/>
  </sheetPr>
  <dimension ref="A1:M66"/>
  <sheetViews>
    <sheetView showGridLines="0" zoomScaleNormal="100" workbookViewId="0">
      <selection activeCell="H7" sqref="H7"/>
    </sheetView>
  </sheetViews>
  <sheetFormatPr baseColWidth="10" defaultColWidth="9.1640625" defaultRowHeight="19.25" customHeight="1"/>
  <cols>
    <col min="1" max="1" width="54.1640625" style="37" bestFit="1" customWidth="1"/>
    <col min="2" max="2" width="15.83203125" style="37" customWidth="1"/>
    <col min="3" max="3" width="15.5" style="37" customWidth="1"/>
    <col min="4" max="4" width="15.33203125" style="37" customWidth="1"/>
    <col min="5" max="12" width="15.5" style="37" bestFit="1" customWidth="1"/>
    <col min="13" max="16384" width="9.1640625" style="37"/>
  </cols>
  <sheetData>
    <row r="1" spans="1:13" ht="35.25" customHeight="1">
      <c r="A1" s="2" t="str">
        <f>Dashboard!A1</f>
        <v>Company Name: HCL Technologies Ltd</v>
      </c>
      <c r="B1" s="36"/>
      <c r="C1" s="36"/>
      <c r="D1" s="36"/>
      <c r="E1" s="36"/>
      <c r="F1" s="36"/>
      <c r="G1" s="36"/>
      <c r="H1" s="36"/>
      <c r="I1" s="36"/>
      <c r="J1" s="36"/>
      <c r="K1" s="36"/>
      <c r="L1" s="36"/>
    </row>
    <row r="2" spans="1:13" ht="20.25" customHeight="1">
      <c r="A2" s="4" t="s">
        <v>25</v>
      </c>
      <c r="B2" s="5"/>
      <c r="C2" s="5"/>
      <c r="D2" s="5"/>
      <c r="E2" s="38"/>
      <c r="F2" s="5"/>
      <c r="G2" s="5"/>
      <c r="H2" s="5"/>
      <c r="I2" s="5"/>
      <c r="J2" s="5"/>
      <c r="K2" s="5"/>
      <c r="L2" s="5"/>
    </row>
    <row r="3" spans="1:13" ht="14">
      <c r="A3" s="6"/>
      <c r="B3" s="6"/>
      <c r="C3" s="39"/>
      <c r="D3" s="39"/>
      <c r="E3" s="6"/>
      <c r="F3" s="6"/>
      <c r="G3" s="6"/>
      <c r="H3" s="6"/>
      <c r="I3" s="6"/>
      <c r="J3" s="6"/>
      <c r="K3" s="6"/>
      <c r="L3" s="6"/>
    </row>
    <row r="4" spans="1:13" ht="14">
      <c r="A4" s="40"/>
    </row>
    <row r="5" spans="1:13" ht="18" customHeight="1">
      <c r="A5" s="41" t="s">
        <v>166</v>
      </c>
      <c r="B5" s="42" t="s">
        <v>157</v>
      </c>
      <c r="C5" s="42" t="s">
        <v>165</v>
      </c>
      <c r="D5" s="42" t="s">
        <v>216</v>
      </c>
      <c r="E5" s="42" t="s">
        <v>158</v>
      </c>
      <c r="F5" s="42" t="s">
        <v>159</v>
      </c>
      <c r="G5" s="42" t="s">
        <v>160</v>
      </c>
      <c r="H5" s="42" t="s">
        <v>161</v>
      </c>
      <c r="I5" s="42" t="s">
        <v>162</v>
      </c>
      <c r="J5" s="42" t="s">
        <v>163</v>
      </c>
      <c r="K5" s="42" t="s">
        <v>164</v>
      </c>
      <c r="L5" s="42" t="s">
        <v>217</v>
      </c>
    </row>
    <row r="6" spans="1:13" ht="18" customHeight="1">
      <c r="A6" s="43" t="s">
        <v>21</v>
      </c>
      <c r="B6" s="44"/>
      <c r="C6" s="44"/>
      <c r="D6" s="44"/>
      <c r="E6" s="44"/>
      <c r="F6" s="44"/>
      <c r="G6" s="44"/>
      <c r="H6" s="44"/>
      <c r="I6" s="44"/>
      <c r="J6" s="44"/>
      <c r="K6" s="44"/>
      <c r="L6" s="44"/>
    </row>
    <row r="7" spans="1:13" ht="19.25" customHeight="1">
      <c r="A7" s="45" t="s">
        <v>7</v>
      </c>
      <c r="B7" s="61"/>
      <c r="C7" s="61">
        <f>+('Income Statement'!C7-'Income Statement'!B7)/'Income Statement'!B7</f>
        <v>6.6543098081385477E-2</v>
      </c>
      <c r="D7" s="61">
        <f>+('Income Statement'!D7-'Income Statement'!C7)/'Income Statement'!C7</f>
        <v>0.13627137531673278</v>
      </c>
      <c r="E7" s="62">
        <f>AVERAGE(B7:D7)</f>
        <v>0.10140723669905913</v>
      </c>
      <c r="F7" s="62">
        <f t="shared" ref="F7:L7" si="0">AVERAGE(C7:E7)</f>
        <v>0.10140723669905911</v>
      </c>
      <c r="G7" s="62">
        <f t="shared" si="0"/>
        <v>0.11302861623828368</v>
      </c>
      <c r="H7" s="62">
        <f t="shared" si="0"/>
        <v>0.10528102987880066</v>
      </c>
      <c r="I7" s="62">
        <f t="shared" si="0"/>
        <v>0.10657229427204783</v>
      </c>
      <c r="J7" s="62">
        <f t="shared" si="0"/>
        <v>0.10829398012971071</v>
      </c>
      <c r="K7" s="62">
        <f t="shared" si="0"/>
        <v>0.10671576809351974</v>
      </c>
      <c r="L7" s="62">
        <f t="shared" si="0"/>
        <v>0.10719401416509276</v>
      </c>
      <c r="M7" s="46"/>
    </row>
    <row r="8" spans="1:13" ht="19.25" customHeight="1">
      <c r="A8" s="45" t="s">
        <v>250</v>
      </c>
      <c r="B8" s="61"/>
      <c r="C8" s="61">
        <f>+('Income Statement'!C8-'Income Statement'!B8)/'Income Statement'!B8</f>
        <v>0.57385398981324276</v>
      </c>
      <c r="D8" s="61">
        <f>+('Income Statement'!D8-'Income Statement'!C8)/'Income Statement'!C8</f>
        <v>0.15102481121898598</v>
      </c>
      <c r="E8" s="62">
        <f>AVERAGE(B8:D8)</f>
        <v>0.36243940051611434</v>
      </c>
      <c r="F8" s="62">
        <f t="shared" ref="F8:L8" si="1">AVERAGE(C8:E8)</f>
        <v>0.3624394005161144</v>
      </c>
      <c r="G8" s="62">
        <f t="shared" si="1"/>
        <v>0.29196787075040492</v>
      </c>
      <c r="H8" s="62">
        <f t="shared" si="1"/>
        <v>0.33894889059421124</v>
      </c>
      <c r="I8" s="62">
        <f t="shared" si="1"/>
        <v>0.3311187206202435</v>
      </c>
      <c r="J8" s="62">
        <f t="shared" si="1"/>
        <v>0.32067849398828657</v>
      </c>
      <c r="K8" s="62">
        <f t="shared" si="1"/>
        <v>0.33024870173424709</v>
      </c>
      <c r="L8" s="62">
        <f t="shared" si="1"/>
        <v>0.32734863878092568</v>
      </c>
      <c r="M8" s="46"/>
    </row>
    <row r="9" spans="1:13" ht="19.25" customHeight="1">
      <c r="A9" s="47" t="s">
        <v>110</v>
      </c>
      <c r="B9" s="61">
        <f>+ABS('Income Statement'!B14/'Income Statement'!$B$7)</f>
        <v>2.1732978663195426E-2</v>
      </c>
      <c r="C9" s="61">
        <f>+ABS('Income Statement'!C14/'Income Statement'!$C$7)</f>
        <v>2.248636888258003E-2</v>
      </c>
      <c r="D9" s="61">
        <f>+ABS('Income Statement'!D14/'Income Statement'!$D$7)</f>
        <v>1.6415453409767546E-2</v>
      </c>
      <c r="E9" s="63">
        <f>AVERAGE(B9:D9)</f>
        <v>2.0211600318514336E-2</v>
      </c>
      <c r="F9" s="63">
        <f t="shared" ref="F9:L9" si="2">AVERAGE(C9:E9)</f>
        <v>1.9704474203620637E-2</v>
      </c>
      <c r="G9" s="63">
        <f t="shared" si="2"/>
        <v>1.8777175977300841E-2</v>
      </c>
      <c r="H9" s="63">
        <f t="shared" si="2"/>
        <v>1.9564416833145273E-2</v>
      </c>
      <c r="I9" s="63">
        <f t="shared" si="2"/>
        <v>1.9348689004688918E-2</v>
      </c>
      <c r="J9" s="63">
        <f t="shared" si="2"/>
        <v>1.9230093938378344E-2</v>
      </c>
      <c r="K9" s="63">
        <f t="shared" si="2"/>
        <v>1.9381066592070846E-2</v>
      </c>
      <c r="L9" s="63">
        <f t="shared" si="2"/>
        <v>1.9319949845046036E-2</v>
      </c>
    </row>
    <row r="10" spans="1:13" ht="19.25" customHeight="1">
      <c r="A10" s="47" t="s">
        <v>148</v>
      </c>
      <c r="B10" s="61">
        <f>+ABS('Income Statement'!B16/'Income Statement'!B7)</f>
        <v>0.49419887939328766</v>
      </c>
      <c r="C10" s="61">
        <f>+ABS('Income Statement'!C16/'Income Statement'!C7)</f>
        <v>0.51543533344830783</v>
      </c>
      <c r="D10" s="61">
        <f>+ABS('Income Statement'!D16/'Income Statement'!D7)</f>
        <v>0.53858098562772183</v>
      </c>
      <c r="E10" s="63">
        <f>AVERAGE(B10:D10)</f>
        <v>0.51607173282310581</v>
      </c>
      <c r="F10" s="63">
        <f t="shared" ref="F10" si="3">AVERAGE(C10:E10)</f>
        <v>0.52336268396637842</v>
      </c>
      <c r="G10" s="63">
        <f t="shared" ref="G10" si="4">AVERAGE(D10:F10)</f>
        <v>0.52600513413906869</v>
      </c>
      <c r="H10" s="63">
        <f t="shared" ref="H10" si="5">AVERAGE(E10:G10)</f>
        <v>0.52181318364285101</v>
      </c>
      <c r="I10" s="63">
        <f t="shared" ref="I10" si="6">AVERAGE(F10:H10)</f>
        <v>0.523727000582766</v>
      </c>
      <c r="J10" s="63">
        <f t="shared" ref="J10" si="7">AVERAGE(G10:I10)</f>
        <v>0.52384843945489523</v>
      </c>
      <c r="K10" s="63">
        <f t="shared" ref="K10" si="8">AVERAGE(H10:J10)</f>
        <v>0.52312954122683741</v>
      </c>
      <c r="L10" s="63">
        <f t="shared" ref="L10" si="9">AVERAGE(I10:K10)</f>
        <v>0.52356832708816625</v>
      </c>
    </row>
    <row r="11" spans="1:13" ht="19.25" customHeight="1">
      <c r="A11" s="47" t="s">
        <v>218</v>
      </c>
      <c r="B11" s="61">
        <f>+ABS('Income Statement'!B17/'Income Statement'!B7)</f>
        <v>0.15139509876054105</v>
      </c>
      <c r="C11" s="61">
        <f>+ABS('Income Statement'!C17/'Income Statement'!C7)</f>
        <v>0.13475901776356811</v>
      </c>
      <c r="D11" s="61">
        <f>+ABS('Income Statement'!D17/'Income Statement'!D7)</f>
        <v>0.14611621580600342</v>
      </c>
      <c r="E11" s="63">
        <f>AVERAGE(B11:D11)</f>
        <v>0.14409011077670419</v>
      </c>
      <c r="F11" s="63">
        <f t="shared" ref="F11:L11" si="10">AVERAGE(C11:E11)</f>
        <v>0.14165511478209192</v>
      </c>
      <c r="G11" s="63">
        <f t="shared" si="10"/>
        <v>0.14395381378826652</v>
      </c>
      <c r="H11" s="63">
        <f t="shared" si="10"/>
        <v>0.14323301311568756</v>
      </c>
      <c r="I11" s="63">
        <f t="shared" si="10"/>
        <v>0.14294731389534868</v>
      </c>
      <c r="J11" s="63">
        <f t="shared" si="10"/>
        <v>0.14337804693310094</v>
      </c>
      <c r="K11" s="63">
        <f t="shared" si="10"/>
        <v>0.14318612464804573</v>
      </c>
      <c r="L11" s="63">
        <f t="shared" si="10"/>
        <v>0.14317049515883176</v>
      </c>
    </row>
    <row r="12" spans="1:13" ht="18" customHeight="1">
      <c r="A12" s="48" t="s">
        <v>219</v>
      </c>
      <c r="B12" s="61">
        <f>+ABS('Income Statement'!B21/'Income Statement'!B7)</f>
        <v>4.8389835304771069E-2</v>
      </c>
      <c r="C12" s="61">
        <f>+ABS('Income Statement'!C21/'Income Statement'!C7)</f>
        <v>6.1170883137213285E-2</v>
      </c>
      <c r="D12" s="61">
        <f>+ABS('Income Statement'!D21/'Income Statement'!D7)</f>
        <v>5.0507291216681648E-2</v>
      </c>
      <c r="E12" s="63"/>
      <c r="F12" s="63"/>
      <c r="G12" s="63"/>
      <c r="H12" s="63"/>
      <c r="I12" s="63"/>
      <c r="J12" s="63"/>
      <c r="K12" s="63"/>
      <c r="L12" s="63"/>
    </row>
    <row r="13" spans="1:13" ht="19.25" customHeight="1">
      <c r="A13" s="47" t="s">
        <v>249</v>
      </c>
      <c r="B13" s="61">
        <f>+ABS('Income Statement'!B23/'Income Statement'!B7)</f>
        <v>7.1452826985115171E-3</v>
      </c>
      <c r="C13" s="61">
        <f>+ABS('Income Statement'!C23/'Income Statement'!C7)</f>
        <v>6.7790764005890231E-3</v>
      </c>
      <c r="D13" s="61">
        <f>+ABS('Income Statement'!D23/'Income Statement'!D7)</f>
        <v>3.7244165275361644E-3</v>
      </c>
      <c r="E13" s="63">
        <f>AVERAGE(B13:D13)</f>
        <v>5.8829252088789018E-3</v>
      </c>
      <c r="F13" s="63">
        <f t="shared" ref="F13:L13" si="11">AVERAGE(C13:E13)</f>
        <v>5.4621393790013628E-3</v>
      </c>
      <c r="G13" s="63">
        <f t="shared" si="11"/>
        <v>5.0231603718054766E-3</v>
      </c>
      <c r="H13" s="63">
        <f t="shared" si="11"/>
        <v>5.4560749865619138E-3</v>
      </c>
      <c r="I13" s="63">
        <f t="shared" si="11"/>
        <v>5.313791579122918E-3</v>
      </c>
      <c r="J13" s="63">
        <f t="shared" si="11"/>
        <v>5.2643423124967698E-3</v>
      </c>
      <c r="K13" s="63">
        <f t="shared" si="11"/>
        <v>5.3447362927272002E-3</v>
      </c>
      <c r="L13" s="63">
        <f t="shared" si="11"/>
        <v>5.3076233947822954E-3</v>
      </c>
    </row>
    <row r="14" spans="1:13" ht="19.25" customHeight="1">
      <c r="A14" s="47" t="s">
        <v>168</v>
      </c>
      <c r="B14" s="61">
        <f>+ABS('Income Statement'!B18/'Income Statement'!B7)</f>
        <v>8.766766653460864E-2</v>
      </c>
      <c r="C14" s="61">
        <f>+ABS('Income Statement'!C18/'Income Statement'!C7)</f>
        <v>6.1356611257777367E-2</v>
      </c>
      <c r="D14" s="61">
        <f>+ABS('Income Statement'!D18/'Income Statement'!D7)</f>
        <v>5.9193704685292642E-2</v>
      </c>
      <c r="E14" s="63">
        <f t="shared" ref="E14" si="12">AVERAGE(B14:D14)</f>
        <v>6.9405994159226214E-2</v>
      </c>
      <c r="F14" s="63">
        <f t="shared" ref="F14:F16" si="13">AVERAGE(C14:E14)</f>
        <v>6.3318770034098734E-2</v>
      </c>
      <c r="G14" s="63">
        <f t="shared" ref="G14:G16" si="14">AVERAGE(D14:F14)</f>
        <v>6.3972822959539197E-2</v>
      </c>
      <c r="H14" s="63">
        <f t="shared" ref="H14:H16" si="15">AVERAGE(E14:G14)</f>
        <v>6.5565862384288062E-2</v>
      </c>
      <c r="I14" s="63">
        <f t="shared" ref="I14:I16" si="16">AVERAGE(F14:H14)</f>
        <v>6.4285818459308655E-2</v>
      </c>
      <c r="J14" s="63">
        <f t="shared" ref="J14:J16" si="17">AVERAGE(G14:I14)</f>
        <v>6.4608167934378638E-2</v>
      </c>
      <c r="K14" s="63">
        <f t="shared" ref="K14:K16" si="18">AVERAGE(H14:J14)</f>
        <v>6.4819949592658452E-2</v>
      </c>
      <c r="L14" s="63">
        <f t="shared" ref="L14:L16" si="19">AVERAGE(I14:K14)</f>
        <v>6.4571311995448577E-2</v>
      </c>
    </row>
    <row r="15" spans="1:13" ht="19.25" customHeight="1">
      <c r="A15" s="47" t="s">
        <v>20</v>
      </c>
      <c r="B15" s="61">
        <f>+ABS(SUM('Income Statement'!B28:B30)/'Income Statement'!B27)</f>
        <v>0.20908440629470673</v>
      </c>
      <c r="C15" s="61">
        <f>+ABS(SUM('Income Statement'!C28:C30)/'Income Statement'!C27)</f>
        <v>0.29546458083643473</v>
      </c>
      <c r="D15" s="61">
        <f>+ABS(SUM('Income Statement'!D28:D30)/'Income Statement'!D27)</f>
        <v>0.20222995693469412</v>
      </c>
      <c r="E15" s="63">
        <f>AVERAGE(B15:D15)</f>
        <v>0.23559298135527854</v>
      </c>
      <c r="F15" s="63">
        <f t="shared" si="13"/>
        <v>0.24442917304213577</v>
      </c>
      <c r="G15" s="63">
        <f t="shared" si="14"/>
        <v>0.22741737044403612</v>
      </c>
      <c r="H15" s="63">
        <f t="shared" si="15"/>
        <v>0.23581317494715015</v>
      </c>
      <c r="I15" s="63">
        <f t="shared" si="16"/>
        <v>0.23588657281110734</v>
      </c>
      <c r="J15" s="63">
        <f t="shared" si="17"/>
        <v>0.23303903940076454</v>
      </c>
      <c r="K15" s="63">
        <f t="shared" si="18"/>
        <v>0.23491292905300734</v>
      </c>
      <c r="L15" s="63">
        <f t="shared" si="19"/>
        <v>0.23461284708829308</v>
      </c>
    </row>
    <row r="16" spans="1:13" ht="19.25" customHeight="1">
      <c r="A16" s="47" t="s">
        <v>266</v>
      </c>
      <c r="B16" s="61">
        <f>+ABS('Income Statement'!B49/'Income Statement'!B39)</f>
        <v>0.1408633841886269</v>
      </c>
      <c r="C16" s="61">
        <f>+ABS('Income Statement'!C49/'Income Statement'!C39)</f>
        <v>0.27299404711997988</v>
      </c>
      <c r="D16" s="61">
        <f>+ABS('Income Statement'!D49/'Income Statement'!D39)</f>
        <v>0.79754901960784319</v>
      </c>
      <c r="E16" s="63">
        <f>AVERAGE(B16:D16)</f>
        <v>0.40380215030548333</v>
      </c>
      <c r="F16" s="63">
        <f t="shared" si="13"/>
        <v>0.49144840567776882</v>
      </c>
      <c r="G16" s="63">
        <f t="shared" si="14"/>
        <v>0.5642665251970318</v>
      </c>
      <c r="H16" s="63">
        <f t="shared" si="15"/>
        <v>0.48650569372676133</v>
      </c>
      <c r="I16" s="63">
        <f t="shared" si="16"/>
        <v>0.51407354153385398</v>
      </c>
      <c r="J16" s="63">
        <f t="shared" si="17"/>
        <v>0.52161525348588234</v>
      </c>
      <c r="K16" s="63">
        <f t="shared" si="18"/>
        <v>0.50739816291549922</v>
      </c>
      <c r="L16" s="63">
        <f t="shared" si="19"/>
        <v>0.51436231931174514</v>
      </c>
    </row>
    <row r="17" spans="1:12" ht="19.25" customHeight="1">
      <c r="A17" s="47"/>
      <c r="B17" s="64"/>
      <c r="C17" s="64"/>
      <c r="D17" s="64"/>
      <c r="E17" s="64"/>
      <c r="F17" s="64"/>
      <c r="G17" s="64"/>
      <c r="H17" s="64"/>
      <c r="I17" s="64"/>
      <c r="J17" s="64"/>
      <c r="K17" s="64"/>
      <c r="L17" s="64"/>
    </row>
    <row r="18" spans="1:12" ht="19.25" customHeight="1">
      <c r="A18" s="50" t="s">
        <v>3</v>
      </c>
      <c r="B18" s="64"/>
      <c r="C18" s="65"/>
      <c r="D18" s="65"/>
      <c r="E18" s="64"/>
      <c r="F18" s="64"/>
      <c r="G18" s="64"/>
      <c r="H18" s="64"/>
      <c r="I18" s="64"/>
      <c r="J18" s="64"/>
      <c r="K18" s="64"/>
      <c r="L18" s="64"/>
    </row>
    <row r="19" spans="1:12" ht="19.25" customHeight="1">
      <c r="A19" s="51" t="s">
        <v>155</v>
      </c>
      <c r="B19" s="61">
        <f>+ABS('Income Statement'!B23/('Balance Sheet'!B47+'Balance Sheet'!B39))</f>
        <v>0.10760707436607714</v>
      </c>
      <c r="C19" s="61">
        <f>+ABS('Income Statement'!C23/('Balance Sheet'!C47+'Balance Sheet'!C39))</f>
        <v>0.13079088814947529</v>
      </c>
      <c r="D19" s="61">
        <f>+ABS('Income Statement'!D23/('Balance Sheet'!D47+'Balance Sheet'!D39))</f>
        <v>8.0050188205771644E-2</v>
      </c>
      <c r="E19" s="66">
        <f>AVERAGE(C19:D19)</f>
        <v>0.10542053817762347</v>
      </c>
      <c r="F19" s="66">
        <f t="shared" ref="F19:L19" si="20">AVERAGE(C19:E19)</f>
        <v>0.10542053817762347</v>
      </c>
      <c r="G19" s="66">
        <f t="shared" si="20"/>
        <v>9.6963754853672868E-2</v>
      </c>
      <c r="H19" s="66">
        <f t="shared" si="20"/>
        <v>0.10260161040297326</v>
      </c>
      <c r="I19" s="66">
        <f t="shared" si="20"/>
        <v>0.10166196781142321</v>
      </c>
      <c r="J19" s="66">
        <f t="shared" si="20"/>
        <v>0.10040911102268979</v>
      </c>
      <c r="K19" s="66">
        <f t="shared" si="20"/>
        <v>0.10155756307902875</v>
      </c>
      <c r="L19" s="66">
        <f t="shared" si="20"/>
        <v>0.10120954730438059</v>
      </c>
    </row>
    <row r="20" spans="1:12" ht="19.25" customHeight="1">
      <c r="A20" s="52" t="s">
        <v>152</v>
      </c>
      <c r="B20" s="67">
        <f>+ABS('Income Statement'!B7/AVERAGE(0,'Balance Sheet'!B11))</f>
        <v>10.002972188804755</v>
      </c>
      <c r="C20" s="67">
        <f>+ABS('Income Statement'!C7/AVERAGE('Balance Sheet'!C11,'Balance Sheet'!B11))</f>
        <v>4.7623831185241343</v>
      </c>
      <c r="D20" s="67">
        <f>+ABS('Income Statement'!D7/AVERAGE('Balance Sheet'!D11,'Balance Sheet'!C11))</f>
        <v>4.4848151638915068</v>
      </c>
      <c r="E20" s="68">
        <f>AVERAGE(B20:D20)</f>
        <v>6.4167234904067989</v>
      </c>
      <c r="F20" s="68">
        <f t="shared" ref="F20:L20" si="21">AVERAGE(C20:E20)</f>
        <v>5.2213072576074806</v>
      </c>
      <c r="G20" s="68">
        <f t="shared" si="21"/>
        <v>5.3742819706352627</v>
      </c>
      <c r="H20" s="68">
        <f t="shared" si="21"/>
        <v>5.6707709062165144</v>
      </c>
      <c r="I20" s="68">
        <f t="shared" si="21"/>
        <v>5.4221200448197528</v>
      </c>
      <c r="J20" s="68">
        <f t="shared" si="21"/>
        <v>5.4890576405571769</v>
      </c>
      <c r="K20" s="68">
        <f t="shared" si="21"/>
        <v>5.5273161971978153</v>
      </c>
      <c r="L20" s="68">
        <f t="shared" si="21"/>
        <v>5.4794979608582493</v>
      </c>
    </row>
    <row r="21" spans="1:12" ht="19.25" customHeight="1">
      <c r="A21" s="53" t="s">
        <v>153</v>
      </c>
      <c r="B21" s="67">
        <f>+ABS('Income Statement'!B14/'Balance Sheet'!B12)</f>
        <v>16.87912087912088</v>
      </c>
      <c r="C21" s="67">
        <f>+ABS('Income Statement'!C14/'Balance Sheet'!C12)</f>
        <v>18.031914893617021</v>
      </c>
      <c r="D21" s="67">
        <f>+ABS('Income Statement'!D14/'Balance Sheet'!D12)</f>
        <v>8.7329192546583858</v>
      </c>
      <c r="E21" s="68">
        <f>AVERAGE(B21:D21)</f>
        <v>14.547985009132097</v>
      </c>
      <c r="F21" s="68">
        <f t="shared" ref="F21:L22" si="22">AVERAGE(C21:E21)</f>
        <v>13.770939719135834</v>
      </c>
      <c r="G21" s="68">
        <f t="shared" si="22"/>
        <v>12.350614660975438</v>
      </c>
      <c r="H21" s="68">
        <f t="shared" si="22"/>
        <v>13.55651312974779</v>
      </c>
      <c r="I21" s="68">
        <f t="shared" si="22"/>
        <v>13.226022503286353</v>
      </c>
      <c r="J21" s="68">
        <f t="shared" si="22"/>
        <v>13.044383431336527</v>
      </c>
      <c r="K21" s="68">
        <f t="shared" si="22"/>
        <v>13.275639688123556</v>
      </c>
      <c r="L21" s="68">
        <f t="shared" si="22"/>
        <v>13.182015207582145</v>
      </c>
    </row>
    <row r="22" spans="1:12" ht="19.25" customHeight="1">
      <c r="A22" s="53" t="s">
        <v>154</v>
      </c>
      <c r="B22" s="67">
        <f>+ABS('Income Statement'!B14/'Balance Sheet'!B38)</f>
        <v>1.3173241852487136</v>
      </c>
      <c r="C22" s="67">
        <f>+ABS('Income Statement'!C14/'Balance Sheet'!C38)</f>
        <v>0.31061022539857064</v>
      </c>
      <c r="D22" s="67">
        <f>+ABS('Income Statement'!D14/'Balance Sheet'!D38)</f>
        <v>0.22395667410003187</v>
      </c>
      <c r="E22" s="68">
        <f>AVERAGE(C22:D22)</f>
        <v>0.26728344974930124</v>
      </c>
      <c r="F22" s="68">
        <f t="shared" si="22"/>
        <v>0.26728344974930124</v>
      </c>
      <c r="G22" s="68">
        <f t="shared" si="22"/>
        <v>0.25284119119954479</v>
      </c>
      <c r="H22" s="68">
        <f t="shared" si="22"/>
        <v>0.26246936356604911</v>
      </c>
      <c r="I22" s="68">
        <f t="shared" si="22"/>
        <v>0.26086466817163173</v>
      </c>
      <c r="J22" s="68">
        <f t="shared" si="22"/>
        <v>0.25872507431240854</v>
      </c>
      <c r="K22" s="68">
        <f t="shared" si="22"/>
        <v>0.26068636868336315</v>
      </c>
      <c r="L22" s="68">
        <f t="shared" si="22"/>
        <v>0.26009203705580114</v>
      </c>
    </row>
    <row r="23" spans="1:12" ht="19.25" customHeight="1">
      <c r="A23" s="53" t="s">
        <v>255</v>
      </c>
      <c r="B23" s="61">
        <f>+B43/B33</f>
        <v>0.11495254696881659</v>
      </c>
      <c r="C23" s="61">
        <f t="shared" ref="C23:D23" si="23">+C43/C33</f>
        <v>0.12728081886960391</v>
      </c>
      <c r="D23" s="61">
        <f t="shared" si="23"/>
        <v>0.12088186356073212</v>
      </c>
      <c r="E23" s="63">
        <f>AVERAGE(B23:D23)</f>
        <v>0.12103840979971753</v>
      </c>
      <c r="F23" s="63">
        <f t="shared" ref="F23:L23" si="24">AVERAGE(C23:E23)</f>
        <v>0.12306703074335118</v>
      </c>
      <c r="G23" s="63">
        <f t="shared" si="24"/>
        <v>0.12166243470126693</v>
      </c>
      <c r="H23" s="63">
        <f t="shared" si="24"/>
        <v>0.1219226250814452</v>
      </c>
      <c r="I23" s="63">
        <f t="shared" si="24"/>
        <v>0.12221736350868777</v>
      </c>
      <c r="J23" s="63">
        <f t="shared" si="24"/>
        <v>0.1219341410971333</v>
      </c>
      <c r="K23" s="63">
        <f t="shared" si="24"/>
        <v>0.12202470989575542</v>
      </c>
      <c r="L23" s="63">
        <f t="shared" si="24"/>
        <v>0.12205873816719216</v>
      </c>
    </row>
    <row r="24" spans="1:12" ht="19.25" customHeight="1">
      <c r="A24" s="53" t="s">
        <v>256</v>
      </c>
      <c r="B24" s="61">
        <f>+B60/B50</f>
        <v>0.1407035175879397</v>
      </c>
      <c r="C24" s="61">
        <f t="shared" ref="C24:D24" si="25">+C60/C50</f>
        <v>0.14562372782785693</v>
      </c>
      <c r="D24" s="61">
        <f t="shared" si="25"/>
        <v>0.12424430758799933</v>
      </c>
      <c r="E24" s="63">
        <f>AVERAGE(B24:D24)</f>
        <v>0.13685718433459865</v>
      </c>
      <c r="F24" s="63">
        <f t="shared" ref="F24:L24" si="26">AVERAGE(C24:E24)</f>
        <v>0.13557507325015164</v>
      </c>
      <c r="G24" s="63">
        <f t="shared" si="26"/>
        <v>0.13222552172424987</v>
      </c>
      <c r="H24" s="63">
        <f t="shared" si="26"/>
        <v>0.13488592643633338</v>
      </c>
      <c r="I24" s="63">
        <f t="shared" si="26"/>
        <v>0.13422884047024497</v>
      </c>
      <c r="J24" s="63">
        <f t="shared" si="26"/>
        <v>0.13378009621027606</v>
      </c>
      <c r="K24" s="63">
        <f t="shared" si="26"/>
        <v>0.13429828770561814</v>
      </c>
      <c r="L24" s="63">
        <f t="shared" si="26"/>
        <v>0.13410240812871307</v>
      </c>
    </row>
    <row r="25" spans="1:12" ht="19.25" customHeight="1">
      <c r="A25" s="53" t="s">
        <v>146</v>
      </c>
      <c r="B25" s="69">
        <f>+'Income Statement'!B7/Assumptions!B33</f>
        <v>6.8444702692233195</v>
      </c>
      <c r="C25" s="69">
        <f>+'Income Statement'!C7/Assumptions!C33</f>
        <v>6.7093012906097016</v>
      </c>
      <c r="D25" s="69">
        <f>+'Income Statement'!D7/Assumptions!D33</f>
        <v>7.1257071547420967</v>
      </c>
      <c r="E25" s="68">
        <f>AVERAGE(B25:D25)</f>
        <v>6.8931595715250396</v>
      </c>
      <c r="F25" s="68">
        <f t="shared" ref="F25:L25" si="27">AVERAGE(C25:E25)</f>
        <v>6.9093893389589454</v>
      </c>
      <c r="G25" s="68">
        <f t="shared" si="27"/>
        <v>6.9760853550753597</v>
      </c>
      <c r="H25" s="68">
        <f t="shared" si="27"/>
        <v>6.9262114218531146</v>
      </c>
      <c r="I25" s="68">
        <f t="shared" si="27"/>
        <v>6.9372287052958059</v>
      </c>
      <c r="J25" s="68">
        <f t="shared" si="27"/>
        <v>6.9465084940747595</v>
      </c>
      <c r="K25" s="68">
        <f t="shared" si="27"/>
        <v>6.9366495404078927</v>
      </c>
      <c r="L25" s="68">
        <f t="shared" si="27"/>
        <v>6.9401289132594854</v>
      </c>
    </row>
    <row r="26" spans="1:12" ht="19.25" customHeight="1">
      <c r="A26" s="53" t="s">
        <v>147</v>
      </c>
      <c r="B26" s="69">
        <f>+'Income Statement'!B7/Assumptions!B50</f>
        <v>6.2308031384995148</v>
      </c>
      <c r="C26" s="69">
        <f>+'Income Statement'!C7/Assumptions!C50</f>
        <v>4.3837743530095956</v>
      </c>
      <c r="D26" s="69">
        <f>+'Income Statement'!D7/Assumptions!D50</f>
        <v>4.8393129555342114</v>
      </c>
      <c r="E26" s="68">
        <f>AVERAGE(B26:D26)</f>
        <v>5.151296815681107</v>
      </c>
      <c r="F26" s="68">
        <f t="shared" ref="F26:L26" si="28">AVERAGE(C26:E26)</f>
        <v>4.7914613747416377</v>
      </c>
      <c r="G26" s="68">
        <f t="shared" si="28"/>
        <v>4.9273570486523184</v>
      </c>
      <c r="H26" s="68">
        <f t="shared" si="28"/>
        <v>4.9567050796916874</v>
      </c>
      <c r="I26" s="68">
        <f t="shared" si="28"/>
        <v>4.8918411676952145</v>
      </c>
      <c r="J26" s="68">
        <f t="shared" si="28"/>
        <v>4.9253010986797401</v>
      </c>
      <c r="K26" s="68">
        <f t="shared" si="28"/>
        <v>4.9246157820222143</v>
      </c>
      <c r="L26" s="68">
        <f t="shared" si="28"/>
        <v>4.913919349465723</v>
      </c>
    </row>
    <row r="27" spans="1:12" s="54" customFormat="1" ht="21">
      <c r="A27" s="53" t="s">
        <v>260</v>
      </c>
      <c r="B27" s="67">
        <f>ABS('Income Statement'!B14/'Balance Sheet'!B41)</f>
        <v>8.4261341817982338E-2</v>
      </c>
      <c r="C27" s="67">
        <f>ABS('Income Statement'!C14/'Balance Sheet'!C41)</f>
        <v>0.19023569023569023</v>
      </c>
      <c r="D27" s="67">
        <f>ABS('Income Statement'!D14/'Balance Sheet'!D41)</f>
        <v>0.1488933601609658</v>
      </c>
      <c r="E27" s="68">
        <f>AVERAGE(C27:D27)</f>
        <v>0.16956452519832801</v>
      </c>
      <c r="F27" s="68">
        <f>AVERAGE(C27:E27)</f>
        <v>0.16956452519832801</v>
      </c>
      <c r="G27" s="68">
        <f t="shared" ref="G27:L27" si="29">AVERAGE(D27:F27)</f>
        <v>0.16267413685254062</v>
      </c>
      <c r="H27" s="68">
        <f t="shared" si="29"/>
        <v>0.16726772908306553</v>
      </c>
      <c r="I27" s="68">
        <f t="shared" si="29"/>
        <v>0.16650213037797804</v>
      </c>
      <c r="J27" s="68">
        <f t="shared" si="29"/>
        <v>0.16548133210452806</v>
      </c>
      <c r="K27" s="68">
        <f t="shared" si="29"/>
        <v>0.16641706385519053</v>
      </c>
      <c r="L27" s="68">
        <f t="shared" si="29"/>
        <v>0.16613350877923219</v>
      </c>
    </row>
    <row r="28" spans="1:12" s="54" customFormat="1" ht="21">
      <c r="A28" s="53" t="s">
        <v>298</v>
      </c>
      <c r="B28" s="70">
        <f>+'Income Statement'!B39/'Balance Sheet'!B61</f>
        <v>0.22434413955387877</v>
      </c>
      <c r="C28" s="70">
        <f>+'Income Statement'!C39/'Balance Sheet'!C61</f>
        <v>0.19851203355414268</v>
      </c>
      <c r="D28" s="70">
        <f>+'Income Statement'!D39/'Balance Sheet'!D61</f>
        <v>0.23030029351998194</v>
      </c>
      <c r="E28" s="62">
        <f>+'Income Statement'!E39/'Balance Sheet'!E61</f>
        <v>0.22553444543374787</v>
      </c>
      <c r="F28" s="62">
        <f>+'Income Statement'!F39/'Balance Sheet'!F61</f>
        <v>0.22377389623641977</v>
      </c>
      <c r="G28" s="62">
        <f>+'Income Statement'!G39/'Balance Sheet'!G61</f>
        <v>0.22966985107429561</v>
      </c>
      <c r="H28" s="62">
        <f>+'Income Statement'!H39/'Balance Sheet'!H61</f>
        <v>0.22942173491438136</v>
      </c>
      <c r="I28" s="62">
        <f>+'Income Statement'!I39/'Balance Sheet'!I61</f>
        <v>0.23139233248864086</v>
      </c>
      <c r="J28" s="62">
        <f>+'Income Statement'!J39/'Balance Sheet'!J61</f>
        <v>0.23468432213745857</v>
      </c>
      <c r="K28" s="62">
        <f>+'Income Statement'!K39/'Balance Sheet'!K61</f>
        <v>0.23723218128702658</v>
      </c>
      <c r="L28" s="62">
        <f>+'Income Statement'!L39/'Balance Sheet'!L61</f>
        <v>0.24090985586539149</v>
      </c>
    </row>
    <row r="29" spans="1:12" s="54" customFormat="1" ht="21">
      <c r="A29" s="92" t="s">
        <v>9</v>
      </c>
      <c r="B29" s="93"/>
      <c r="C29" s="93"/>
      <c r="D29" s="93"/>
      <c r="E29" s="93"/>
      <c r="F29" s="93"/>
      <c r="G29" s="93"/>
      <c r="H29" s="93"/>
      <c r="I29" s="93"/>
      <c r="J29" s="93"/>
      <c r="K29" s="93"/>
      <c r="L29" s="93"/>
    </row>
    <row r="30" spans="1:12" ht="19.25" customHeight="1">
      <c r="A30" s="94"/>
      <c r="B30" s="94"/>
      <c r="C30" s="94"/>
      <c r="D30" s="94"/>
      <c r="E30" s="94"/>
      <c r="F30" s="94"/>
      <c r="G30" s="94"/>
      <c r="H30" s="94"/>
      <c r="I30" s="94"/>
      <c r="J30" s="94"/>
      <c r="K30" s="94"/>
      <c r="L30" s="94"/>
    </row>
    <row r="31" spans="1:12" s="54" customFormat="1" ht="21">
      <c r="A31" s="95" t="s">
        <v>178</v>
      </c>
      <c r="B31" s="96"/>
      <c r="C31" s="96"/>
      <c r="D31" s="96"/>
      <c r="E31" s="97"/>
      <c r="F31" s="97"/>
      <c r="G31" s="97"/>
      <c r="H31" s="97"/>
      <c r="I31" s="97"/>
      <c r="J31" s="97"/>
      <c r="K31" s="97"/>
      <c r="L31" s="97"/>
    </row>
    <row r="32" spans="1:12" s="54" customFormat="1" ht="21">
      <c r="A32" s="98" t="s">
        <v>69</v>
      </c>
      <c r="B32" s="104"/>
      <c r="C32" s="99"/>
      <c r="D32" s="99"/>
      <c r="E32" s="99"/>
      <c r="F32" s="99"/>
      <c r="G32" s="99"/>
      <c r="H32" s="99"/>
      <c r="I32" s="99"/>
      <c r="J32" s="99"/>
      <c r="K32" s="99"/>
      <c r="L32" s="99"/>
    </row>
    <row r="33" spans="1:12" s="54" customFormat="1" ht="21">
      <c r="A33" s="100" t="s">
        <v>70</v>
      </c>
      <c r="B33" s="114">
        <v>10326</v>
      </c>
      <c r="C33" s="100">
        <f>B38</f>
        <v>11235</v>
      </c>
      <c r="D33" s="100">
        <f>C38</f>
        <v>12020</v>
      </c>
      <c r="E33" s="115">
        <f>+D38</f>
        <v>12796</v>
      </c>
      <c r="F33" s="115">
        <f t="shared" ref="F33:L33" si="30">+E38</f>
        <v>14056.036292557421</v>
      </c>
      <c r="G33" s="115">
        <f t="shared" si="30"/>
        <v>15440.589488690624</v>
      </c>
      <c r="H33" s="115">
        <f t="shared" si="30"/>
        <v>17124.057677100158</v>
      </c>
      <c r="I33" s="115">
        <f t="shared" si="30"/>
        <v>18881.936765636707</v>
      </c>
      <c r="J33" s="115">
        <f t="shared" si="30"/>
        <v>20845.593803610896</v>
      </c>
      <c r="K33" s="115">
        <f t="shared" si="30"/>
        <v>23050.676455808461</v>
      </c>
      <c r="L33" s="115">
        <f t="shared" si="30"/>
        <v>25462.363463263395</v>
      </c>
    </row>
    <row r="34" spans="1:12" s="54" customFormat="1" ht="21">
      <c r="A34" s="100" t="s">
        <v>31</v>
      </c>
      <c r="B34" s="100">
        <f>1387+30</f>
        <v>1417</v>
      </c>
      <c r="C34" s="100">
        <f>1597+24</f>
        <v>1621</v>
      </c>
      <c r="D34" s="100">
        <v>1635</v>
      </c>
      <c r="E34" s="115">
        <f>('Income Statement'!E7-'Income Statement'!D7)/Assumptions!E25</f>
        <v>1260.0362925574202</v>
      </c>
      <c r="F34" s="115">
        <f>('Income Statement'!F7-'Income Statement'!E7)/Assumptions!F25</f>
        <v>1384.5531961332038</v>
      </c>
      <c r="G34" s="115">
        <f>('Income Statement'!G7-'Income Statement'!F7)/Assumptions!G25</f>
        <v>1683.4681884095339</v>
      </c>
      <c r="H34" s="115">
        <f>('Income Statement'!H7-'Income Statement'!G7)/Assumptions!H25</f>
        <v>1757.8790885365497</v>
      </c>
      <c r="I34" s="115">
        <f>('Income Statement'!I7-'Income Statement'!H7)/Assumptions!I25</f>
        <v>1963.6570379741902</v>
      </c>
      <c r="J34" s="115">
        <f>('Income Statement'!J7-'Income Statement'!I7)/Assumptions!J25</f>
        <v>2205.0826521975664</v>
      </c>
      <c r="K34" s="115">
        <f>('Income Statement'!K7-'Income Statement'!J7)/Assumptions!K25</f>
        <v>2411.6870074549342</v>
      </c>
      <c r="L34" s="115">
        <f>('Income Statement'!L7-'Income Statement'!K7)/Assumptions!L25</f>
        <v>2679.6692769048682</v>
      </c>
    </row>
    <row r="35" spans="1:12" s="54" customFormat="1" ht="21">
      <c r="A35" s="100" t="s">
        <v>179</v>
      </c>
      <c r="B35" s="100">
        <f>156</f>
        <v>156</v>
      </c>
      <c r="C35" s="100">
        <v>106</v>
      </c>
      <c r="D35" s="100">
        <v>63</v>
      </c>
      <c r="E35" s="115">
        <v>0</v>
      </c>
      <c r="F35" s="115">
        <v>0</v>
      </c>
      <c r="G35" s="115">
        <v>0</v>
      </c>
      <c r="H35" s="115">
        <v>0</v>
      </c>
      <c r="I35" s="115">
        <v>0</v>
      </c>
      <c r="J35" s="115">
        <v>0</v>
      </c>
      <c r="K35" s="115">
        <v>0</v>
      </c>
      <c r="L35" s="115">
        <v>0</v>
      </c>
    </row>
    <row r="36" spans="1:12" s="54" customFormat="1" ht="21">
      <c r="A36" s="100" t="s">
        <v>251</v>
      </c>
      <c r="B36" s="100">
        <v>-47</v>
      </c>
      <c r="C36" s="100"/>
      <c r="D36" s="100"/>
      <c r="E36" s="115">
        <v>0</v>
      </c>
      <c r="F36" s="115">
        <v>0</v>
      </c>
      <c r="G36" s="115">
        <v>0</v>
      </c>
      <c r="H36" s="115">
        <v>0</v>
      </c>
      <c r="I36" s="115">
        <v>0</v>
      </c>
      <c r="J36" s="115">
        <v>0</v>
      </c>
      <c r="K36" s="115">
        <v>0</v>
      </c>
      <c r="L36" s="115">
        <v>0</v>
      </c>
    </row>
    <row r="37" spans="1:12" s="54" customFormat="1" ht="21">
      <c r="A37" s="100" t="s">
        <v>30</v>
      </c>
      <c r="B37" s="100">
        <v>-617</v>
      </c>
      <c r="C37" s="100">
        <v>-942</v>
      </c>
      <c r="D37" s="100">
        <v>-922</v>
      </c>
      <c r="E37" s="115">
        <v>0</v>
      </c>
      <c r="F37" s="115">
        <v>0</v>
      </c>
      <c r="G37" s="115">
        <v>0</v>
      </c>
      <c r="H37" s="115">
        <v>0</v>
      </c>
      <c r="I37" s="115">
        <v>0</v>
      </c>
      <c r="J37" s="115">
        <v>0</v>
      </c>
      <c r="K37" s="115">
        <v>0</v>
      </c>
      <c r="L37" s="115">
        <v>0</v>
      </c>
    </row>
    <row r="38" spans="1:12" s="54" customFormat="1" ht="21">
      <c r="A38" s="101" t="s">
        <v>71</v>
      </c>
      <c r="B38" s="102">
        <f>SUM(B33:B37)</f>
        <v>11235</v>
      </c>
      <c r="C38" s="102">
        <f>SUM(C33:C37)</f>
        <v>12020</v>
      </c>
      <c r="D38" s="102">
        <f>SUM(D33:D37)</f>
        <v>12796</v>
      </c>
      <c r="E38" s="116">
        <f t="shared" ref="E38:L38" si="31">SUM(E33:E37)</f>
        <v>14056.036292557421</v>
      </c>
      <c r="F38" s="116">
        <f t="shared" si="31"/>
        <v>15440.589488690624</v>
      </c>
      <c r="G38" s="116">
        <f t="shared" si="31"/>
        <v>17124.057677100158</v>
      </c>
      <c r="H38" s="116">
        <f t="shared" si="31"/>
        <v>18881.936765636707</v>
      </c>
      <c r="I38" s="116">
        <f t="shared" si="31"/>
        <v>20845.593803610896</v>
      </c>
      <c r="J38" s="116">
        <f t="shared" si="31"/>
        <v>23050.676455808461</v>
      </c>
      <c r="K38" s="116">
        <f t="shared" si="31"/>
        <v>25462.363463263395</v>
      </c>
      <c r="L38" s="116">
        <f t="shared" si="31"/>
        <v>28142.032740168263</v>
      </c>
    </row>
    <row r="39" spans="1:12" s="54" customFormat="1" ht="21">
      <c r="A39" s="103" t="s">
        <v>254</v>
      </c>
      <c r="B39" s="109">
        <f>AVERAGE(B33,B38)</f>
        <v>10780.5</v>
      </c>
      <c r="C39" s="109">
        <f t="shared" ref="C39:L39" si="32">AVERAGE(C33,C38)</f>
        <v>11627.5</v>
      </c>
      <c r="D39" s="109">
        <f t="shared" si="32"/>
        <v>12408</v>
      </c>
      <c r="E39" s="109">
        <f t="shared" si="32"/>
        <v>13426.018146278711</v>
      </c>
      <c r="F39" s="109">
        <f t="shared" si="32"/>
        <v>14748.312890624024</v>
      </c>
      <c r="G39" s="109">
        <f t="shared" si="32"/>
        <v>16282.323582895391</v>
      </c>
      <c r="H39" s="109">
        <f t="shared" si="32"/>
        <v>18002.99722136843</v>
      </c>
      <c r="I39" s="109">
        <f t="shared" si="32"/>
        <v>19863.765284623802</v>
      </c>
      <c r="J39" s="109">
        <f t="shared" si="32"/>
        <v>21948.135129709677</v>
      </c>
      <c r="K39" s="109">
        <f t="shared" si="32"/>
        <v>24256.51995953593</v>
      </c>
      <c r="L39" s="109">
        <f t="shared" si="32"/>
        <v>26802.198101715829</v>
      </c>
    </row>
    <row r="40" spans="1:12" s="54" customFormat="1" ht="21">
      <c r="A40" s="95" t="s">
        <v>8</v>
      </c>
      <c r="B40" s="105"/>
      <c r="C40" s="105"/>
      <c r="D40" s="105"/>
      <c r="E40" s="105"/>
      <c r="F40" s="105"/>
      <c r="G40" s="105"/>
      <c r="H40" s="105"/>
      <c r="I40" s="105"/>
      <c r="J40" s="105"/>
      <c r="K40" s="105"/>
      <c r="L40" s="105"/>
    </row>
    <row r="41" spans="1:12" s="54" customFormat="1" ht="21">
      <c r="A41" s="100" t="s">
        <v>72</v>
      </c>
      <c r="B41" s="114">
        <v>5033</v>
      </c>
      <c r="C41" s="109">
        <f>B46</f>
        <v>5741</v>
      </c>
      <c r="D41" s="109">
        <f>C46</f>
        <v>6378</v>
      </c>
      <c r="E41" s="115">
        <f>+D46</f>
        <v>7184</v>
      </c>
      <c r="F41" s="115">
        <f t="shared" ref="F41:L41" si="33">+E46</f>
        <v>8732.8074917971862</v>
      </c>
      <c r="G41" s="115">
        <f t="shared" si="33"/>
        <v>10462.642142343011</v>
      </c>
      <c r="H41" s="115">
        <f t="shared" si="33"/>
        <v>12341.181852759903</v>
      </c>
      <c r="I41" s="115">
        <f t="shared" si="33"/>
        <v>14428.991916798028</v>
      </c>
      <c r="J41" s="115">
        <f t="shared" si="33"/>
        <v>16736.692446231904</v>
      </c>
      <c r="K41" s="115">
        <f t="shared" si="33"/>
        <v>19278.482022334923</v>
      </c>
      <c r="L41" s="115">
        <f t="shared" si="33"/>
        <v>22091.234129755871</v>
      </c>
    </row>
    <row r="42" spans="1:12" s="54" customFormat="1" ht="40">
      <c r="A42" s="106" t="s">
        <v>181</v>
      </c>
      <c r="B42" s="114">
        <v>93</v>
      </c>
      <c r="C42" s="114">
        <v>50</v>
      </c>
      <c r="D42" s="114">
        <v>35</v>
      </c>
      <c r="E42" s="115">
        <v>0</v>
      </c>
      <c r="F42" s="115">
        <v>0</v>
      </c>
      <c r="G42" s="115">
        <v>0</v>
      </c>
      <c r="H42" s="115">
        <v>0</v>
      </c>
      <c r="I42" s="115">
        <v>0</v>
      </c>
      <c r="J42" s="115">
        <v>0</v>
      </c>
      <c r="K42" s="115">
        <v>0</v>
      </c>
      <c r="L42" s="115">
        <v>0</v>
      </c>
    </row>
    <row r="43" spans="1:12" s="54" customFormat="1" ht="21">
      <c r="A43" s="106" t="s">
        <v>73</v>
      </c>
      <c r="B43" s="114">
        <f>1187</f>
        <v>1187</v>
      </c>
      <c r="C43" s="114">
        <f>1419+11</f>
        <v>1430</v>
      </c>
      <c r="D43" s="114">
        <v>1453</v>
      </c>
      <c r="E43" s="115">
        <f t="shared" ref="E43:L43" si="34">+E33*E23</f>
        <v>1548.8074917971855</v>
      </c>
      <c r="F43" s="115">
        <f t="shared" si="34"/>
        <v>1729.8346505458242</v>
      </c>
      <c r="G43" s="115">
        <f t="shared" si="34"/>
        <v>1878.5397104168917</v>
      </c>
      <c r="H43" s="115">
        <f t="shared" si="34"/>
        <v>2087.8100640381258</v>
      </c>
      <c r="I43" s="115">
        <f t="shared" si="34"/>
        <v>2307.7005294338774</v>
      </c>
      <c r="J43" s="115">
        <f t="shared" si="34"/>
        <v>2541.7895761030186</v>
      </c>
      <c r="K43" s="115">
        <f t="shared" si="34"/>
        <v>2812.7521074209471</v>
      </c>
      <c r="L43" s="115">
        <f t="shared" si="34"/>
        <v>3107.9039550803468</v>
      </c>
    </row>
    <row r="44" spans="1:12" s="54" customFormat="1" ht="21">
      <c r="A44" s="100" t="s">
        <v>251</v>
      </c>
      <c r="B44" s="114">
        <v>-9</v>
      </c>
      <c r="C44" s="114"/>
      <c r="D44" s="114"/>
      <c r="E44" s="115">
        <v>0</v>
      </c>
      <c r="F44" s="115">
        <v>0</v>
      </c>
      <c r="G44" s="115">
        <v>0</v>
      </c>
      <c r="H44" s="115">
        <v>0</v>
      </c>
      <c r="I44" s="115">
        <v>0</v>
      </c>
      <c r="J44" s="115">
        <v>0</v>
      </c>
      <c r="K44" s="115">
        <v>0</v>
      </c>
      <c r="L44" s="115">
        <v>0</v>
      </c>
    </row>
    <row r="45" spans="1:12" s="54" customFormat="1" ht="21">
      <c r="A45" s="107" t="s">
        <v>252</v>
      </c>
      <c r="B45" s="114">
        <v>-563</v>
      </c>
      <c r="C45" s="114">
        <v>-843</v>
      </c>
      <c r="D45" s="114">
        <v>-682</v>
      </c>
      <c r="E45" s="115">
        <v>0</v>
      </c>
      <c r="F45" s="115">
        <v>0</v>
      </c>
      <c r="G45" s="115">
        <v>0</v>
      </c>
      <c r="H45" s="115">
        <v>0</v>
      </c>
      <c r="I45" s="115">
        <v>0</v>
      </c>
      <c r="J45" s="115">
        <v>0</v>
      </c>
      <c r="K45" s="115">
        <v>0</v>
      </c>
      <c r="L45" s="115">
        <v>0</v>
      </c>
    </row>
    <row r="46" spans="1:12" s="54" customFormat="1" ht="21">
      <c r="A46" s="101" t="s">
        <v>74</v>
      </c>
      <c r="B46" s="108">
        <f>SUM(B41:B45)</f>
        <v>5741</v>
      </c>
      <c r="C46" s="108">
        <f>SUM(C41:C45)</f>
        <v>6378</v>
      </c>
      <c r="D46" s="108">
        <f>SUM(D41:D45)</f>
        <v>7184</v>
      </c>
      <c r="E46" s="122">
        <f t="shared" ref="E46:L46" si="35">SUM(E41:E45)</f>
        <v>8732.8074917971862</v>
      </c>
      <c r="F46" s="122">
        <f t="shared" si="35"/>
        <v>10462.642142343011</v>
      </c>
      <c r="G46" s="122">
        <f t="shared" si="35"/>
        <v>12341.181852759903</v>
      </c>
      <c r="H46" s="122">
        <f t="shared" si="35"/>
        <v>14428.991916798028</v>
      </c>
      <c r="I46" s="122">
        <f t="shared" si="35"/>
        <v>16736.692446231904</v>
      </c>
      <c r="J46" s="122">
        <f t="shared" si="35"/>
        <v>19278.482022334923</v>
      </c>
      <c r="K46" s="122">
        <f t="shared" si="35"/>
        <v>22091.234129755871</v>
      </c>
      <c r="L46" s="122">
        <f t="shared" si="35"/>
        <v>25199.138084836217</v>
      </c>
    </row>
    <row r="47" spans="1:12" s="54" customFormat="1" ht="21">
      <c r="A47" s="101" t="s">
        <v>32</v>
      </c>
      <c r="B47" s="108">
        <f>B38-B46</f>
        <v>5494</v>
      </c>
      <c r="C47" s="108">
        <f>C38-C46</f>
        <v>5642</v>
      </c>
      <c r="D47" s="108">
        <f>D38-D46</f>
        <v>5612</v>
      </c>
      <c r="E47" s="120">
        <f t="shared" ref="E47:L47" si="36">E38-E46</f>
        <v>5323.2288007602347</v>
      </c>
      <c r="F47" s="120">
        <f t="shared" si="36"/>
        <v>4977.9473463476133</v>
      </c>
      <c r="G47" s="120">
        <f t="shared" si="36"/>
        <v>4782.8758243402553</v>
      </c>
      <c r="H47" s="120">
        <f t="shared" si="36"/>
        <v>4452.9448488386788</v>
      </c>
      <c r="I47" s="120">
        <f t="shared" si="36"/>
        <v>4108.9013573789925</v>
      </c>
      <c r="J47" s="120">
        <f t="shared" si="36"/>
        <v>3772.1944334735381</v>
      </c>
      <c r="K47" s="120">
        <f t="shared" si="36"/>
        <v>3371.1293335075243</v>
      </c>
      <c r="L47" s="120">
        <f t="shared" si="36"/>
        <v>2942.8946553320457</v>
      </c>
    </row>
    <row r="48" spans="1:12" s="54" customFormat="1" ht="21">
      <c r="A48" s="103"/>
      <c r="B48" s="109"/>
      <c r="C48" s="109"/>
      <c r="D48" s="109"/>
      <c r="E48" s="109"/>
      <c r="F48" s="109"/>
      <c r="G48" s="109"/>
      <c r="H48" s="109"/>
      <c r="I48" s="109"/>
      <c r="J48" s="109"/>
      <c r="K48" s="109"/>
      <c r="L48" s="109"/>
    </row>
    <row r="49" spans="1:12" s="54" customFormat="1" ht="21">
      <c r="A49" s="110" t="s">
        <v>76</v>
      </c>
      <c r="B49" s="117"/>
      <c r="C49" s="117"/>
      <c r="D49" s="117"/>
      <c r="E49" s="117"/>
      <c r="F49" s="117"/>
      <c r="G49" s="117"/>
      <c r="H49" s="117"/>
      <c r="I49" s="117"/>
      <c r="J49" s="117"/>
      <c r="K49" s="117"/>
      <c r="L49" s="117"/>
    </row>
    <row r="50" spans="1:12" s="54" customFormat="1" ht="21">
      <c r="A50" s="111" t="s">
        <v>70</v>
      </c>
      <c r="B50" s="114">
        <v>11343</v>
      </c>
      <c r="C50" s="114">
        <f>B55</f>
        <v>17195</v>
      </c>
      <c r="D50" s="114">
        <f>C55</f>
        <v>17699</v>
      </c>
      <c r="E50" s="115">
        <f>+D55</f>
        <v>17571</v>
      </c>
      <c r="F50" s="115">
        <f t="shared" ref="F50:L50" si="37">+E55</f>
        <v>19257.105759635342</v>
      </c>
      <c r="G50" s="115">
        <f t="shared" si="37"/>
        <v>21253.660953216575</v>
      </c>
      <c r="H50" s="115">
        <f t="shared" si="37"/>
        <v>23637.092407227221</v>
      </c>
      <c r="I50" s="115">
        <f t="shared" si="37"/>
        <v>26093.450416329491</v>
      </c>
      <c r="J50" s="115">
        <f t="shared" si="37"/>
        <v>28878.15611387953</v>
      </c>
      <c r="K50" s="115">
        <f t="shared" si="37"/>
        <v>31988.143720065331</v>
      </c>
      <c r="L50" s="115">
        <f t="shared" si="37"/>
        <v>35385.16560204461</v>
      </c>
    </row>
    <row r="51" spans="1:12" s="54" customFormat="1" ht="21">
      <c r="A51" s="112" t="s">
        <v>253</v>
      </c>
      <c r="B51" s="100">
        <f>215+8902</f>
        <v>9117</v>
      </c>
      <c r="C51" s="100">
        <f>769+456</f>
        <v>1225</v>
      </c>
      <c r="D51" s="100">
        <f>246</f>
        <v>246</v>
      </c>
      <c r="E51" s="115">
        <f>+('Income Statement'!E7-'Income Statement'!D7)/Assumptions!E26</f>
        <v>1686.105759635341</v>
      </c>
      <c r="F51" s="115">
        <f>+('Income Statement'!F7-'Income Statement'!E7)/Assumptions!F26</f>
        <v>1996.5551935812332</v>
      </c>
      <c r="G51" s="115">
        <f>+('Income Statement'!G7-'Income Statement'!F7)/Assumptions!G26</f>
        <v>2383.4314540106448</v>
      </c>
      <c r="H51" s="115">
        <f>+('Income Statement'!H7-'Income Statement'!G7)/Assumptions!H26</f>
        <v>2456.3580091022723</v>
      </c>
      <c r="I51" s="115">
        <f>+('Income Statement'!I7-'Income Statement'!H7)/Assumptions!I26</f>
        <v>2784.7056975500368</v>
      </c>
      <c r="J51" s="115">
        <f>+('Income Statement'!J7-'Income Statement'!I7)/Assumptions!J26</f>
        <v>3109.9876061857995</v>
      </c>
      <c r="K51" s="115">
        <f>+('Income Statement'!K7-'Income Statement'!J7)/Assumptions!K26</f>
        <v>3397.0218819792781</v>
      </c>
      <c r="L51" s="115">
        <f>+('Income Statement'!L7-'Income Statement'!K7)/Assumptions!L26</f>
        <v>3784.6063201347906</v>
      </c>
    </row>
    <row r="52" spans="1:12" s="54" customFormat="1" ht="21">
      <c r="A52" s="112" t="s">
        <v>182</v>
      </c>
      <c r="B52" s="100"/>
      <c r="C52" s="100"/>
      <c r="D52" s="100"/>
      <c r="E52" s="115">
        <v>0</v>
      </c>
      <c r="F52" s="115">
        <v>0</v>
      </c>
      <c r="G52" s="115">
        <v>0</v>
      </c>
      <c r="H52" s="115">
        <v>0</v>
      </c>
      <c r="I52" s="115">
        <v>0</v>
      </c>
      <c r="J52" s="115">
        <v>0</v>
      </c>
      <c r="K52" s="115">
        <v>0</v>
      </c>
      <c r="L52" s="115">
        <v>0</v>
      </c>
    </row>
    <row r="53" spans="1:12" s="54" customFormat="1" ht="21">
      <c r="A53" s="112" t="s">
        <v>180</v>
      </c>
      <c r="B53" s="100">
        <v>176</v>
      </c>
      <c r="C53" s="100">
        <v>6</v>
      </c>
      <c r="D53" s="100">
        <v>73</v>
      </c>
      <c r="E53" s="115">
        <v>0</v>
      </c>
      <c r="F53" s="115">
        <v>0</v>
      </c>
      <c r="G53" s="115">
        <v>0</v>
      </c>
      <c r="H53" s="115">
        <v>0</v>
      </c>
      <c r="I53" s="115">
        <v>0</v>
      </c>
      <c r="J53" s="115">
        <v>0</v>
      </c>
      <c r="K53" s="115">
        <v>0</v>
      </c>
      <c r="L53" s="115">
        <v>0</v>
      </c>
    </row>
    <row r="54" spans="1:12" s="54" customFormat="1" ht="21">
      <c r="A54" s="107" t="s">
        <v>30</v>
      </c>
      <c r="B54" s="100">
        <v>-3441</v>
      </c>
      <c r="C54" s="100">
        <v>-727</v>
      </c>
      <c r="D54" s="100">
        <v>-447</v>
      </c>
      <c r="E54" s="121">
        <v>0</v>
      </c>
      <c r="F54" s="121">
        <v>0</v>
      </c>
      <c r="G54" s="121">
        <v>0</v>
      </c>
      <c r="H54" s="121">
        <v>0</v>
      </c>
      <c r="I54" s="121">
        <v>0</v>
      </c>
      <c r="J54" s="121">
        <v>0</v>
      </c>
      <c r="K54" s="121">
        <v>0</v>
      </c>
      <c r="L54" s="121">
        <v>0</v>
      </c>
    </row>
    <row r="55" spans="1:12" s="54" customFormat="1" ht="21">
      <c r="A55" s="101" t="s">
        <v>71</v>
      </c>
      <c r="B55" s="108">
        <f>SUM(B50:B54)</f>
        <v>17195</v>
      </c>
      <c r="C55" s="108">
        <f>SUM(C50:C54)</f>
        <v>17699</v>
      </c>
      <c r="D55" s="108">
        <f>SUM(D50:D54)</f>
        <v>17571</v>
      </c>
      <c r="E55" s="120">
        <f>SUM(E50:E54)</f>
        <v>19257.105759635342</v>
      </c>
      <c r="F55" s="120">
        <f t="shared" ref="F55:L55" si="38">SUM(F50:F54)</f>
        <v>21253.660953216575</v>
      </c>
      <c r="G55" s="120">
        <f t="shared" si="38"/>
        <v>23637.092407227221</v>
      </c>
      <c r="H55" s="120">
        <f t="shared" si="38"/>
        <v>26093.450416329491</v>
      </c>
      <c r="I55" s="120">
        <f t="shared" si="38"/>
        <v>28878.15611387953</v>
      </c>
      <c r="J55" s="120">
        <f t="shared" si="38"/>
        <v>31988.143720065331</v>
      </c>
      <c r="K55" s="120">
        <f t="shared" si="38"/>
        <v>35385.16560204461</v>
      </c>
      <c r="L55" s="120">
        <f t="shared" si="38"/>
        <v>39169.771922179403</v>
      </c>
    </row>
    <row r="56" spans="1:12" s="54" customFormat="1" ht="21">
      <c r="A56" s="103" t="s">
        <v>254</v>
      </c>
      <c r="B56" s="109">
        <f>AVERAGE(B50,B55)</f>
        <v>14269</v>
      </c>
      <c r="C56" s="109">
        <f t="shared" ref="C56" si="39">AVERAGE(C50,C55)</f>
        <v>17447</v>
      </c>
      <c r="D56" s="109">
        <f t="shared" ref="D56:L56" si="40">AVERAGE(D50,D55)</f>
        <v>17635</v>
      </c>
      <c r="E56" s="109">
        <f t="shared" si="40"/>
        <v>18414.052879817671</v>
      </c>
      <c r="F56" s="109">
        <f t="shared" si="40"/>
        <v>20255.383356425958</v>
      </c>
      <c r="G56" s="109">
        <f t="shared" si="40"/>
        <v>22445.376680221896</v>
      </c>
      <c r="H56" s="109">
        <f t="shared" si="40"/>
        <v>24865.271411778354</v>
      </c>
      <c r="I56" s="109">
        <f t="shared" si="40"/>
        <v>27485.803265104511</v>
      </c>
      <c r="J56" s="109">
        <f t="shared" si="40"/>
        <v>30433.14991697243</v>
      </c>
      <c r="K56" s="109">
        <f t="shared" si="40"/>
        <v>33686.65466105497</v>
      </c>
      <c r="L56" s="109">
        <f t="shared" si="40"/>
        <v>37277.46876211201</v>
      </c>
    </row>
    <row r="57" spans="1:12" s="54" customFormat="1" ht="21">
      <c r="A57" s="110" t="s">
        <v>9</v>
      </c>
      <c r="B57" s="117"/>
      <c r="C57" s="117"/>
      <c r="D57" s="117"/>
      <c r="E57" s="117"/>
      <c r="F57" s="117"/>
      <c r="G57" s="117"/>
      <c r="H57" s="117"/>
      <c r="I57" s="117"/>
      <c r="J57" s="117"/>
      <c r="K57" s="117"/>
      <c r="L57" s="117"/>
    </row>
    <row r="58" spans="1:12" s="54" customFormat="1" ht="21">
      <c r="A58" s="111" t="s">
        <v>75</v>
      </c>
      <c r="B58" s="114">
        <v>2809</v>
      </c>
      <c r="C58" s="100">
        <f>B63</f>
        <v>4001</v>
      </c>
      <c r="D58" s="100">
        <f>C63</f>
        <v>5798</v>
      </c>
      <c r="E58" s="115">
        <f>+D63</f>
        <v>7828</v>
      </c>
      <c r="F58" s="115">
        <f t="shared" ref="F58:L58" si="41">+E63</f>
        <v>10232.717585943232</v>
      </c>
      <c r="G58" s="115">
        <f t="shared" si="41"/>
        <v>12843.501109891709</v>
      </c>
      <c r="H58" s="115">
        <f t="shared" si="41"/>
        <v>15653.777517981089</v>
      </c>
      <c r="I58" s="115">
        <f t="shared" si="41"/>
        <v>18842.088625591154</v>
      </c>
      <c r="J58" s="115">
        <f t="shared" si="41"/>
        <v>22344.582218842894</v>
      </c>
      <c r="K58" s="115">
        <f t="shared" si="41"/>
        <v>26207.904722133069</v>
      </c>
      <c r="L58" s="115">
        <f t="shared" si="41"/>
        <v>30503.857650619066</v>
      </c>
    </row>
    <row r="59" spans="1:12" s="54" customFormat="1" ht="40">
      <c r="A59" s="106" t="s">
        <v>183</v>
      </c>
      <c r="B59" s="100"/>
      <c r="C59" s="100"/>
      <c r="D59" s="100"/>
      <c r="E59" s="115">
        <v>0</v>
      </c>
      <c r="F59" s="115">
        <v>0</v>
      </c>
      <c r="G59" s="115">
        <v>0</v>
      </c>
      <c r="H59" s="115">
        <v>0</v>
      </c>
      <c r="I59" s="115">
        <v>0</v>
      </c>
      <c r="J59" s="115">
        <v>0</v>
      </c>
      <c r="K59" s="115">
        <v>0</v>
      </c>
      <c r="L59" s="115">
        <v>0</v>
      </c>
    </row>
    <row r="60" spans="1:12" s="54" customFormat="1" ht="21">
      <c r="A60" s="106" t="s">
        <v>77</v>
      </c>
      <c r="B60" s="100">
        <v>1596</v>
      </c>
      <c r="C60" s="100">
        <v>2504</v>
      </c>
      <c r="D60" s="100">
        <f>2199</f>
        <v>2199</v>
      </c>
      <c r="E60" s="115">
        <f t="shared" ref="E60:L60" si="42">+E50*E24</f>
        <v>2404.7175859432327</v>
      </c>
      <c r="F60" s="115">
        <f t="shared" si="42"/>
        <v>2610.7835239484784</v>
      </c>
      <c r="G60" s="115">
        <f t="shared" si="42"/>
        <v>2810.2764080893794</v>
      </c>
      <c r="H60" s="115">
        <f t="shared" si="42"/>
        <v>3188.3111076100649</v>
      </c>
      <c r="I60" s="115">
        <f t="shared" si="42"/>
        <v>3502.4935932517383</v>
      </c>
      <c r="J60" s="115">
        <f t="shared" si="42"/>
        <v>3863.3225032901755</v>
      </c>
      <c r="K60" s="115">
        <f t="shared" si="42"/>
        <v>4295.9529284859955</v>
      </c>
      <c r="L60" s="115">
        <f t="shared" si="42"/>
        <v>4745.2359192674858</v>
      </c>
    </row>
    <row r="61" spans="1:12" s="54" customFormat="1" ht="21">
      <c r="A61" s="106" t="s">
        <v>184</v>
      </c>
      <c r="B61" s="100">
        <v>79</v>
      </c>
      <c r="C61" s="100">
        <v>3</v>
      </c>
      <c r="D61" s="100">
        <v>30</v>
      </c>
      <c r="E61" s="115">
        <v>0</v>
      </c>
      <c r="F61" s="115">
        <v>0</v>
      </c>
      <c r="G61" s="115">
        <v>0</v>
      </c>
      <c r="H61" s="115">
        <v>0</v>
      </c>
      <c r="I61" s="115">
        <v>0</v>
      </c>
      <c r="J61" s="115">
        <v>0</v>
      </c>
      <c r="K61" s="115">
        <v>0</v>
      </c>
      <c r="L61" s="115">
        <v>0</v>
      </c>
    </row>
    <row r="62" spans="1:12" s="54" customFormat="1" ht="21">
      <c r="A62" s="107" t="s">
        <v>30</v>
      </c>
      <c r="B62" s="100">
        <v>-483</v>
      </c>
      <c r="C62" s="100">
        <v>-710</v>
      </c>
      <c r="D62" s="100">
        <f>-199</f>
        <v>-199</v>
      </c>
      <c r="E62" s="115">
        <v>0</v>
      </c>
      <c r="F62" s="115">
        <v>0</v>
      </c>
      <c r="G62" s="115">
        <v>0</v>
      </c>
      <c r="H62" s="115">
        <v>0</v>
      </c>
      <c r="I62" s="115">
        <v>0</v>
      </c>
      <c r="J62" s="115">
        <v>0</v>
      </c>
      <c r="K62" s="115">
        <v>0</v>
      </c>
      <c r="L62" s="115">
        <v>0</v>
      </c>
    </row>
    <row r="63" spans="1:12" s="54" customFormat="1" ht="21">
      <c r="A63" s="101" t="s">
        <v>74</v>
      </c>
      <c r="B63" s="113">
        <f>SUM(B58:B62)</f>
        <v>4001</v>
      </c>
      <c r="C63" s="113">
        <f>SUM(C58:C62)</f>
        <v>5798</v>
      </c>
      <c r="D63" s="113">
        <f>SUM(D58:D62)</f>
        <v>7828</v>
      </c>
      <c r="E63" s="116">
        <f>SUM(E58:E62)</f>
        <v>10232.717585943232</v>
      </c>
      <c r="F63" s="116">
        <f t="shared" ref="F63:L63" si="43">SUM(F58:F62)</f>
        <v>12843.501109891709</v>
      </c>
      <c r="G63" s="116">
        <f t="shared" si="43"/>
        <v>15653.777517981089</v>
      </c>
      <c r="H63" s="116">
        <f t="shared" si="43"/>
        <v>18842.088625591154</v>
      </c>
      <c r="I63" s="116">
        <f t="shared" si="43"/>
        <v>22344.582218842894</v>
      </c>
      <c r="J63" s="116">
        <f t="shared" si="43"/>
        <v>26207.904722133069</v>
      </c>
      <c r="K63" s="116">
        <f t="shared" si="43"/>
        <v>30503.857650619066</v>
      </c>
      <c r="L63" s="116">
        <f t="shared" si="43"/>
        <v>35249.093569886551</v>
      </c>
    </row>
    <row r="64" spans="1:12" s="54" customFormat="1" ht="21">
      <c r="A64" s="101" t="s">
        <v>32</v>
      </c>
      <c r="B64" s="108">
        <f>B55-B63</f>
        <v>13194</v>
      </c>
      <c r="C64" s="108">
        <f>C55-C63</f>
        <v>11901</v>
      </c>
      <c r="D64" s="108">
        <f>D55-D63</f>
        <v>9743</v>
      </c>
      <c r="E64" s="118">
        <f>E55-E63</f>
        <v>9024.3881736921103</v>
      </c>
      <c r="F64" s="118">
        <f t="shared" ref="F64:L64" si="44">F55-F63</f>
        <v>8410.1598433248655</v>
      </c>
      <c r="G64" s="118">
        <f t="shared" si="44"/>
        <v>7983.3148892461322</v>
      </c>
      <c r="H64" s="118">
        <f t="shared" si="44"/>
        <v>7251.3617907383377</v>
      </c>
      <c r="I64" s="118">
        <f t="shared" si="44"/>
        <v>6533.5738950366358</v>
      </c>
      <c r="J64" s="118">
        <f t="shared" si="44"/>
        <v>5780.2389979322616</v>
      </c>
      <c r="K64" s="118">
        <f t="shared" si="44"/>
        <v>4881.3079514255442</v>
      </c>
      <c r="L64" s="118">
        <f t="shared" si="44"/>
        <v>3920.6783522928527</v>
      </c>
    </row>
    <row r="65" spans="2:12" ht="19.25" customHeight="1">
      <c r="B65" s="119"/>
      <c r="C65" s="119"/>
      <c r="D65" s="119"/>
      <c r="E65" s="119"/>
      <c r="F65" s="119"/>
      <c r="G65" s="119"/>
      <c r="H65" s="119"/>
      <c r="I65" s="119"/>
      <c r="J65" s="119"/>
      <c r="K65" s="119"/>
      <c r="L65" s="119"/>
    </row>
    <row r="66" spans="2:12" ht="19.25" customHeight="1">
      <c r="B66" s="119"/>
      <c r="C66" s="119"/>
      <c r="D66" s="119"/>
      <c r="E66" s="119"/>
      <c r="F66" s="119"/>
      <c r="G66" s="119"/>
      <c r="H66" s="119"/>
      <c r="I66" s="119"/>
      <c r="J66" s="119"/>
      <c r="K66" s="119"/>
      <c r="L66" s="11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09"/>
  <sheetViews>
    <sheetView showGridLines="0" zoomScale="125" zoomScaleNormal="125" workbookViewId="0">
      <selection activeCell="D3" sqref="D3"/>
    </sheetView>
  </sheetViews>
  <sheetFormatPr baseColWidth="10" defaultColWidth="8.83203125" defaultRowHeight="17"/>
  <cols>
    <col min="1" max="1" width="43.33203125" style="3" bestFit="1" customWidth="1"/>
    <col min="2" max="2" width="11.1640625" style="3" bestFit="1" customWidth="1"/>
    <col min="3" max="4" width="11.83203125" style="3" bestFit="1" customWidth="1"/>
    <col min="5" max="5" width="10.83203125" style="3" bestFit="1" customWidth="1"/>
    <col min="6" max="11" width="12.5" style="3" bestFit="1" customWidth="1"/>
    <col min="12" max="12" width="13.5" style="3" bestFit="1" customWidth="1"/>
    <col min="13" max="16384" width="8.83203125" style="3"/>
  </cols>
  <sheetData>
    <row r="1" spans="1:13" ht="35.5" customHeight="1">
      <c r="A1" s="2" t="str">
        <f>Dashboard!A1</f>
        <v>Company Name: HCL Technologies Ltd</v>
      </c>
      <c r="B1" s="36"/>
      <c r="C1" s="36"/>
      <c r="D1" s="36"/>
      <c r="E1" s="36"/>
      <c r="F1" s="36"/>
      <c r="G1" s="36"/>
      <c r="H1" s="36"/>
      <c r="I1" s="36"/>
      <c r="J1" s="36"/>
      <c r="K1" s="36"/>
      <c r="L1" s="36"/>
    </row>
    <row r="2" spans="1:13" ht="21.5" customHeight="1">
      <c r="A2" s="4" t="s">
        <v>156</v>
      </c>
      <c r="B2" s="5"/>
      <c r="C2" s="5"/>
      <c r="D2" s="5"/>
      <c r="E2" s="5"/>
      <c r="F2" s="5"/>
      <c r="G2" s="5"/>
      <c r="H2" s="5"/>
      <c r="I2" s="5"/>
      <c r="J2" s="5"/>
      <c r="K2" s="5"/>
      <c r="L2" s="5"/>
    </row>
    <row r="3" spans="1:13">
      <c r="A3" s="6"/>
      <c r="B3" s="6"/>
      <c r="C3" s="6"/>
      <c r="D3" s="6"/>
      <c r="E3" s="6"/>
      <c r="F3" s="6"/>
      <c r="G3" s="6"/>
      <c r="H3" s="6"/>
      <c r="I3" s="6"/>
      <c r="J3" s="6"/>
      <c r="K3" s="6"/>
      <c r="L3" s="6"/>
    </row>
    <row r="4" spans="1:13">
      <c r="A4" s="40"/>
      <c r="B4" s="37"/>
      <c r="C4" s="37"/>
      <c r="D4" s="37"/>
      <c r="E4" s="123"/>
      <c r="F4" s="37"/>
      <c r="G4" s="37"/>
      <c r="H4" s="37"/>
      <c r="I4" s="37"/>
      <c r="J4" s="37"/>
      <c r="K4" s="37"/>
      <c r="L4" s="37"/>
    </row>
    <row r="6" spans="1:13">
      <c r="A6" s="124" t="s">
        <v>36</v>
      </c>
      <c r="B6" s="125" t="str">
        <f>Assumptions!B5</f>
        <v>FY2020 A</v>
      </c>
      <c r="C6" s="125" t="str">
        <f>Assumptions!C5</f>
        <v>FY2021 A</v>
      </c>
      <c r="D6" s="125" t="str">
        <f>Assumptions!D5</f>
        <v>FY2022 A</v>
      </c>
      <c r="E6" s="125" t="str">
        <f>Assumptions!E5</f>
        <v>FY2023 E</v>
      </c>
      <c r="F6" s="125" t="str">
        <f>Assumptions!F5</f>
        <v>FY2024 E</v>
      </c>
      <c r="G6" s="125" t="str">
        <f>Assumptions!G5</f>
        <v>FY2025 E</v>
      </c>
      <c r="H6" s="125" t="str">
        <f>Assumptions!H5</f>
        <v>FY2026 E</v>
      </c>
      <c r="I6" s="125" t="str">
        <f>Assumptions!I5</f>
        <v>FY2027 E</v>
      </c>
      <c r="J6" s="125" t="str">
        <f>Assumptions!J5</f>
        <v>FY2028 E</v>
      </c>
      <c r="K6" s="125" t="str">
        <f>Assumptions!K5</f>
        <v>FY2029 E</v>
      </c>
      <c r="L6" s="125" t="str">
        <f>Assumptions!L5</f>
        <v>FY2030 E</v>
      </c>
      <c r="M6" s="126"/>
    </row>
    <row r="7" spans="1:13">
      <c r="A7" s="127" t="s">
        <v>126</v>
      </c>
      <c r="B7" s="128">
        <v>70676</v>
      </c>
      <c r="C7" s="128">
        <v>75379</v>
      </c>
      <c r="D7" s="128">
        <v>85651</v>
      </c>
      <c r="E7" s="129">
        <f>+D7*(1+Assumptions!E7)</f>
        <v>94336.631230511106</v>
      </c>
      <c r="F7" s="129">
        <f>+E7*(1+Assumptions!F7)</f>
        <v>103903.0483230954</v>
      </c>
      <c r="G7" s="129">
        <f>+F7*(1+Assumptions!G7)</f>
        <v>115647.06609799439</v>
      </c>
      <c r="H7" s="129">
        <f>+G7*(1+Assumptions!H7)</f>
        <v>127822.50831925299</v>
      </c>
      <c r="I7" s="129">
        <f>+H7*(1+Assumptions!I7)</f>
        <v>141444.84629044367</v>
      </c>
      <c r="J7" s="129">
        <f>+I7*(1+Assumptions!J7)</f>
        <v>156762.47166407097</v>
      </c>
      <c r="K7" s="129">
        <f>+J7*(1+Assumptions!K7)</f>
        <v>173491.49923594092</v>
      </c>
      <c r="L7" s="129">
        <f>+K7*(1+Assumptions!L7)</f>
        <v>192088.74946256154</v>
      </c>
      <c r="M7" s="130"/>
    </row>
    <row r="8" spans="1:13">
      <c r="A8" s="127" t="s">
        <v>40</v>
      </c>
      <c r="B8" s="128">
        <v>589</v>
      </c>
      <c r="C8" s="128">
        <v>927</v>
      </c>
      <c r="D8" s="128">
        <v>1067</v>
      </c>
      <c r="E8" s="129">
        <f>+D8*(1+Assumptions!E8)</f>
        <v>1453.7228403506938</v>
      </c>
      <c r="F8" s="129">
        <f>+E8*(1+Assumptions!F8)</f>
        <v>1980.6092751239823</v>
      </c>
      <c r="G8" s="129">
        <f>+F8*(1+Assumptions!G8)</f>
        <v>2558.8835479704344</v>
      </c>
      <c r="H8" s="129">
        <f>+G8*(1+Assumptions!H8)</f>
        <v>3426.2142877147926</v>
      </c>
      <c r="I8" s="129">
        <f>+H8*(1+Assumptions!I8)</f>
        <v>4560.6979792337133</v>
      </c>
      <c r="J8" s="129">
        <f>+I8*(1+Assumptions!J8)</f>
        <v>6023.2157387498019</v>
      </c>
      <c r="K8" s="129">
        <f>+J8*(1+Assumptions!K8)</f>
        <v>8012.374916737208</v>
      </c>
      <c r="L8" s="129">
        <f>+K8*(1+Assumptions!L8)</f>
        <v>10635.214939133566</v>
      </c>
      <c r="M8" s="130"/>
    </row>
    <row r="9" spans="1:13">
      <c r="A9" s="127" t="s">
        <v>127</v>
      </c>
      <c r="B9" s="129">
        <f t="shared" ref="B9:L9" si="0">SUM(B7:B8)</f>
        <v>71265</v>
      </c>
      <c r="C9" s="129">
        <f t="shared" si="0"/>
        <v>76306</v>
      </c>
      <c r="D9" s="129">
        <f t="shared" si="0"/>
        <v>86718</v>
      </c>
      <c r="E9" s="129">
        <f t="shared" si="0"/>
        <v>95790.354070861795</v>
      </c>
      <c r="F9" s="129">
        <f t="shared" si="0"/>
        <v>105883.65759821938</v>
      </c>
      <c r="G9" s="129">
        <f t="shared" si="0"/>
        <v>118205.94964596482</v>
      </c>
      <c r="H9" s="129">
        <f t="shared" si="0"/>
        <v>131248.72260696779</v>
      </c>
      <c r="I9" s="129">
        <f t="shared" si="0"/>
        <v>146005.5442696774</v>
      </c>
      <c r="J9" s="129">
        <f t="shared" si="0"/>
        <v>162785.68740282077</v>
      </c>
      <c r="K9" s="129">
        <f t="shared" si="0"/>
        <v>181503.87415267812</v>
      </c>
      <c r="L9" s="129">
        <f t="shared" si="0"/>
        <v>202723.96440169509</v>
      </c>
      <c r="M9" s="130"/>
    </row>
    <row r="10" spans="1:13">
      <c r="A10" s="127" t="s">
        <v>128</v>
      </c>
      <c r="B10" s="128">
        <v>0</v>
      </c>
      <c r="C10" s="128">
        <v>0</v>
      </c>
      <c r="D10" s="128">
        <v>0</v>
      </c>
      <c r="E10" s="128">
        <v>0</v>
      </c>
      <c r="F10" s="128">
        <v>0</v>
      </c>
      <c r="G10" s="128">
        <v>0</v>
      </c>
      <c r="H10" s="128">
        <v>0</v>
      </c>
      <c r="I10" s="128">
        <v>0</v>
      </c>
      <c r="J10" s="128">
        <v>0</v>
      </c>
      <c r="K10" s="128">
        <v>0</v>
      </c>
      <c r="L10" s="128">
        <v>0</v>
      </c>
      <c r="M10" s="130"/>
    </row>
    <row r="11" spans="1:13">
      <c r="A11" s="127" t="s">
        <v>129</v>
      </c>
      <c r="B11" s="128">
        <v>-1536</v>
      </c>
      <c r="C11" s="128">
        <v>-1698</v>
      </c>
      <c r="D11" s="128">
        <v>-1473</v>
      </c>
      <c r="E11" s="128">
        <f>+E14</f>
        <v>-1434.4175100478312</v>
      </c>
      <c r="F11" s="128">
        <f t="shared" ref="F11:L11" si="1">+F14</f>
        <v>-1462.6819528717904</v>
      </c>
      <c r="G11" s="128">
        <f t="shared" si="1"/>
        <v>-1490.1469892996859</v>
      </c>
      <c r="H11" s="128">
        <f t="shared" si="1"/>
        <v>-1519.3008461410013</v>
      </c>
      <c r="I11" s="128">
        <f t="shared" si="1"/>
        <v>-1548.6973257175443</v>
      </c>
      <c r="J11" s="128">
        <f t="shared" si="1"/>
        <v>-1578.4789207732078</v>
      </c>
      <c r="K11" s="128">
        <f t="shared" si="1"/>
        <v>-1609.0715258508935</v>
      </c>
      <c r="L11" s="128">
        <f t="shared" si="1"/>
        <v>-1640.1587070274245</v>
      </c>
      <c r="M11" s="130"/>
    </row>
    <row r="12" spans="1:13">
      <c r="A12" s="127" t="s">
        <v>167</v>
      </c>
      <c r="B12" s="128">
        <v>0</v>
      </c>
      <c r="C12" s="128">
        <v>0</v>
      </c>
      <c r="D12" s="128">
        <v>0</v>
      </c>
      <c r="E12" s="128">
        <v>0</v>
      </c>
      <c r="F12" s="128">
        <v>0</v>
      </c>
      <c r="G12" s="128">
        <v>0</v>
      </c>
      <c r="H12" s="128">
        <v>0</v>
      </c>
      <c r="I12" s="128">
        <v>0</v>
      </c>
      <c r="J12" s="128">
        <v>0</v>
      </c>
      <c r="K12" s="128">
        <v>0</v>
      </c>
      <c r="L12" s="128">
        <v>0</v>
      </c>
      <c r="M12" s="130"/>
    </row>
    <row r="13" spans="1:13">
      <c r="A13" s="127" t="s">
        <v>130</v>
      </c>
      <c r="B13" s="128">
        <v>0</v>
      </c>
      <c r="C13" s="128">
        <f>--3</f>
        <v>3</v>
      </c>
      <c r="D13" s="128">
        <f>--67</f>
        <v>67</v>
      </c>
      <c r="E13" s="128">
        <v>0</v>
      </c>
      <c r="F13" s="128">
        <v>0</v>
      </c>
      <c r="G13" s="128">
        <v>0</v>
      </c>
      <c r="H13" s="128">
        <v>0</v>
      </c>
      <c r="I13" s="128">
        <v>0</v>
      </c>
      <c r="J13" s="128">
        <v>0</v>
      </c>
      <c r="K13" s="128">
        <v>0</v>
      </c>
      <c r="L13" s="128">
        <v>0</v>
      </c>
      <c r="M13" s="130"/>
    </row>
    <row r="14" spans="1:13">
      <c r="A14" s="132" t="s">
        <v>131</v>
      </c>
      <c r="B14" s="133">
        <f>SUM(B10:B13)</f>
        <v>-1536</v>
      </c>
      <c r="C14" s="133">
        <f>SUM(C10:C13)</f>
        <v>-1695</v>
      </c>
      <c r="D14" s="133">
        <f>SUM(D10:D13)</f>
        <v>-1406</v>
      </c>
      <c r="E14" s="133">
        <f>+D14*(1+Assumptions!E9)</f>
        <v>-1434.4175100478312</v>
      </c>
      <c r="F14" s="133">
        <f>+E14*(1+Assumptions!F9)</f>
        <v>-1462.6819528717904</v>
      </c>
      <c r="G14" s="133">
        <f>+F14*(1+Assumptions!G9)</f>
        <v>-1490.1469892996859</v>
      </c>
      <c r="H14" s="133">
        <f>+G14*(1+Assumptions!H9)</f>
        <v>-1519.3008461410013</v>
      </c>
      <c r="I14" s="133">
        <f>+H14*(1+Assumptions!I9)</f>
        <v>-1548.6973257175443</v>
      </c>
      <c r="J14" s="133">
        <f>+I14*(1+Assumptions!J9)</f>
        <v>-1578.4789207732078</v>
      </c>
      <c r="K14" s="133">
        <f>+J14*(1+Assumptions!K9)</f>
        <v>-1609.0715258508935</v>
      </c>
      <c r="L14" s="133">
        <f>+K14*(1+Assumptions!L9)</f>
        <v>-1640.1587070274245</v>
      </c>
      <c r="M14" s="130"/>
    </row>
    <row r="15" spans="1:13">
      <c r="A15" s="132" t="s">
        <v>111</v>
      </c>
      <c r="B15" s="131">
        <f>+B7+B14</f>
        <v>69140</v>
      </c>
      <c r="C15" s="131">
        <f t="shared" ref="C15:L15" si="2">+C7+C14</f>
        <v>73684</v>
      </c>
      <c r="D15" s="131">
        <f t="shared" si="2"/>
        <v>84245</v>
      </c>
      <c r="E15" s="131">
        <f t="shared" si="2"/>
        <v>92902.213720463275</v>
      </c>
      <c r="F15" s="131">
        <f t="shared" si="2"/>
        <v>102440.36637022361</v>
      </c>
      <c r="G15" s="131">
        <f t="shared" si="2"/>
        <v>114156.91910869471</v>
      </c>
      <c r="H15" s="131">
        <f t="shared" si="2"/>
        <v>126303.20747311198</v>
      </c>
      <c r="I15" s="131">
        <f t="shared" si="2"/>
        <v>139896.14896472613</v>
      </c>
      <c r="J15" s="131">
        <f t="shared" si="2"/>
        <v>155183.99274329777</v>
      </c>
      <c r="K15" s="131">
        <f t="shared" si="2"/>
        <v>171882.42771009004</v>
      </c>
      <c r="L15" s="131">
        <f t="shared" si="2"/>
        <v>190448.59075553413</v>
      </c>
      <c r="M15" s="130"/>
    </row>
    <row r="16" spans="1:13">
      <c r="A16" s="127" t="s">
        <v>132</v>
      </c>
      <c r="B16" s="134">
        <v>-34928</v>
      </c>
      <c r="C16" s="134">
        <v>-38853</v>
      </c>
      <c r="D16" s="134">
        <v>-46130</v>
      </c>
      <c r="E16" s="157">
        <f>-E7*Assumptions!E10</f>
        <v>-48684.46874782419</v>
      </c>
      <c r="F16" s="157">
        <f>-F7*Assumptions!F10</f>
        <v>-54378.978242663521</v>
      </c>
      <c r="G16" s="157">
        <f>-G7*Assumptions!G10</f>
        <v>-60830.950515665281</v>
      </c>
      <c r="H16" s="157">
        <f>-H7*Assumptions!H10</f>
        <v>-66699.47000728421</v>
      </c>
      <c r="I16" s="157">
        <f>-I7*Assumptions!I10</f>
        <v>-74078.485095584445</v>
      </c>
      <c r="J16" s="157">
        <f>-J7*Assumptions!J10</f>
        <v>-82119.776146315809</v>
      </c>
      <c r="K16" s="157">
        <f>-K7*Assumptions!K10</f>
        <v>-90758.528402053984</v>
      </c>
      <c r="L16" s="157">
        <f>-L7*Assumptions!L10</f>
        <v>-100571.58520857124</v>
      </c>
      <c r="M16" s="130"/>
    </row>
    <row r="17" spans="1:15">
      <c r="A17" s="127" t="s">
        <v>218</v>
      </c>
      <c r="B17" s="134">
        <v>-10700</v>
      </c>
      <c r="C17" s="134">
        <v>-10158</v>
      </c>
      <c r="D17" s="134">
        <v>-12515</v>
      </c>
      <c r="E17" s="157">
        <f>-E7*Assumptions!E11</f>
        <v>-13592.975644305438</v>
      </c>
      <c r="F17" s="157">
        <f>-F7*Assumptions!F11</f>
        <v>-14718.398236417323</v>
      </c>
      <c r="G17" s="157">
        <f>-G7*Assumptions!G11</f>
        <v>-16647.836218230033</v>
      </c>
      <c r="H17" s="157">
        <f>-H7*Assumptions!H11</f>
        <v>-18308.403010571645</v>
      </c>
      <c r="I17" s="157">
        <f>-I7*Assumptions!I11</f>
        <v>-20219.160841559398</v>
      </c>
      <c r="J17" s="157">
        <f>-J7*Assumptions!J11</f>
        <v>-22476.297019600072</v>
      </c>
      <c r="K17" s="157">
        <f>-K7*Assumptions!K11</f>
        <v>-24841.575434973765</v>
      </c>
      <c r="L17" s="157">
        <f>-L7*Assumptions!L11</f>
        <v>-27501.441374995713</v>
      </c>
      <c r="M17" s="130"/>
    </row>
    <row r="18" spans="1:15">
      <c r="A18" s="127" t="s">
        <v>222</v>
      </c>
      <c r="B18" s="134">
        <v>-6196</v>
      </c>
      <c r="C18" s="134">
        <v>-4625</v>
      </c>
      <c r="D18" s="134">
        <v>-5070</v>
      </c>
      <c r="E18" s="158">
        <f>-E7*Assumptions!E14</f>
        <v>-6547.5276761859313</v>
      </c>
      <c r="F18" s="158">
        <f>-F7*Assumptions!F14</f>
        <v>-6579.0132226119258</v>
      </c>
      <c r="G18" s="158">
        <f>-G7*Assumptions!G14</f>
        <v>-7398.2692852771224</v>
      </c>
      <c r="H18" s="158">
        <f>-H7*Assumptions!H14</f>
        <v>-8380.7929900746567</v>
      </c>
      <c r="I18" s="158">
        <f>-I7*Assumptions!I14</f>
        <v>-9092.89771063228</v>
      </c>
      <c r="J18" s="158">
        <f>-J7*Assumptions!J14</f>
        <v>-10128.13609508057</v>
      </c>
      <c r="K18" s="158">
        <f>-K7*Assumptions!K14</f>
        <v>-11245.710235228433</v>
      </c>
      <c r="L18" s="158">
        <f>-L7*Assumptions!L14</f>
        <v>-12403.422572362617</v>
      </c>
      <c r="M18" s="130"/>
    </row>
    <row r="19" spans="1:15">
      <c r="A19" s="132" t="s">
        <v>133</v>
      </c>
      <c r="B19" s="133">
        <f>SUM(B16:B18)</f>
        <v>-51824</v>
      </c>
      <c r="C19" s="133">
        <f>SUM(C16:C18)</f>
        <v>-53636</v>
      </c>
      <c r="D19" s="133">
        <f>SUM(D16:D18)</f>
        <v>-63715</v>
      </c>
      <c r="E19" s="133">
        <f t="shared" ref="E19:L19" si="3">SUM(E16:E18)</f>
        <v>-68824.972068315561</v>
      </c>
      <c r="F19" s="133">
        <f t="shared" si="3"/>
        <v>-75676.38970169278</v>
      </c>
      <c r="G19" s="133">
        <f t="shared" si="3"/>
        <v>-84877.056019172436</v>
      </c>
      <c r="H19" s="133">
        <f t="shared" si="3"/>
        <v>-93388.666007930515</v>
      </c>
      <c r="I19" s="133">
        <f t="shared" si="3"/>
        <v>-103390.54364777612</v>
      </c>
      <c r="J19" s="133">
        <f t="shared" si="3"/>
        <v>-114724.20926099645</v>
      </c>
      <c r="K19" s="133">
        <f t="shared" si="3"/>
        <v>-126845.81407225618</v>
      </c>
      <c r="L19" s="133">
        <f t="shared" si="3"/>
        <v>-140476.44915592959</v>
      </c>
      <c r="M19" s="130"/>
    </row>
    <row r="20" spans="1:15">
      <c r="A20" s="132" t="s">
        <v>1</v>
      </c>
      <c r="B20" s="131">
        <f>B15+B19+B8</f>
        <v>17905</v>
      </c>
      <c r="C20" s="131">
        <f t="shared" ref="C20:L20" si="4">C15+C19+C8</f>
        <v>20975</v>
      </c>
      <c r="D20" s="131">
        <f t="shared" si="4"/>
        <v>21597</v>
      </c>
      <c r="E20" s="131">
        <f t="shared" si="4"/>
        <v>25530.964492498406</v>
      </c>
      <c r="F20" s="131">
        <f t="shared" si="4"/>
        <v>28744.585943654809</v>
      </c>
      <c r="G20" s="131">
        <f t="shared" si="4"/>
        <v>31838.74663749271</v>
      </c>
      <c r="H20" s="131">
        <f t="shared" si="4"/>
        <v>36340.755752896257</v>
      </c>
      <c r="I20" s="131">
        <f t="shared" si="4"/>
        <v>41066.303296183723</v>
      </c>
      <c r="J20" s="131">
        <f t="shared" si="4"/>
        <v>46482.999221051126</v>
      </c>
      <c r="K20" s="131">
        <f t="shared" si="4"/>
        <v>53048.988554571064</v>
      </c>
      <c r="L20" s="131">
        <f t="shared" si="4"/>
        <v>60607.35653873811</v>
      </c>
      <c r="M20" s="130"/>
    </row>
    <row r="21" spans="1:15">
      <c r="A21" s="127" t="s">
        <v>219</v>
      </c>
      <c r="B21" s="134">
        <v>-3420</v>
      </c>
      <c r="C21" s="134">
        <v>-4611</v>
      </c>
      <c r="D21" s="134">
        <v>-4326</v>
      </c>
      <c r="E21" s="136">
        <f>-Assumptions!E43-Assumptions!E60</f>
        <v>-3953.5250777404181</v>
      </c>
      <c r="F21" s="136">
        <f>-Assumptions!F43-Assumptions!F60</f>
        <v>-4340.6181744943024</v>
      </c>
      <c r="G21" s="136">
        <f>-Assumptions!G43-Assumptions!G60</f>
        <v>-4688.8161185062709</v>
      </c>
      <c r="H21" s="136">
        <f>-Assumptions!H43-Assumptions!H60</f>
        <v>-5276.1211716481903</v>
      </c>
      <c r="I21" s="136">
        <f>-Assumptions!I43-Assumptions!I60</f>
        <v>-5810.1941226856161</v>
      </c>
      <c r="J21" s="136">
        <f>-Assumptions!J43-Assumptions!J60</f>
        <v>-6405.1120793931941</v>
      </c>
      <c r="K21" s="136">
        <f>-Assumptions!K43-Assumptions!K60</f>
        <v>-7108.7050359069426</v>
      </c>
      <c r="L21" s="136">
        <f>-Assumptions!L43-Assumptions!L60</f>
        <v>-7853.139874347833</v>
      </c>
      <c r="M21" s="130"/>
    </row>
    <row r="22" spans="1:15">
      <c r="A22" s="132" t="s">
        <v>13</v>
      </c>
      <c r="B22" s="131">
        <f>B20+B21</f>
        <v>14485</v>
      </c>
      <c r="C22" s="131">
        <f>C20+C21</f>
        <v>16364</v>
      </c>
      <c r="D22" s="131">
        <f>D20+D21</f>
        <v>17271</v>
      </c>
      <c r="E22" s="131">
        <f t="shared" ref="E22:L22" si="5">E20+E21</f>
        <v>21577.439414757988</v>
      </c>
      <c r="F22" s="131">
        <f t="shared" si="5"/>
        <v>24403.967769160507</v>
      </c>
      <c r="G22" s="131">
        <f t="shared" si="5"/>
        <v>27149.930518986439</v>
      </c>
      <c r="H22" s="131">
        <f t="shared" si="5"/>
        <v>31064.634581248065</v>
      </c>
      <c r="I22" s="131">
        <f t="shared" si="5"/>
        <v>35256.109173498109</v>
      </c>
      <c r="J22" s="131">
        <f t="shared" si="5"/>
        <v>40077.887141657935</v>
      </c>
      <c r="K22" s="131">
        <f t="shared" si="5"/>
        <v>45940.283518664124</v>
      </c>
      <c r="L22" s="131">
        <f t="shared" si="5"/>
        <v>52754.216664390275</v>
      </c>
      <c r="M22" s="130"/>
    </row>
    <row r="23" spans="1:15">
      <c r="A23" s="127" t="s">
        <v>134</v>
      </c>
      <c r="B23" s="128">
        <v>-505</v>
      </c>
      <c r="C23" s="128">
        <v>-511</v>
      </c>
      <c r="D23" s="128">
        <v>-319</v>
      </c>
      <c r="E23" s="159">
        <f>-('Balance Sheet'!E47+'Balance Sheet'!E39)*Assumptions!E19</f>
        <v>-440.77908320137038</v>
      </c>
      <c r="F23" s="159">
        <f>-('Balance Sheet'!F47+'Balance Sheet'!F39)*Assumptions!F19</f>
        <v>-462.49123369308836</v>
      </c>
      <c r="G23" s="159">
        <f>-('Balance Sheet'!G47+'Balance Sheet'!G39)*Assumptions!G19</f>
        <v>-446.35934931399891</v>
      </c>
      <c r="H23" s="159">
        <f>-('Balance Sheet'!H47+'Balance Sheet'!H39)*Assumptions!H19</f>
        <v>-495.61000146422498</v>
      </c>
      <c r="I23" s="159">
        <f>-('Balance Sheet'!I47+'Balance Sheet'!I39)*Assumptions!I19</f>
        <v>-515.3095267804207</v>
      </c>
      <c r="J23" s="159">
        <f>-('Balance Sheet'!J47+'Balance Sheet'!J39)*Assumptions!J19</f>
        <v>-534.09566120459851</v>
      </c>
      <c r="K23" s="159">
        <f>-('Balance Sheet'!K47+'Balance Sheet'!K39)*Assumptions!K19</f>
        <v>-566.89989851586267</v>
      </c>
      <c r="L23" s="159">
        <f>-('Balance Sheet'!L47+'Balance Sheet'!L39)*Assumptions!L19</f>
        <v>-592.89136850562898</v>
      </c>
      <c r="M23" s="130"/>
    </row>
    <row r="24" spans="1:15">
      <c r="A24" s="132" t="s">
        <v>135</v>
      </c>
      <c r="B24" s="131">
        <f>B22+B23</f>
        <v>13980</v>
      </c>
      <c r="C24" s="131">
        <f>C22+C23</f>
        <v>15853</v>
      </c>
      <c r="D24" s="131">
        <f>D22+D23</f>
        <v>16952</v>
      </c>
      <c r="E24" s="131">
        <f t="shared" ref="E24:L24" si="6">E22+E23</f>
        <v>21136.660331556617</v>
      </c>
      <c r="F24" s="131">
        <f t="shared" si="6"/>
        <v>23941.476535467416</v>
      </c>
      <c r="G24" s="131">
        <f t="shared" si="6"/>
        <v>26703.571169672439</v>
      </c>
      <c r="H24" s="131">
        <f t="shared" si="6"/>
        <v>30569.02457978384</v>
      </c>
      <c r="I24" s="131">
        <f t="shared" si="6"/>
        <v>34740.799646717685</v>
      </c>
      <c r="J24" s="131">
        <f t="shared" si="6"/>
        <v>39543.791480453336</v>
      </c>
      <c r="K24" s="131">
        <f t="shared" si="6"/>
        <v>45373.383620148263</v>
      </c>
      <c r="L24" s="131">
        <f t="shared" si="6"/>
        <v>52161.325295884642</v>
      </c>
      <c r="M24" s="130"/>
    </row>
    <row r="25" spans="1:15">
      <c r="A25" s="127" t="s">
        <v>170</v>
      </c>
      <c r="B25" s="128"/>
      <c r="C25" s="128"/>
      <c r="D25" s="128"/>
      <c r="E25" s="131"/>
      <c r="F25" s="131"/>
      <c r="G25" s="131"/>
      <c r="H25" s="131"/>
      <c r="I25" s="131"/>
      <c r="J25" s="131"/>
      <c r="K25" s="131"/>
      <c r="L25" s="131"/>
      <c r="M25" s="130"/>
    </row>
    <row r="26" spans="1:15">
      <c r="A26" s="127" t="s">
        <v>140</v>
      </c>
      <c r="B26" s="128"/>
      <c r="C26" s="128"/>
      <c r="D26" s="128">
        <v>-1</v>
      </c>
      <c r="E26" s="137">
        <v>0</v>
      </c>
      <c r="F26" s="137">
        <f t="shared" ref="F26:L26" si="7">+E26</f>
        <v>0</v>
      </c>
      <c r="G26" s="137">
        <f t="shared" si="7"/>
        <v>0</v>
      </c>
      <c r="H26" s="137">
        <f t="shared" si="7"/>
        <v>0</v>
      </c>
      <c r="I26" s="137">
        <f t="shared" si="7"/>
        <v>0</v>
      </c>
      <c r="J26" s="137">
        <f t="shared" si="7"/>
        <v>0</v>
      </c>
      <c r="K26" s="137">
        <f t="shared" si="7"/>
        <v>0</v>
      </c>
      <c r="L26" s="137">
        <f t="shared" si="7"/>
        <v>0</v>
      </c>
      <c r="M26" s="130"/>
    </row>
    <row r="27" spans="1:15">
      <c r="A27" s="132" t="s">
        <v>136</v>
      </c>
      <c r="B27" s="131">
        <f>B24+B25+B26</f>
        <v>13980</v>
      </c>
      <c r="C27" s="131">
        <f>C24+C25+C26</f>
        <v>15853</v>
      </c>
      <c r="D27" s="131">
        <f>D24+D25+D26</f>
        <v>16951</v>
      </c>
      <c r="E27" s="131">
        <f t="shared" ref="E27:L27" si="8">E24+E25+E26</f>
        <v>21136.660331556617</v>
      </c>
      <c r="F27" s="131">
        <f t="shared" si="8"/>
        <v>23941.476535467416</v>
      </c>
      <c r="G27" s="131">
        <f t="shared" si="8"/>
        <v>26703.571169672439</v>
      </c>
      <c r="H27" s="131">
        <f t="shared" si="8"/>
        <v>30569.02457978384</v>
      </c>
      <c r="I27" s="131">
        <f t="shared" si="8"/>
        <v>34740.799646717685</v>
      </c>
      <c r="J27" s="131">
        <f t="shared" si="8"/>
        <v>39543.791480453336</v>
      </c>
      <c r="K27" s="131">
        <f t="shared" si="8"/>
        <v>45373.383620148263</v>
      </c>
      <c r="L27" s="131">
        <f t="shared" si="8"/>
        <v>52161.325295884642</v>
      </c>
      <c r="M27" s="130"/>
    </row>
    <row r="28" spans="1:15">
      <c r="A28" s="127" t="s">
        <v>137</v>
      </c>
      <c r="B28" s="134">
        <v>-2821</v>
      </c>
      <c r="C28" s="134">
        <v>-3719</v>
      </c>
      <c r="D28" s="134">
        <v>-3442</v>
      </c>
      <c r="E28" s="135">
        <f>-E27*Assumptions!E15</f>
        <v>-4979.6488234052731</v>
      </c>
      <c r="F28" s="135">
        <f>-F27*Assumptions!F15</f>
        <v>-5851.9953109719982</v>
      </c>
      <c r="G28" s="135">
        <f>-G27*Assumptions!G15</f>
        <v>-6072.8559368720798</v>
      </c>
      <c r="H28" s="135">
        <f>-H27*Assumptions!H15</f>
        <v>-7208.5787411963001</v>
      </c>
      <c r="I28" s="135">
        <f>-I27*Assumptions!I15</f>
        <v>-8194.8881653815624</v>
      </c>
      <c r="J28" s="135">
        <f>-J27*Assumptions!J15</f>
        <v>-9215.2471808689825</v>
      </c>
      <c r="K28" s="135">
        <f>-K27*Assumptions!K15</f>
        <v>-10658.794447254773</v>
      </c>
      <c r="L28" s="135">
        <f>-L27*Assumptions!L15</f>
        <v>-12237.717035566098</v>
      </c>
      <c r="M28" s="138"/>
      <c r="N28" s="138"/>
      <c r="O28" s="138"/>
    </row>
    <row r="29" spans="1:15">
      <c r="A29" s="127" t="s">
        <v>138</v>
      </c>
      <c r="B29" s="134">
        <v>-102</v>
      </c>
      <c r="C29" s="134">
        <v>-965</v>
      </c>
      <c r="D29" s="134">
        <f>--14</f>
        <v>14</v>
      </c>
      <c r="E29" s="131"/>
      <c r="F29" s="131"/>
      <c r="G29" s="131"/>
      <c r="H29" s="131"/>
      <c r="I29" s="131"/>
      <c r="J29" s="129"/>
      <c r="K29" s="129"/>
      <c r="L29" s="129"/>
      <c r="M29" s="130"/>
    </row>
    <row r="30" spans="1:15">
      <c r="A30" s="127" t="s">
        <v>169</v>
      </c>
      <c r="B30" s="134">
        <v>0</v>
      </c>
      <c r="C30" s="134">
        <v>0</v>
      </c>
      <c r="D30" s="134">
        <v>0</v>
      </c>
      <c r="E30" s="129">
        <v>0</v>
      </c>
      <c r="F30" s="129">
        <v>0</v>
      </c>
      <c r="G30" s="129">
        <v>0</v>
      </c>
      <c r="H30" s="129">
        <v>0</v>
      </c>
      <c r="I30" s="129">
        <v>0</v>
      </c>
      <c r="J30" s="129">
        <v>0</v>
      </c>
      <c r="K30" s="129">
        <v>0</v>
      </c>
      <c r="L30" s="129">
        <v>0</v>
      </c>
      <c r="M30" s="130"/>
    </row>
    <row r="31" spans="1:15">
      <c r="A31" s="132" t="s">
        <v>139</v>
      </c>
      <c r="B31" s="131">
        <f>SUM(B27:B30)</f>
        <v>11057</v>
      </c>
      <c r="C31" s="131">
        <f>SUM(C27:C30)</f>
        <v>11169</v>
      </c>
      <c r="D31" s="131">
        <f>SUM(D27:D30)</f>
        <v>13523</v>
      </c>
      <c r="E31" s="131">
        <f t="shared" ref="E31:L31" si="9">SUM(E27:E30)</f>
        <v>16157.011508151343</v>
      </c>
      <c r="F31" s="131">
        <f t="shared" si="9"/>
        <v>18089.481224495419</v>
      </c>
      <c r="G31" s="131">
        <f t="shared" si="9"/>
        <v>20630.715232800358</v>
      </c>
      <c r="H31" s="131">
        <f t="shared" si="9"/>
        <v>23360.44583858754</v>
      </c>
      <c r="I31" s="131">
        <f t="shared" si="9"/>
        <v>26545.911481336123</v>
      </c>
      <c r="J31" s="131">
        <f t="shared" si="9"/>
        <v>30328.544299584355</v>
      </c>
      <c r="K31" s="131">
        <f t="shared" si="9"/>
        <v>34714.589172893488</v>
      </c>
      <c r="L31" s="131">
        <f t="shared" si="9"/>
        <v>39923.608260318542</v>
      </c>
      <c r="M31" s="130"/>
    </row>
    <row r="32" spans="1:15">
      <c r="A32" s="139" t="s">
        <v>223</v>
      </c>
      <c r="B32" s="131">
        <v>11057</v>
      </c>
      <c r="C32" s="131">
        <v>11145</v>
      </c>
      <c r="D32" s="131">
        <v>13499</v>
      </c>
      <c r="E32" s="131">
        <f>E31*(D32/D31)</f>
        <v>16128.336785368259</v>
      </c>
      <c r="F32" s="131">
        <f t="shared" ref="F32:L32" si="10">F31*(E32/E31)</f>
        <v>18057.376843116443</v>
      </c>
      <c r="G32" s="131">
        <f t="shared" si="10"/>
        <v>20594.100785888637</v>
      </c>
      <c r="H32" s="131">
        <f t="shared" si="10"/>
        <v>23318.986791029598</v>
      </c>
      <c r="I32" s="131">
        <f t="shared" si="10"/>
        <v>26498.799015496294</v>
      </c>
      <c r="J32" s="131">
        <f t="shared" si="10"/>
        <v>30274.718590556036</v>
      </c>
      <c r="K32" s="131">
        <f t="shared" si="10"/>
        <v>34652.979312644333</v>
      </c>
      <c r="L32" s="131">
        <f t="shared" si="10"/>
        <v>39852.753671969251</v>
      </c>
      <c r="M32" s="140"/>
    </row>
    <row r="33" spans="1:12">
      <c r="A33" s="132" t="s">
        <v>141</v>
      </c>
      <c r="B33" s="131"/>
      <c r="C33" s="131"/>
      <c r="D33" s="131"/>
      <c r="E33" s="131"/>
      <c r="F33" s="131"/>
      <c r="G33" s="131"/>
      <c r="H33" s="131"/>
      <c r="I33" s="131"/>
      <c r="J33" s="141"/>
      <c r="K33" s="141"/>
      <c r="L33" s="141"/>
    </row>
    <row r="34" spans="1:12">
      <c r="A34" s="127" t="s">
        <v>171</v>
      </c>
      <c r="B34" s="134"/>
      <c r="C34" s="134">
        <f>33-10</f>
        <v>23</v>
      </c>
      <c r="D34" s="134">
        <f>50-13</f>
        <v>37</v>
      </c>
      <c r="E34" s="129">
        <v>0</v>
      </c>
      <c r="F34" s="129">
        <v>0</v>
      </c>
      <c r="G34" s="129">
        <v>0</v>
      </c>
      <c r="H34" s="129">
        <v>0</v>
      </c>
      <c r="I34" s="129">
        <v>0</v>
      </c>
      <c r="J34" s="129">
        <v>0</v>
      </c>
      <c r="K34" s="129">
        <v>0</v>
      </c>
      <c r="L34" s="129">
        <v>0</v>
      </c>
    </row>
    <row r="35" spans="1:12">
      <c r="A35" s="127" t="s">
        <v>172</v>
      </c>
      <c r="B35" s="134">
        <f>-85+18</f>
        <v>-67</v>
      </c>
      <c r="C35" s="134"/>
      <c r="D35" s="134"/>
      <c r="E35" s="129">
        <v>0</v>
      </c>
      <c r="F35" s="129">
        <v>0</v>
      </c>
      <c r="G35" s="129">
        <v>0</v>
      </c>
      <c r="H35" s="129">
        <v>0</v>
      </c>
      <c r="I35" s="129">
        <v>0</v>
      </c>
      <c r="J35" s="129">
        <v>0</v>
      </c>
      <c r="K35" s="129">
        <v>0</v>
      </c>
      <c r="L35" s="129">
        <v>0</v>
      </c>
    </row>
    <row r="36" spans="1:12">
      <c r="A36" s="127" t="s">
        <v>198</v>
      </c>
      <c r="B36" s="134">
        <f>1027</f>
        <v>1027</v>
      </c>
      <c r="C36" s="134">
        <v>222</v>
      </c>
      <c r="D36" s="134">
        <v>455</v>
      </c>
      <c r="E36" s="129">
        <v>0</v>
      </c>
      <c r="F36" s="129">
        <v>0</v>
      </c>
      <c r="G36" s="129">
        <v>0</v>
      </c>
      <c r="H36" s="129">
        <v>0</v>
      </c>
      <c r="I36" s="129">
        <v>0</v>
      </c>
      <c r="J36" s="129">
        <v>0</v>
      </c>
      <c r="K36" s="129">
        <v>0</v>
      </c>
      <c r="L36" s="129">
        <v>0</v>
      </c>
    </row>
    <row r="37" spans="1:12">
      <c r="A37" s="127" t="s">
        <v>220</v>
      </c>
      <c r="B37" s="134">
        <f>-446-135+103</f>
        <v>-478</v>
      </c>
      <c r="C37" s="134">
        <f>584+71-165</f>
        <v>490</v>
      </c>
      <c r="D37" s="134">
        <f>531-250+2</f>
        <v>283</v>
      </c>
      <c r="E37" s="129">
        <v>0</v>
      </c>
      <c r="F37" s="129">
        <v>0</v>
      </c>
      <c r="G37" s="129">
        <v>0</v>
      </c>
      <c r="H37" s="129">
        <v>0</v>
      </c>
      <c r="I37" s="129">
        <v>0</v>
      </c>
      <c r="J37" s="129">
        <v>0</v>
      </c>
      <c r="K37" s="129">
        <v>0</v>
      </c>
      <c r="L37" s="129">
        <v>0</v>
      </c>
    </row>
    <row r="38" spans="1:12">
      <c r="A38" s="127" t="s">
        <v>221</v>
      </c>
      <c r="B38" s="134">
        <f>-5+2</f>
        <v>-3</v>
      </c>
      <c r="C38" s="134">
        <f>36-13</f>
        <v>23</v>
      </c>
      <c r="D38" s="134">
        <f>-27+9</f>
        <v>-18</v>
      </c>
      <c r="E38" s="129">
        <v>0</v>
      </c>
      <c r="F38" s="129">
        <v>0</v>
      </c>
      <c r="G38" s="129">
        <v>0</v>
      </c>
      <c r="H38" s="129">
        <v>0</v>
      </c>
      <c r="I38" s="129">
        <v>0</v>
      </c>
      <c r="J38" s="129">
        <v>0</v>
      </c>
      <c r="K38" s="129">
        <v>0</v>
      </c>
      <c r="L38" s="129">
        <v>0</v>
      </c>
    </row>
    <row r="39" spans="1:12">
      <c r="A39" s="132" t="s">
        <v>142</v>
      </c>
      <c r="B39" s="131">
        <f t="shared" ref="B39:L39" si="11">SUM(B34:B38)+B31</f>
        <v>11536</v>
      </c>
      <c r="C39" s="131">
        <f t="shared" si="11"/>
        <v>11927</v>
      </c>
      <c r="D39" s="131">
        <f t="shared" si="11"/>
        <v>14280</v>
      </c>
      <c r="E39" s="131">
        <f t="shared" si="11"/>
        <v>16157.011508151343</v>
      </c>
      <c r="F39" s="131">
        <f t="shared" si="11"/>
        <v>18089.481224495419</v>
      </c>
      <c r="G39" s="131">
        <f t="shared" si="11"/>
        <v>20630.715232800358</v>
      </c>
      <c r="H39" s="131">
        <f t="shared" si="11"/>
        <v>23360.44583858754</v>
      </c>
      <c r="I39" s="131">
        <f t="shared" si="11"/>
        <v>26545.911481336123</v>
      </c>
      <c r="J39" s="131">
        <f t="shared" si="11"/>
        <v>30328.544299584355</v>
      </c>
      <c r="K39" s="131">
        <f t="shared" si="11"/>
        <v>34714.589172893488</v>
      </c>
      <c r="L39" s="131">
        <f t="shared" si="11"/>
        <v>39923.608260318542</v>
      </c>
    </row>
    <row r="40" spans="1:12">
      <c r="A40" s="142"/>
      <c r="B40" s="131"/>
      <c r="C40" s="131"/>
      <c r="D40" s="131"/>
      <c r="E40" s="131"/>
      <c r="F40" s="131"/>
      <c r="G40" s="131"/>
      <c r="H40" s="131"/>
      <c r="I40" s="131"/>
      <c r="J40" s="141"/>
      <c r="K40" s="141"/>
      <c r="L40" s="141"/>
    </row>
    <row r="41" spans="1:12">
      <c r="A41" s="143" t="s">
        <v>143</v>
      </c>
      <c r="B41" s="131"/>
      <c r="C41" s="131"/>
      <c r="D41" s="131"/>
      <c r="E41" s="131"/>
      <c r="F41" s="131"/>
      <c r="G41" s="131"/>
      <c r="H41" s="131"/>
      <c r="I41" s="131"/>
      <c r="J41" s="141"/>
      <c r="K41" s="141"/>
      <c r="L41" s="141"/>
    </row>
    <row r="42" spans="1:12">
      <c r="A42" s="144" t="s">
        <v>4</v>
      </c>
      <c r="B42" s="134">
        <f>2713085729/10000000</f>
        <v>271.3085729</v>
      </c>
      <c r="C42" s="134">
        <f>2713665096/10000000</f>
        <v>271.36650959999997</v>
      </c>
      <c r="D42" s="134">
        <f>2712044398/10000000</f>
        <v>271.20443979999999</v>
      </c>
      <c r="E42" s="129">
        <v>271.20443979999999</v>
      </c>
      <c r="F42" s="129">
        <v>271.20443979999999</v>
      </c>
      <c r="G42" s="129">
        <v>271.20443979999999</v>
      </c>
      <c r="H42" s="129">
        <v>271.20443979999999</v>
      </c>
      <c r="I42" s="129">
        <v>271.20443979999999</v>
      </c>
      <c r="J42" s="129">
        <v>271.20443979999999</v>
      </c>
      <c r="K42" s="129">
        <v>271.20443979999999</v>
      </c>
      <c r="L42" s="129">
        <v>271.20443979999999</v>
      </c>
    </row>
    <row r="43" spans="1:12">
      <c r="A43" s="144" t="s">
        <v>5</v>
      </c>
      <c r="B43" s="134">
        <f>2713665096/10000000</f>
        <v>271.36650959999997</v>
      </c>
      <c r="C43" s="134">
        <f>2713665096/10000000</f>
        <v>271.36650959999997</v>
      </c>
      <c r="D43" s="134">
        <f>2712427802/10000000</f>
        <v>271.24278020000003</v>
      </c>
      <c r="E43" s="129">
        <v>271.24278020000003</v>
      </c>
      <c r="F43" s="129">
        <v>271.24278020000003</v>
      </c>
      <c r="G43" s="129">
        <v>271.24278020000003</v>
      </c>
      <c r="H43" s="129">
        <v>271.24278020000003</v>
      </c>
      <c r="I43" s="129">
        <v>271.24278020000003</v>
      </c>
      <c r="J43" s="129">
        <v>271.24278020000003</v>
      </c>
      <c r="K43" s="129">
        <v>271.24278020000003</v>
      </c>
      <c r="L43" s="129">
        <v>271.24278020000003</v>
      </c>
    </row>
    <row r="44" spans="1:12">
      <c r="A44" s="142"/>
      <c r="B44" s="131"/>
      <c r="C44" s="131"/>
      <c r="D44" s="131"/>
      <c r="E44" s="131"/>
      <c r="F44" s="131"/>
      <c r="G44" s="131"/>
      <c r="H44" s="131"/>
      <c r="I44" s="131"/>
      <c r="J44" s="141"/>
      <c r="K44" s="141"/>
      <c r="L44" s="141"/>
    </row>
    <row r="45" spans="1:12">
      <c r="A45" s="145" t="s">
        <v>144</v>
      </c>
      <c r="B45" s="131"/>
      <c r="C45" s="131"/>
      <c r="D45" s="131"/>
      <c r="E45" s="131"/>
      <c r="F45" s="131"/>
      <c r="G45" s="131"/>
      <c r="H45" s="131"/>
      <c r="I45" s="131"/>
      <c r="J45" s="141"/>
      <c r="K45" s="141"/>
      <c r="L45" s="141"/>
    </row>
    <row r="46" spans="1:12">
      <c r="A46" s="142" t="s">
        <v>4</v>
      </c>
      <c r="B46" s="131">
        <f t="shared" ref="B46:L46" si="12">B32/B42</f>
        <v>40.754333273779125</v>
      </c>
      <c r="C46" s="131">
        <f t="shared" si="12"/>
        <v>41.069916904735102</v>
      </c>
      <c r="D46" s="131">
        <f t="shared" si="12"/>
        <v>49.77425889471003</v>
      </c>
      <c r="E46" s="131">
        <f t="shared" si="12"/>
        <v>59.46929481413401</v>
      </c>
      <c r="F46" s="131">
        <f t="shared" si="12"/>
        <v>66.582157933818763</v>
      </c>
      <c r="G46" s="131">
        <f t="shared" si="12"/>
        <v>75.935706661276555</v>
      </c>
      <c r="H46" s="131">
        <f t="shared" si="12"/>
        <v>85.983056944887082</v>
      </c>
      <c r="I46" s="131">
        <f t="shared" si="12"/>
        <v>97.707836328335418</v>
      </c>
      <c r="J46" s="131">
        <f t="shared" si="12"/>
        <v>111.63061568196362</v>
      </c>
      <c r="K46" s="131">
        <f t="shared" si="12"/>
        <v>127.77438060453291</v>
      </c>
      <c r="L46" s="131">
        <f t="shared" si="12"/>
        <v>146.94727601568289</v>
      </c>
    </row>
    <row r="47" spans="1:12">
      <c r="A47" s="142" t="s">
        <v>5</v>
      </c>
      <c r="B47" s="131">
        <f t="shared" ref="B47:L47" si="13">B32/B43</f>
        <v>40.745632231104175</v>
      </c>
      <c r="C47" s="131">
        <f t="shared" si="13"/>
        <v>41.069916904735102</v>
      </c>
      <c r="D47" s="131">
        <f t="shared" si="13"/>
        <v>49.767223260455282</v>
      </c>
      <c r="E47" s="131">
        <f t="shared" si="13"/>
        <v>59.460888778223257</v>
      </c>
      <c r="F47" s="131">
        <f t="shared" si="13"/>
        <v>66.572746488595541</v>
      </c>
      <c r="G47" s="131">
        <f t="shared" si="13"/>
        <v>75.924973083905272</v>
      </c>
      <c r="H47" s="131">
        <f t="shared" si="13"/>
        <v>85.97090316592174</v>
      </c>
      <c r="I47" s="131">
        <f t="shared" si="13"/>
        <v>97.694025241731723</v>
      </c>
      <c r="J47" s="131">
        <f t="shared" si="13"/>
        <v>111.61483659853754</v>
      </c>
      <c r="K47" s="131">
        <f t="shared" si="13"/>
        <v>127.75631958606627</v>
      </c>
      <c r="L47" s="131">
        <f t="shared" si="13"/>
        <v>146.92650489197885</v>
      </c>
    </row>
    <row r="48" spans="1:12">
      <c r="A48" s="6"/>
      <c r="B48" s="146"/>
      <c r="C48" s="146"/>
      <c r="D48" s="146"/>
      <c r="E48" s="146"/>
      <c r="F48" s="146"/>
      <c r="G48" s="146"/>
      <c r="H48" s="146"/>
      <c r="I48" s="146"/>
      <c r="J48" s="146"/>
      <c r="K48" s="146"/>
      <c r="L48" s="146"/>
    </row>
    <row r="49" spans="1:13">
      <c r="A49" s="6" t="s">
        <v>265</v>
      </c>
      <c r="B49" s="147">
        <f>CFS!B62</f>
        <v>-1625</v>
      </c>
      <c r="C49" s="147">
        <f>CFS!C62</f>
        <v>-3256</v>
      </c>
      <c r="D49" s="147">
        <f>CFS!D62</f>
        <v>-11389</v>
      </c>
      <c r="E49" s="148">
        <f>-E39*Assumptions!E16</f>
        <v>-6524.2359895019526</v>
      </c>
      <c r="F49" s="148">
        <f>-F39*Assumptions!F16</f>
        <v>-8890.0467073162072</v>
      </c>
      <c r="G49" s="148">
        <f>-G39*Assumptions!G16</f>
        <v>-11641.221996741731</v>
      </c>
      <c r="H49" s="148">
        <f>-H39*Assumptions!H16</f>
        <v>-11364.989908468466</v>
      </c>
      <c r="I49" s="148">
        <f>-I39*Assumptions!I16</f>
        <v>-13646.550728454657</v>
      </c>
      <c r="J49" s="148">
        <f>-J39*Assumptions!J16</f>
        <v>-15819.831322685504</v>
      </c>
      <c r="K49" s="148">
        <f>-K39*Assumptions!K16</f>
        <v>-17614.118772692436</v>
      </c>
      <c r="L49" s="148">
        <f>-L39*Assumptions!L16</f>
        <v>-20535.199740070992</v>
      </c>
    </row>
    <row r="50" spans="1:13" s="149" customFormat="1">
      <c r="B50" s="150"/>
      <c r="C50" s="150"/>
      <c r="D50" s="150"/>
      <c r="E50" s="150"/>
      <c r="F50" s="150"/>
      <c r="G50" s="150"/>
      <c r="H50" s="150"/>
      <c r="I50" s="150"/>
      <c r="J50" s="150"/>
      <c r="K50" s="150"/>
      <c r="L50" s="150"/>
    </row>
    <row r="51" spans="1:13" s="149" customFormat="1" ht="25.25" customHeight="1">
      <c r="A51" s="4" t="s">
        <v>108</v>
      </c>
      <c r="B51" s="150"/>
      <c r="C51" s="150"/>
      <c r="D51" s="150"/>
      <c r="E51" s="150"/>
      <c r="F51" s="150"/>
      <c r="G51" s="150"/>
      <c r="H51" s="150"/>
      <c r="I51" s="150"/>
      <c r="J51" s="150"/>
      <c r="K51" s="150"/>
      <c r="L51" s="150"/>
    </row>
    <row r="52" spans="1:13">
      <c r="A52" s="6"/>
      <c r="B52" s="146"/>
      <c r="C52" s="146"/>
      <c r="D52" s="146"/>
      <c r="E52" s="146"/>
      <c r="F52" s="146"/>
      <c r="G52" s="146"/>
      <c r="H52" s="146"/>
      <c r="I52" s="146"/>
      <c r="J52" s="151"/>
      <c r="K52" s="151"/>
      <c r="L52" s="151"/>
    </row>
    <row r="53" spans="1:13">
      <c r="A53" s="152" t="str">
        <f t="shared" ref="A53" si="14">A6</f>
        <v>Particulars</v>
      </c>
      <c r="B53" s="125" t="s">
        <v>157</v>
      </c>
      <c r="C53" s="125" t="s">
        <v>165</v>
      </c>
      <c r="D53" s="125" t="s">
        <v>216</v>
      </c>
      <c r="E53" s="125" t="s">
        <v>158</v>
      </c>
      <c r="F53" s="125" t="s">
        <v>159</v>
      </c>
      <c r="G53" s="125" t="s">
        <v>160</v>
      </c>
      <c r="H53" s="125" t="s">
        <v>161</v>
      </c>
      <c r="I53" s="125" t="s">
        <v>162</v>
      </c>
      <c r="J53" s="125" t="s">
        <v>163</v>
      </c>
      <c r="K53" s="125" t="s">
        <v>164</v>
      </c>
      <c r="L53" s="125" t="s">
        <v>217</v>
      </c>
    </row>
    <row r="54" spans="1:13">
      <c r="A54" s="153" t="str">
        <f t="shared" ref="A54:A78" si="15">A7</f>
        <v>Revenue from Operation</v>
      </c>
      <c r="B54" s="154">
        <f t="shared" ref="B54:L54" si="16">B7/B$7</f>
        <v>1</v>
      </c>
      <c r="C54" s="154">
        <f t="shared" si="16"/>
        <v>1</v>
      </c>
      <c r="D54" s="154">
        <f t="shared" si="16"/>
        <v>1</v>
      </c>
      <c r="E54" s="154">
        <f t="shared" si="16"/>
        <v>1</v>
      </c>
      <c r="F54" s="154">
        <f t="shared" si="16"/>
        <v>1</v>
      </c>
      <c r="G54" s="154">
        <f t="shared" si="16"/>
        <v>1</v>
      </c>
      <c r="H54" s="154">
        <f t="shared" si="16"/>
        <v>1</v>
      </c>
      <c r="I54" s="154">
        <f t="shared" si="16"/>
        <v>1</v>
      </c>
      <c r="J54" s="154">
        <f t="shared" si="16"/>
        <v>1</v>
      </c>
      <c r="K54" s="154">
        <f t="shared" si="16"/>
        <v>1</v>
      </c>
      <c r="L54" s="154">
        <f t="shared" si="16"/>
        <v>1</v>
      </c>
      <c r="M54" s="155"/>
    </row>
    <row r="55" spans="1:13">
      <c r="A55" s="153" t="str">
        <f t="shared" si="15"/>
        <v>Other Income</v>
      </c>
      <c r="B55" s="154">
        <f t="shared" ref="B55:L55" si="17">B8/B$7</f>
        <v>8.3338049691550169E-3</v>
      </c>
      <c r="C55" s="154">
        <f t="shared" si="17"/>
        <v>1.2297854840207486E-2</v>
      </c>
      <c r="D55" s="154">
        <f t="shared" si="17"/>
        <v>1.245753114382786E-2</v>
      </c>
      <c r="E55" s="154">
        <f t="shared" si="17"/>
        <v>1.5409950741176341E-2</v>
      </c>
      <c r="F55" s="154">
        <f t="shared" si="17"/>
        <v>1.9062090160869089E-2</v>
      </c>
      <c r="G55" s="154">
        <f t="shared" si="17"/>
        <v>2.212666204434573E-2</v>
      </c>
      <c r="H55" s="154">
        <f t="shared" si="17"/>
        <v>2.6804467638495925E-2</v>
      </c>
      <c r="I55" s="154">
        <f t="shared" si="17"/>
        <v>3.2243649018280592E-2</v>
      </c>
      <c r="J55" s="154">
        <f t="shared" si="17"/>
        <v>3.842256169357329E-2</v>
      </c>
      <c r="K55" s="154">
        <f t="shared" si="17"/>
        <v>4.6183098030876578E-2</v>
      </c>
      <c r="L55" s="154">
        <f t="shared" si="17"/>
        <v>5.5366152202507776E-2</v>
      </c>
      <c r="M55" s="155"/>
    </row>
    <row r="56" spans="1:13">
      <c r="A56" s="156" t="str">
        <f t="shared" si="15"/>
        <v>Total Income</v>
      </c>
      <c r="B56" s="154">
        <f t="shared" ref="B56:L56" si="18">B9/B$7</f>
        <v>1.008333804969155</v>
      </c>
      <c r="C56" s="154">
        <f t="shared" si="18"/>
        <v>1.0122978548402075</v>
      </c>
      <c r="D56" s="154">
        <f t="shared" si="18"/>
        <v>1.0124575311438277</v>
      </c>
      <c r="E56" s="154">
        <f t="shared" si="18"/>
        <v>1.0154099507411762</v>
      </c>
      <c r="F56" s="154">
        <f t="shared" si="18"/>
        <v>1.0190620901608691</v>
      </c>
      <c r="G56" s="154">
        <f t="shared" si="18"/>
        <v>1.0221266620443457</v>
      </c>
      <c r="H56" s="154">
        <f t="shared" si="18"/>
        <v>1.026804467638496</v>
      </c>
      <c r="I56" s="154">
        <f t="shared" si="18"/>
        <v>1.0322436490182807</v>
      </c>
      <c r="J56" s="154">
        <f t="shared" si="18"/>
        <v>1.0384225616935734</v>
      </c>
      <c r="K56" s="154">
        <f t="shared" si="18"/>
        <v>1.0461830980308766</v>
      </c>
      <c r="L56" s="154">
        <f t="shared" si="18"/>
        <v>1.0553661522025077</v>
      </c>
      <c r="M56" s="155"/>
    </row>
    <row r="57" spans="1:13">
      <c r="A57" s="153" t="str">
        <f t="shared" si="15"/>
        <v>Cost of materials consumed</v>
      </c>
      <c r="B57" s="154">
        <f t="shared" ref="B57:L57" si="19">B10/B$7</f>
        <v>0</v>
      </c>
      <c r="C57" s="154">
        <f t="shared" si="19"/>
        <v>0</v>
      </c>
      <c r="D57" s="154">
        <f t="shared" si="19"/>
        <v>0</v>
      </c>
      <c r="E57" s="154">
        <f t="shared" si="19"/>
        <v>0</v>
      </c>
      <c r="F57" s="154">
        <f t="shared" si="19"/>
        <v>0</v>
      </c>
      <c r="G57" s="154">
        <f t="shared" si="19"/>
        <v>0</v>
      </c>
      <c r="H57" s="154">
        <f t="shared" si="19"/>
        <v>0</v>
      </c>
      <c r="I57" s="154">
        <f t="shared" si="19"/>
        <v>0</v>
      </c>
      <c r="J57" s="154">
        <f t="shared" si="19"/>
        <v>0</v>
      </c>
      <c r="K57" s="154">
        <f t="shared" si="19"/>
        <v>0</v>
      </c>
      <c r="L57" s="154">
        <f t="shared" si="19"/>
        <v>0</v>
      </c>
      <c r="M57" s="155"/>
    </row>
    <row r="58" spans="1:13">
      <c r="A58" s="153" t="str">
        <f t="shared" si="15"/>
        <v>Purchase</v>
      </c>
      <c r="B58" s="154">
        <f t="shared" ref="B58:L58" si="20">B11/B$7</f>
        <v>-2.1732978663195426E-2</v>
      </c>
      <c r="C58" s="154">
        <f t="shared" si="20"/>
        <v>-2.2526167765558047E-2</v>
      </c>
      <c r="D58" s="154">
        <f t="shared" si="20"/>
        <v>-1.7197697633419343E-2</v>
      </c>
      <c r="E58" s="154">
        <f t="shared" si="20"/>
        <v>-1.5205307750950307E-2</v>
      </c>
      <c r="F58" s="154">
        <f t="shared" si="20"/>
        <v>-1.4077372863243204E-2</v>
      </c>
      <c r="G58" s="154">
        <f t="shared" si="20"/>
        <v>-1.2885298690041984E-2</v>
      </c>
      <c r="H58" s="154">
        <f t="shared" si="20"/>
        <v>-1.188601965427211E-2</v>
      </c>
      <c r="I58" s="154">
        <f t="shared" si="20"/>
        <v>-1.0949125163156812E-2</v>
      </c>
      <c r="J58" s="154">
        <f t="shared" si="20"/>
        <v>-1.0069239812419887E-2</v>
      </c>
      <c r="K58" s="154">
        <f t="shared" si="20"/>
        <v>-9.2746418869931249E-3</v>
      </c>
      <c r="L58" s="154">
        <f t="shared" si="20"/>
        <v>-8.5385464355219546E-3</v>
      </c>
      <c r="M58" s="155"/>
    </row>
    <row r="59" spans="1:13">
      <c r="A59" s="153" t="str">
        <f t="shared" si="15"/>
        <v>Excise Duty</v>
      </c>
      <c r="B59" s="154">
        <f t="shared" ref="B59:L59" si="21">B12/B$7</f>
        <v>0</v>
      </c>
      <c r="C59" s="154">
        <f t="shared" si="21"/>
        <v>0</v>
      </c>
      <c r="D59" s="154">
        <f t="shared" si="21"/>
        <v>0</v>
      </c>
      <c r="E59" s="154">
        <f t="shared" si="21"/>
        <v>0</v>
      </c>
      <c r="F59" s="154">
        <f t="shared" si="21"/>
        <v>0</v>
      </c>
      <c r="G59" s="154">
        <f t="shared" si="21"/>
        <v>0</v>
      </c>
      <c r="H59" s="154">
        <f t="shared" si="21"/>
        <v>0</v>
      </c>
      <c r="I59" s="154">
        <f t="shared" si="21"/>
        <v>0</v>
      </c>
      <c r="J59" s="154">
        <f t="shared" si="21"/>
        <v>0</v>
      </c>
      <c r="K59" s="154">
        <f t="shared" si="21"/>
        <v>0</v>
      </c>
      <c r="L59" s="154">
        <f t="shared" si="21"/>
        <v>0</v>
      </c>
      <c r="M59" s="155"/>
    </row>
    <row r="60" spans="1:13">
      <c r="A60" s="153" t="str">
        <f t="shared" si="15"/>
        <v xml:space="preserve">Changes in stock </v>
      </c>
      <c r="B60" s="154">
        <f t="shared" ref="B60:L60" si="22">B13/B$7</f>
        <v>0</v>
      </c>
      <c r="C60" s="154">
        <f t="shared" si="22"/>
        <v>3.979888297801775E-5</v>
      </c>
      <c r="D60" s="154">
        <f t="shared" si="22"/>
        <v>7.8224422365179627E-4</v>
      </c>
      <c r="E60" s="154">
        <f t="shared" si="22"/>
        <v>0</v>
      </c>
      <c r="F60" s="154">
        <f t="shared" si="22"/>
        <v>0</v>
      </c>
      <c r="G60" s="154">
        <f t="shared" si="22"/>
        <v>0</v>
      </c>
      <c r="H60" s="154">
        <f t="shared" si="22"/>
        <v>0</v>
      </c>
      <c r="I60" s="154">
        <f t="shared" si="22"/>
        <v>0</v>
      </c>
      <c r="J60" s="154">
        <f t="shared" si="22"/>
        <v>0</v>
      </c>
      <c r="K60" s="154">
        <f t="shared" si="22"/>
        <v>0</v>
      </c>
      <c r="L60" s="154">
        <f t="shared" si="22"/>
        <v>0</v>
      </c>
      <c r="M60" s="155"/>
    </row>
    <row r="61" spans="1:13">
      <c r="A61" s="156" t="str">
        <f t="shared" si="15"/>
        <v>Cost of Goods Sold</v>
      </c>
      <c r="B61" s="154">
        <f t="shared" ref="B61:L61" si="23">B14/B$7</f>
        <v>-2.1732978663195426E-2</v>
      </c>
      <c r="C61" s="154">
        <f t="shared" si="23"/>
        <v>-2.248636888258003E-2</v>
      </c>
      <c r="D61" s="154">
        <f t="shared" si="23"/>
        <v>-1.6415453409767546E-2</v>
      </c>
      <c r="E61" s="154">
        <f t="shared" si="23"/>
        <v>-1.5205307750950307E-2</v>
      </c>
      <c r="F61" s="154">
        <f t="shared" si="23"/>
        <v>-1.4077372863243204E-2</v>
      </c>
      <c r="G61" s="154">
        <f t="shared" si="23"/>
        <v>-1.2885298690041984E-2</v>
      </c>
      <c r="H61" s="154">
        <f t="shared" si="23"/>
        <v>-1.188601965427211E-2</v>
      </c>
      <c r="I61" s="154">
        <f t="shared" si="23"/>
        <v>-1.0949125163156812E-2</v>
      </c>
      <c r="J61" s="154">
        <f t="shared" si="23"/>
        <v>-1.0069239812419887E-2</v>
      </c>
      <c r="K61" s="154">
        <f t="shared" si="23"/>
        <v>-9.2746418869931249E-3</v>
      </c>
      <c r="L61" s="154">
        <f t="shared" si="23"/>
        <v>-8.5385464355219546E-3</v>
      </c>
      <c r="M61" s="155"/>
    </row>
    <row r="62" spans="1:13">
      <c r="A62" s="156" t="str">
        <f t="shared" si="15"/>
        <v>Gross Profit</v>
      </c>
      <c r="B62" s="154">
        <f t="shared" ref="B62:L62" si="24">B15/B$7</f>
        <v>0.97826702133680454</v>
      </c>
      <c r="C62" s="154">
        <f t="shared" si="24"/>
        <v>0.97751363111741996</v>
      </c>
      <c r="D62" s="154">
        <f t="shared" si="24"/>
        <v>0.98358454659023242</v>
      </c>
      <c r="E62" s="154">
        <f t="shared" si="24"/>
        <v>0.9847946922490497</v>
      </c>
      <c r="F62" s="154">
        <f t="shared" si="24"/>
        <v>0.98592262713675682</v>
      </c>
      <c r="G62" s="154">
        <f t="shared" si="24"/>
        <v>0.98711470130995804</v>
      </c>
      <c r="H62" s="154">
        <f t="shared" si="24"/>
        <v>0.98811398034572784</v>
      </c>
      <c r="I62" s="154">
        <f t="shared" si="24"/>
        <v>0.98905087483684317</v>
      </c>
      <c r="J62" s="154">
        <f t="shared" si="24"/>
        <v>0.98993076018758019</v>
      </c>
      <c r="K62" s="154">
        <f t="shared" si="24"/>
        <v>0.99072535811300688</v>
      </c>
      <c r="L62" s="154">
        <f t="shared" si="24"/>
        <v>0.99146145356447812</v>
      </c>
      <c r="M62" s="155"/>
    </row>
    <row r="63" spans="1:13">
      <c r="A63" s="153" t="str">
        <f t="shared" si="15"/>
        <v>Employment Benefit Expenses</v>
      </c>
      <c r="B63" s="154">
        <f t="shared" ref="B63:L63" si="25">B16/B$7</f>
        <v>-0.49419887939328766</v>
      </c>
      <c r="C63" s="154">
        <f t="shared" si="25"/>
        <v>-0.51543533344830783</v>
      </c>
      <c r="D63" s="154">
        <f t="shared" si="25"/>
        <v>-0.53858098562772183</v>
      </c>
      <c r="E63" s="154">
        <f t="shared" si="25"/>
        <v>-0.51607173282310581</v>
      </c>
      <c r="F63" s="154">
        <f t="shared" si="25"/>
        <v>-0.52336268396637842</v>
      </c>
      <c r="G63" s="154">
        <f t="shared" si="25"/>
        <v>-0.52600513413906869</v>
      </c>
      <c r="H63" s="154">
        <f t="shared" si="25"/>
        <v>-0.52181318364285101</v>
      </c>
      <c r="I63" s="154">
        <f t="shared" si="25"/>
        <v>-0.523727000582766</v>
      </c>
      <c r="J63" s="154">
        <f t="shared" si="25"/>
        <v>-0.52384843945489523</v>
      </c>
      <c r="K63" s="154">
        <f t="shared" si="25"/>
        <v>-0.52312954122683741</v>
      </c>
      <c r="L63" s="154">
        <f t="shared" si="25"/>
        <v>-0.52356832708816625</v>
      </c>
      <c r="M63" s="155"/>
    </row>
    <row r="64" spans="1:13">
      <c r="A64" s="153" t="str">
        <f t="shared" si="15"/>
        <v>Outsourcing Expenses</v>
      </c>
      <c r="B64" s="154">
        <f t="shared" ref="B64:L64" si="26">B17/B$7</f>
        <v>-0.15139509876054105</v>
      </c>
      <c r="C64" s="154">
        <f t="shared" si="26"/>
        <v>-0.13475901776356811</v>
      </c>
      <c r="D64" s="154">
        <f t="shared" si="26"/>
        <v>-0.14611621580600342</v>
      </c>
      <c r="E64" s="154">
        <f t="shared" si="26"/>
        <v>-0.14409011077670419</v>
      </c>
      <c r="F64" s="154">
        <f t="shared" si="26"/>
        <v>-0.14165511478209192</v>
      </c>
      <c r="G64" s="154">
        <f t="shared" si="26"/>
        <v>-0.14395381378826649</v>
      </c>
      <c r="H64" s="154">
        <f t="shared" si="26"/>
        <v>-0.14323301311568756</v>
      </c>
      <c r="I64" s="154">
        <f t="shared" si="26"/>
        <v>-0.14294731389534868</v>
      </c>
      <c r="J64" s="154">
        <f t="shared" si="26"/>
        <v>-0.14337804693310094</v>
      </c>
      <c r="K64" s="154">
        <f t="shared" si="26"/>
        <v>-0.14318612464804573</v>
      </c>
      <c r="L64" s="154">
        <f t="shared" si="26"/>
        <v>-0.14317049515883176</v>
      </c>
      <c r="M64" s="155"/>
    </row>
    <row r="65" spans="1:13">
      <c r="A65" s="153" t="str">
        <f t="shared" si="15"/>
        <v>Other Expenses</v>
      </c>
      <c r="B65" s="154">
        <f t="shared" ref="B65:L65" si="27">B18/B$7</f>
        <v>-8.766766653460864E-2</v>
      </c>
      <c r="C65" s="154">
        <f t="shared" si="27"/>
        <v>-6.1356611257777367E-2</v>
      </c>
      <c r="D65" s="154">
        <f t="shared" si="27"/>
        <v>-5.9193704685292642E-2</v>
      </c>
      <c r="E65" s="154">
        <f t="shared" si="27"/>
        <v>-6.9405994159226214E-2</v>
      </c>
      <c r="F65" s="154">
        <f t="shared" si="27"/>
        <v>-6.3318770034098734E-2</v>
      </c>
      <c r="G65" s="154">
        <f t="shared" si="27"/>
        <v>-6.3972822959539197E-2</v>
      </c>
      <c r="H65" s="154">
        <f t="shared" si="27"/>
        <v>-6.5565862384288062E-2</v>
      </c>
      <c r="I65" s="154">
        <f t="shared" si="27"/>
        <v>-6.4285818459308655E-2</v>
      </c>
      <c r="J65" s="154">
        <f t="shared" si="27"/>
        <v>-6.4608167934378638E-2</v>
      </c>
      <c r="K65" s="154">
        <f t="shared" si="27"/>
        <v>-6.4819949592658452E-2</v>
      </c>
      <c r="L65" s="154">
        <f t="shared" si="27"/>
        <v>-6.4571311995448577E-2</v>
      </c>
      <c r="M65" s="155"/>
    </row>
    <row r="66" spans="1:13">
      <c r="A66" s="156" t="str">
        <f t="shared" si="15"/>
        <v>Total Expenditure</v>
      </c>
      <c r="B66" s="154">
        <f t="shared" ref="B66:L66" si="28">B19/B$7</f>
        <v>-0.73326164468843735</v>
      </c>
      <c r="C66" s="154">
        <f t="shared" si="28"/>
        <v>-0.71155096246965333</v>
      </c>
      <c r="D66" s="154">
        <f t="shared" si="28"/>
        <v>-0.74389090611901787</v>
      </c>
      <c r="E66" s="154">
        <f t="shared" si="28"/>
        <v>-0.72956783775903622</v>
      </c>
      <c r="F66" s="154">
        <f t="shared" si="28"/>
        <v>-0.72833656878256914</v>
      </c>
      <c r="G66" s="154">
        <f t="shared" si="28"/>
        <v>-0.73393177088687434</v>
      </c>
      <c r="H66" s="154">
        <f t="shared" si="28"/>
        <v>-0.73061205914282668</v>
      </c>
      <c r="I66" s="154">
        <f t="shared" si="28"/>
        <v>-0.73096013293742335</v>
      </c>
      <c r="J66" s="154">
        <f t="shared" si="28"/>
        <v>-0.73183465432237482</v>
      </c>
      <c r="K66" s="154">
        <f t="shared" si="28"/>
        <v>-0.73113561546754158</v>
      </c>
      <c r="L66" s="154">
        <f t="shared" si="28"/>
        <v>-0.73131013424244673</v>
      </c>
      <c r="M66" s="155"/>
    </row>
    <row r="67" spans="1:13">
      <c r="A67" s="156" t="str">
        <f t="shared" si="15"/>
        <v>EBITDA</v>
      </c>
      <c r="B67" s="154">
        <f t="shared" ref="B67:L67" si="29">B20/B$7</f>
        <v>0.25333918161752222</v>
      </c>
      <c r="C67" s="154">
        <f t="shared" si="29"/>
        <v>0.27826052348797409</v>
      </c>
      <c r="D67" s="154">
        <f t="shared" si="29"/>
        <v>0.25215117161504241</v>
      </c>
      <c r="E67" s="154">
        <f t="shared" si="29"/>
        <v>0.27063680523118977</v>
      </c>
      <c r="F67" s="154">
        <f t="shared" si="29"/>
        <v>0.2766481485150567</v>
      </c>
      <c r="G67" s="154">
        <f t="shared" si="29"/>
        <v>0.27530959246742942</v>
      </c>
      <c r="H67" s="154">
        <f t="shared" si="29"/>
        <v>0.28430638884139714</v>
      </c>
      <c r="I67" s="154">
        <f t="shared" si="29"/>
        <v>0.29033439091770041</v>
      </c>
      <c r="J67" s="154">
        <f t="shared" si="29"/>
        <v>0.2965186675587787</v>
      </c>
      <c r="K67" s="154">
        <f t="shared" si="29"/>
        <v>0.30577284067634197</v>
      </c>
      <c r="L67" s="154">
        <f t="shared" si="29"/>
        <v>0.31551747152453924</v>
      </c>
      <c r="M67" s="155"/>
    </row>
    <row r="68" spans="1:13">
      <c r="A68" s="153" t="str">
        <f t="shared" si="15"/>
        <v>Depreciation, amortization and impairment expense</v>
      </c>
      <c r="B68" s="154">
        <f t="shared" ref="B68:L68" si="30">B21/B$7</f>
        <v>-4.8389835304771069E-2</v>
      </c>
      <c r="C68" s="154">
        <f t="shared" si="30"/>
        <v>-6.1170883137213285E-2</v>
      </c>
      <c r="D68" s="154">
        <f t="shared" si="30"/>
        <v>-5.0507291216681648E-2</v>
      </c>
      <c r="E68" s="154">
        <f t="shared" si="30"/>
        <v>-4.1908694705029254E-2</v>
      </c>
      <c r="F68" s="154">
        <f t="shared" si="30"/>
        <v>-4.1775657639964318E-2</v>
      </c>
      <c r="G68" s="154">
        <f t="shared" si="30"/>
        <v>-4.0544185656497055E-2</v>
      </c>
      <c r="H68" s="154">
        <f t="shared" si="30"/>
        <v>-4.1276933468324735E-2</v>
      </c>
      <c r="I68" s="154">
        <f t="shared" si="30"/>
        <v>-4.1077453686470339E-2</v>
      </c>
      <c r="J68" s="154">
        <f t="shared" si="30"/>
        <v>-4.0858708155092252E-2</v>
      </c>
      <c r="K68" s="154">
        <f t="shared" si="30"/>
        <v>-4.0974370889719572E-2</v>
      </c>
      <c r="L68" s="154">
        <f t="shared" si="30"/>
        <v>-4.0882872611331278E-2</v>
      </c>
      <c r="M68" s="155"/>
    </row>
    <row r="69" spans="1:13">
      <c r="A69" s="156" t="str">
        <f t="shared" si="15"/>
        <v>EBIT</v>
      </c>
      <c r="B69" s="154">
        <f t="shared" ref="B69:L69" si="31">B22/B$7</f>
        <v>0.20494934631275114</v>
      </c>
      <c r="C69" s="154">
        <f t="shared" si="31"/>
        <v>0.21708964035076081</v>
      </c>
      <c r="D69" s="154">
        <f t="shared" si="31"/>
        <v>0.20164388039836079</v>
      </c>
      <c r="E69" s="154">
        <f t="shared" si="31"/>
        <v>0.22872811052616049</v>
      </c>
      <c r="F69" s="154">
        <f t="shared" si="31"/>
        <v>0.23487249087509238</v>
      </c>
      <c r="G69" s="154">
        <f t="shared" si="31"/>
        <v>0.23476540681093236</v>
      </c>
      <c r="H69" s="154">
        <f t="shared" si="31"/>
        <v>0.24302945537307236</v>
      </c>
      <c r="I69" s="154">
        <f t="shared" si="31"/>
        <v>0.2492569372312301</v>
      </c>
      <c r="J69" s="154">
        <f t="shared" si="31"/>
        <v>0.25565995940368647</v>
      </c>
      <c r="K69" s="154">
        <f t="shared" si="31"/>
        <v>0.26479846978662241</v>
      </c>
      <c r="L69" s="154">
        <f t="shared" si="31"/>
        <v>0.27463459891320796</v>
      </c>
      <c r="M69" s="155"/>
    </row>
    <row r="70" spans="1:13">
      <c r="A70" s="153" t="str">
        <f t="shared" si="15"/>
        <v>Interest</v>
      </c>
      <c r="B70" s="154">
        <f t="shared" ref="B70:L70" si="32">B23/B$7</f>
        <v>-7.1452826985115171E-3</v>
      </c>
      <c r="C70" s="154">
        <f t="shared" si="32"/>
        <v>-6.7790764005890231E-3</v>
      </c>
      <c r="D70" s="154">
        <f t="shared" si="32"/>
        <v>-3.7244165275361644E-3</v>
      </c>
      <c r="E70" s="154">
        <f t="shared" si="32"/>
        <v>-4.6724064390674374E-3</v>
      </c>
      <c r="F70" s="154">
        <f t="shared" si="32"/>
        <v>-4.4511806068955016E-3</v>
      </c>
      <c r="G70" s="154">
        <f t="shared" si="32"/>
        <v>-3.8596685966574631E-3</v>
      </c>
      <c r="H70" s="154">
        <f t="shared" si="32"/>
        <v>-3.8773296501612682E-3</v>
      </c>
      <c r="I70" s="154">
        <f t="shared" si="32"/>
        <v>-3.6431834760686939E-3</v>
      </c>
      <c r="J70" s="154">
        <f t="shared" si="32"/>
        <v>-3.4070377657040352E-3</v>
      </c>
      <c r="K70" s="154">
        <f t="shared" si="32"/>
        <v>-3.2675946718571116E-3</v>
      </c>
      <c r="L70" s="154">
        <f t="shared" si="32"/>
        <v>-3.0865491610750717E-3</v>
      </c>
      <c r="M70" s="155"/>
    </row>
    <row r="71" spans="1:13">
      <c r="A71" s="156" t="str">
        <f t="shared" si="15"/>
        <v>Profit before Prior Period Items and Tax</v>
      </c>
      <c r="B71" s="154">
        <f t="shared" ref="B71:L71" si="33">B24/B$7</f>
        <v>0.19780406361423963</v>
      </c>
      <c r="C71" s="154">
        <f t="shared" si="33"/>
        <v>0.21031056395017181</v>
      </c>
      <c r="D71" s="154">
        <f t="shared" si="33"/>
        <v>0.19791946387082462</v>
      </c>
      <c r="E71" s="154">
        <f t="shared" si="33"/>
        <v>0.22405570408709305</v>
      </c>
      <c r="F71" s="154">
        <f t="shared" si="33"/>
        <v>0.23042131026819687</v>
      </c>
      <c r="G71" s="154">
        <f t="shared" si="33"/>
        <v>0.2309057382142749</v>
      </c>
      <c r="H71" s="154">
        <f t="shared" si="33"/>
        <v>0.23915212572291109</v>
      </c>
      <c r="I71" s="154">
        <f t="shared" si="33"/>
        <v>0.2456137537551614</v>
      </c>
      <c r="J71" s="154">
        <f t="shared" si="33"/>
        <v>0.25225292163798246</v>
      </c>
      <c r="K71" s="154">
        <f t="shared" si="33"/>
        <v>0.2615308751147653</v>
      </c>
      <c r="L71" s="154">
        <f t="shared" si="33"/>
        <v>0.27154804975213287</v>
      </c>
      <c r="M71" s="155"/>
    </row>
    <row r="72" spans="1:13">
      <c r="A72" s="153" t="str">
        <f t="shared" si="15"/>
        <v>Exceptional Items</v>
      </c>
      <c r="B72" s="154">
        <f t="shared" ref="B72:L72" si="34">B25/B$7</f>
        <v>0</v>
      </c>
      <c r="C72" s="154">
        <f t="shared" si="34"/>
        <v>0</v>
      </c>
      <c r="D72" s="154">
        <f t="shared" si="34"/>
        <v>0</v>
      </c>
      <c r="E72" s="154">
        <f t="shared" si="34"/>
        <v>0</v>
      </c>
      <c r="F72" s="154">
        <f t="shared" si="34"/>
        <v>0</v>
      </c>
      <c r="G72" s="154">
        <f t="shared" si="34"/>
        <v>0</v>
      </c>
      <c r="H72" s="154">
        <f t="shared" si="34"/>
        <v>0</v>
      </c>
      <c r="I72" s="154">
        <f t="shared" si="34"/>
        <v>0</v>
      </c>
      <c r="J72" s="154">
        <f t="shared" si="34"/>
        <v>0</v>
      </c>
      <c r="K72" s="154">
        <f t="shared" si="34"/>
        <v>0</v>
      </c>
      <c r="L72" s="154">
        <f t="shared" si="34"/>
        <v>0</v>
      </c>
      <c r="M72" s="155"/>
    </row>
    <row r="73" spans="1:13">
      <c r="A73" s="153" t="str">
        <f t="shared" si="15"/>
        <v>Share of loss/profits of associates</v>
      </c>
      <c r="B73" s="154">
        <f t="shared" ref="B73:L73" si="35">B26/B$7</f>
        <v>0</v>
      </c>
      <c r="C73" s="154">
        <f t="shared" si="35"/>
        <v>0</v>
      </c>
      <c r="D73" s="154">
        <f t="shared" si="35"/>
        <v>-1.1675286920176063E-5</v>
      </c>
      <c r="E73" s="154">
        <f t="shared" si="35"/>
        <v>0</v>
      </c>
      <c r="F73" s="154">
        <f t="shared" si="35"/>
        <v>0</v>
      </c>
      <c r="G73" s="154">
        <f t="shared" si="35"/>
        <v>0</v>
      </c>
      <c r="H73" s="154">
        <f t="shared" si="35"/>
        <v>0</v>
      </c>
      <c r="I73" s="154">
        <f t="shared" si="35"/>
        <v>0</v>
      </c>
      <c r="J73" s="154">
        <f t="shared" si="35"/>
        <v>0</v>
      </c>
      <c r="K73" s="154">
        <f t="shared" si="35"/>
        <v>0</v>
      </c>
      <c r="L73" s="154">
        <f t="shared" si="35"/>
        <v>0</v>
      </c>
      <c r="M73" s="155"/>
    </row>
    <row r="74" spans="1:13">
      <c r="A74" s="156" t="str">
        <f t="shared" si="15"/>
        <v>Profit/Loss before Taxation</v>
      </c>
      <c r="B74" s="154">
        <f t="shared" ref="B74:L74" si="36">B27/B$7</f>
        <v>0.19780406361423963</v>
      </c>
      <c r="C74" s="154">
        <f t="shared" si="36"/>
        <v>0.21031056395017181</v>
      </c>
      <c r="D74" s="154">
        <f t="shared" si="36"/>
        <v>0.19790778858390445</v>
      </c>
      <c r="E74" s="154">
        <f t="shared" si="36"/>
        <v>0.22405570408709305</v>
      </c>
      <c r="F74" s="154">
        <f t="shared" si="36"/>
        <v>0.23042131026819687</v>
      </c>
      <c r="G74" s="154">
        <f t="shared" si="36"/>
        <v>0.2309057382142749</v>
      </c>
      <c r="H74" s="154">
        <f t="shared" si="36"/>
        <v>0.23915212572291109</v>
      </c>
      <c r="I74" s="154">
        <f t="shared" si="36"/>
        <v>0.2456137537551614</v>
      </c>
      <c r="J74" s="154">
        <f t="shared" si="36"/>
        <v>0.25225292163798246</v>
      </c>
      <c r="K74" s="154">
        <f t="shared" si="36"/>
        <v>0.2615308751147653</v>
      </c>
      <c r="L74" s="154">
        <f t="shared" si="36"/>
        <v>0.27154804975213287</v>
      </c>
      <c r="M74" s="155"/>
    </row>
    <row r="75" spans="1:13">
      <c r="A75" s="153" t="str">
        <f t="shared" si="15"/>
        <v>Current Tax</v>
      </c>
      <c r="B75" s="154">
        <f t="shared" ref="B75:L75" si="37">B28/B$7</f>
        <v>-3.991453958911087E-2</v>
      </c>
      <c r="C75" s="154">
        <f t="shared" si="37"/>
        <v>-4.9337348598416007E-2</v>
      </c>
      <c r="D75" s="154">
        <f t="shared" si="37"/>
        <v>-4.0186337579246008E-2</v>
      </c>
      <c r="E75" s="154">
        <f t="shared" si="37"/>
        <v>-5.2785951315534312E-2</v>
      </c>
      <c r="F75" s="154">
        <f t="shared" si="37"/>
        <v>-5.6321690320140748E-2</v>
      </c>
      <c r="G75" s="154">
        <f t="shared" si="37"/>
        <v>-5.2511975805129382E-2</v>
      </c>
      <c r="H75" s="154">
        <f t="shared" si="37"/>
        <v>-5.6395222062079683E-2</v>
      </c>
      <c r="I75" s="154">
        <f t="shared" si="37"/>
        <v>-5.7936986608576262E-2</v>
      </c>
      <c r="J75" s="154">
        <f t="shared" si="37"/>
        <v>-5.8784778544551761E-2</v>
      </c>
      <c r="K75" s="154">
        <f t="shared" si="37"/>
        <v>-6.1436983911005778E-2</v>
      </c>
      <c r="L75" s="154">
        <f t="shared" si="37"/>
        <v>-6.3708661073621345E-2</v>
      </c>
      <c r="M75" s="155"/>
    </row>
    <row r="76" spans="1:13">
      <c r="A76" s="153" t="str">
        <f t="shared" si="15"/>
        <v>Provision for Deferred tax</v>
      </c>
      <c r="B76" s="154">
        <f t="shared" ref="B76:L76" si="38">B29/B$7</f>
        <v>-1.4432056143528214E-3</v>
      </c>
      <c r="C76" s="154">
        <f t="shared" si="38"/>
        <v>-1.280197402459571E-2</v>
      </c>
      <c r="D76" s="154">
        <f t="shared" si="38"/>
        <v>1.6345401688246488E-4</v>
      </c>
      <c r="E76" s="154">
        <f t="shared" si="38"/>
        <v>0</v>
      </c>
      <c r="F76" s="154">
        <f t="shared" si="38"/>
        <v>0</v>
      </c>
      <c r="G76" s="154">
        <f t="shared" si="38"/>
        <v>0</v>
      </c>
      <c r="H76" s="154">
        <f t="shared" si="38"/>
        <v>0</v>
      </c>
      <c r="I76" s="154">
        <f t="shared" si="38"/>
        <v>0</v>
      </c>
      <c r="J76" s="154">
        <f t="shared" si="38"/>
        <v>0</v>
      </c>
      <c r="K76" s="154">
        <f t="shared" si="38"/>
        <v>0</v>
      </c>
      <c r="L76" s="154">
        <f t="shared" si="38"/>
        <v>0</v>
      </c>
      <c r="M76" s="155"/>
    </row>
    <row r="77" spans="1:13">
      <c r="A77" s="153" t="str">
        <f t="shared" si="15"/>
        <v>Other Tax</v>
      </c>
      <c r="B77" s="154">
        <f t="shared" ref="B77:L77" si="39">B30/B$7</f>
        <v>0</v>
      </c>
      <c r="C77" s="154">
        <f t="shared" si="39"/>
        <v>0</v>
      </c>
      <c r="D77" s="154">
        <f t="shared" si="39"/>
        <v>0</v>
      </c>
      <c r="E77" s="154">
        <f t="shared" si="39"/>
        <v>0</v>
      </c>
      <c r="F77" s="154">
        <f t="shared" si="39"/>
        <v>0</v>
      </c>
      <c r="G77" s="154">
        <f t="shared" si="39"/>
        <v>0</v>
      </c>
      <c r="H77" s="154">
        <f t="shared" si="39"/>
        <v>0</v>
      </c>
      <c r="I77" s="154">
        <f t="shared" si="39"/>
        <v>0</v>
      </c>
      <c r="J77" s="154">
        <f t="shared" si="39"/>
        <v>0</v>
      </c>
      <c r="K77" s="154">
        <f t="shared" si="39"/>
        <v>0</v>
      </c>
      <c r="L77" s="154">
        <f t="shared" si="39"/>
        <v>0</v>
      </c>
      <c r="M77" s="155"/>
    </row>
    <row r="78" spans="1:13">
      <c r="A78" s="156" t="str">
        <f t="shared" si="15"/>
        <v>Profit/Loss after Tax</v>
      </c>
      <c r="B78" s="154">
        <f t="shared" ref="B78:L78" si="40">B31/B$7</f>
        <v>0.15644631841077594</v>
      </c>
      <c r="C78" s="154">
        <f t="shared" si="40"/>
        <v>0.14817124132716009</v>
      </c>
      <c r="D78" s="154">
        <f t="shared" si="40"/>
        <v>0.1578849050215409</v>
      </c>
      <c r="E78" s="154">
        <f t="shared" si="40"/>
        <v>0.17126975277155873</v>
      </c>
      <c r="F78" s="154">
        <f t="shared" si="40"/>
        <v>0.17409961994805612</v>
      </c>
      <c r="G78" s="154">
        <f t="shared" si="40"/>
        <v>0.17839376240914551</v>
      </c>
      <c r="H78" s="154">
        <f t="shared" si="40"/>
        <v>0.18275690366083142</v>
      </c>
      <c r="I78" s="154">
        <f t="shared" si="40"/>
        <v>0.18767676714658513</v>
      </c>
      <c r="J78" s="154">
        <f t="shared" si="40"/>
        <v>0.19346814309343069</v>
      </c>
      <c r="K78" s="154">
        <f t="shared" si="40"/>
        <v>0.20009389120375951</v>
      </c>
      <c r="L78" s="154">
        <f t="shared" si="40"/>
        <v>0.20783938867851148</v>
      </c>
      <c r="M78" s="155"/>
    </row>
    <row r="79" spans="1:13">
      <c r="A79" s="153"/>
      <c r="B79" s="154"/>
      <c r="C79" s="154"/>
      <c r="D79" s="154"/>
      <c r="E79" s="154"/>
      <c r="F79" s="154"/>
      <c r="G79" s="154"/>
      <c r="H79" s="154"/>
      <c r="I79" s="154"/>
      <c r="J79" s="154"/>
      <c r="K79" s="154"/>
      <c r="L79" s="154"/>
      <c r="M79" s="155"/>
    </row>
    <row r="80" spans="1:13">
      <c r="A80" s="153" t="str">
        <f>A34</f>
        <v>Reassesment of defined benefit</v>
      </c>
      <c r="B80" s="154">
        <f t="shared" ref="B80:L80" si="41">B34/B$7</f>
        <v>0</v>
      </c>
      <c r="C80" s="154">
        <f t="shared" si="41"/>
        <v>3.051247694981361E-4</v>
      </c>
      <c r="D80" s="154">
        <f t="shared" si="41"/>
        <v>4.3198561604651433E-4</v>
      </c>
      <c r="E80" s="154">
        <f t="shared" si="41"/>
        <v>0</v>
      </c>
      <c r="F80" s="154">
        <f t="shared" si="41"/>
        <v>0</v>
      </c>
      <c r="G80" s="154">
        <f t="shared" si="41"/>
        <v>0</v>
      </c>
      <c r="H80" s="154">
        <f t="shared" si="41"/>
        <v>0</v>
      </c>
      <c r="I80" s="154">
        <f t="shared" si="41"/>
        <v>0</v>
      </c>
      <c r="J80" s="154">
        <f t="shared" si="41"/>
        <v>0</v>
      </c>
      <c r="K80" s="154">
        <f t="shared" si="41"/>
        <v>0</v>
      </c>
      <c r="L80" s="154">
        <f t="shared" si="41"/>
        <v>0</v>
      </c>
      <c r="M80" s="155"/>
    </row>
    <row r="81" spans="1:13">
      <c r="A81" s="153" t="str">
        <f>A35</f>
        <v>Income tax related income</v>
      </c>
      <c r="B81" s="154">
        <f t="shared" ref="B81:L81" si="42">B35/B$7</f>
        <v>-9.4798800158469633E-4</v>
      </c>
      <c r="C81" s="154">
        <f t="shared" si="42"/>
        <v>0</v>
      </c>
      <c r="D81" s="154">
        <f t="shared" si="42"/>
        <v>0</v>
      </c>
      <c r="E81" s="154">
        <f t="shared" si="42"/>
        <v>0</v>
      </c>
      <c r="F81" s="154">
        <f t="shared" si="42"/>
        <v>0</v>
      </c>
      <c r="G81" s="154">
        <f t="shared" si="42"/>
        <v>0</v>
      </c>
      <c r="H81" s="154">
        <f t="shared" si="42"/>
        <v>0</v>
      </c>
      <c r="I81" s="154">
        <f t="shared" si="42"/>
        <v>0</v>
      </c>
      <c r="J81" s="154">
        <f t="shared" si="42"/>
        <v>0</v>
      </c>
      <c r="K81" s="154">
        <f t="shared" si="42"/>
        <v>0</v>
      </c>
      <c r="L81" s="154">
        <f t="shared" si="42"/>
        <v>0</v>
      </c>
      <c r="M81" s="155"/>
    </row>
    <row r="82" spans="1:13">
      <c r="A82" s="153" t="str">
        <f>A36</f>
        <v>Foreign Currency translation reserve</v>
      </c>
      <c r="B82" s="154">
        <f t="shared" ref="B82:L82" si="43">B36/B$7</f>
        <v>1.4531099666081838E-2</v>
      </c>
      <c r="C82" s="154">
        <f t="shared" si="43"/>
        <v>2.9451173403733134E-3</v>
      </c>
      <c r="D82" s="154">
        <f t="shared" si="43"/>
        <v>5.3122555486801084E-3</v>
      </c>
      <c r="E82" s="154">
        <f t="shared" si="43"/>
        <v>0</v>
      </c>
      <c r="F82" s="154">
        <f t="shared" si="43"/>
        <v>0</v>
      </c>
      <c r="G82" s="154">
        <f t="shared" si="43"/>
        <v>0</v>
      </c>
      <c r="H82" s="154">
        <f t="shared" si="43"/>
        <v>0</v>
      </c>
      <c r="I82" s="154">
        <f t="shared" si="43"/>
        <v>0</v>
      </c>
      <c r="J82" s="154">
        <f t="shared" si="43"/>
        <v>0</v>
      </c>
      <c r="K82" s="154">
        <f t="shared" si="43"/>
        <v>0</v>
      </c>
      <c r="L82" s="154">
        <f t="shared" si="43"/>
        <v>0</v>
      </c>
      <c r="M82" s="155"/>
    </row>
    <row r="83" spans="1:13">
      <c r="A83" s="156" t="str">
        <f>A39</f>
        <v>Total Comprehensive Income for the year</v>
      </c>
      <c r="B83" s="154">
        <f t="shared" ref="B83:L83" si="44">B39/B$7</f>
        <v>0.163223725168374</v>
      </c>
      <c r="C83" s="154">
        <f t="shared" si="44"/>
        <v>0.15822709242627256</v>
      </c>
      <c r="D83" s="154">
        <f t="shared" si="44"/>
        <v>0.16672309722011419</v>
      </c>
      <c r="E83" s="154">
        <f t="shared" si="44"/>
        <v>0.17126975277155873</v>
      </c>
      <c r="F83" s="154">
        <f t="shared" si="44"/>
        <v>0.17409961994805612</v>
      </c>
      <c r="G83" s="154">
        <f t="shared" si="44"/>
        <v>0.17839376240914551</v>
      </c>
      <c r="H83" s="154">
        <f t="shared" si="44"/>
        <v>0.18275690366083142</v>
      </c>
      <c r="I83" s="154">
        <f t="shared" si="44"/>
        <v>0.18767676714658513</v>
      </c>
      <c r="J83" s="154">
        <f t="shared" si="44"/>
        <v>0.19346814309343069</v>
      </c>
      <c r="K83" s="154">
        <f t="shared" si="44"/>
        <v>0.20009389120375951</v>
      </c>
      <c r="L83" s="154">
        <f t="shared" si="44"/>
        <v>0.20783938867851148</v>
      </c>
      <c r="M83" s="155"/>
    </row>
    <row r="84" spans="1:13">
      <c r="A84" s="6"/>
      <c r="B84" s="6"/>
      <c r="C84" s="6"/>
      <c r="D84" s="6"/>
      <c r="E84" s="6"/>
      <c r="F84" s="6"/>
      <c r="G84" s="6"/>
      <c r="H84" s="6"/>
      <c r="I84" s="6"/>
      <c r="J84" s="6"/>
      <c r="K84" s="6"/>
      <c r="L84" s="6"/>
    </row>
    <row r="85" spans="1:13">
      <c r="A85" s="6"/>
      <c r="B85" s="6"/>
      <c r="C85" s="6"/>
      <c r="D85" s="6"/>
      <c r="E85" s="6"/>
      <c r="F85" s="6"/>
      <c r="G85" s="6"/>
      <c r="H85" s="6"/>
      <c r="I85" s="6"/>
      <c r="J85" s="6"/>
      <c r="K85" s="6"/>
      <c r="L85" s="6"/>
    </row>
    <row r="86" spans="1:13">
      <c r="A86" s="6"/>
      <c r="B86" s="6"/>
      <c r="C86" s="6"/>
      <c r="D86" s="6"/>
      <c r="E86" s="6"/>
      <c r="F86" s="6"/>
      <c r="G86" s="6"/>
      <c r="H86" s="6"/>
      <c r="I86" s="6"/>
      <c r="J86" s="6"/>
      <c r="K86" s="6"/>
      <c r="L86" s="6"/>
    </row>
    <row r="87" spans="1:13">
      <c r="A87" s="6"/>
      <c r="B87" s="6"/>
      <c r="C87" s="6"/>
      <c r="D87" s="6"/>
      <c r="E87" s="6"/>
      <c r="F87" s="6"/>
      <c r="G87" s="6"/>
      <c r="H87" s="6"/>
      <c r="I87" s="6"/>
      <c r="J87" s="6"/>
      <c r="K87" s="6"/>
      <c r="L87" s="6"/>
    </row>
    <row r="88" spans="1:13">
      <c r="A88" s="6"/>
      <c r="B88" s="6"/>
      <c r="C88" s="6"/>
      <c r="D88" s="6"/>
      <c r="E88" s="6"/>
      <c r="F88" s="6"/>
      <c r="G88" s="6"/>
      <c r="H88" s="6"/>
      <c r="I88" s="6"/>
      <c r="J88" s="6"/>
      <c r="K88" s="6"/>
      <c r="L88" s="6"/>
    </row>
    <row r="89" spans="1:13">
      <c r="A89" s="6"/>
      <c r="B89" s="6"/>
      <c r="C89" s="6"/>
      <c r="D89" s="6"/>
      <c r="E89" s="6"/>
      <c r="F89" s="6"/>
      <c r="G89" s="6"/>
      <c r="H89" s="6"/>
      <c r="I89" s="6"/>
      <c r="J89" s="6"/>
      <c r="K89" s="6"/>
      <c r="L89" s="6"/>
    </row>
    <row r="90" spans="1:13">
      <c r="A90" s="6"/>
      <c r="B90" s="6"/>
      <c r="C90" s="6"/>
      <c r="D90" s="6"/>
      <c r="E90" s="6"/>
      <c r="F90" s="6"/>
      <c r="G90" s="6"/>
      <c r="H90" s="6"/>
      <c r="I90" s="6"/>
      <c r="J90" s="6"/>
      <c r="K90" s="6"/>
      <c r="L90" s="6"/>
    </row>
    <row r="91" spans="1:13">
      <c r="A91" s="6"/>
      <c r="B91" s="6"/>
      <c r="C91" s="6"/>
      <c r="D91" s="6"/>
      <c r="E91" s="6"/>
      <c r="F91" s="6"/>
      <c r="G91" s="6"/>
      <c r="H91" s="6"/>
      <c r="I91" s="6"/>
      <c r="J91" s="6"/>
      <c r="K91" s="6"/>
      <c r="L91" s="6"/>
    </row>
    <row r="92" spans="1:13">
      <c r="A92" s="6"/>
      <c r="B92" s="6"/>
      <c r="C92" s="6"/>
      <c r="D92" s="6"/>
      <c r="E92" s="6"/>
      <c r="F92" s="6"/>
      <c r="G92" s="6"/>
      <c r="H92" s="6"/>
      <c r="I92" s="6"/>
      <c r="J92" s="6"/>
      <c r="K92" s="6"/>
      <c r="L92" s="6"/>
    </row>
    <row r="93" spans="1:13">
      <c r="A93" s="6"/>
      <c r="B93" s="6"/>
      <c r="C93" s="6"/>
      <c r="D93" s="6"/>
      <c r="E93" s="6"/>
      <c r="F93" s="6"/>
      <c r="G93" s="6"/>
      <c r="H93" s="6"/>
      <c r="I93" s="6"/>
      <c r="J93" s="6"/>
      <c r="K93" s="6"/>
      <c r="L93" s="6"/>
    </row>
    <row r="94" spans="1:13">
      <c r="A94" s="6"/>
      <c r="B94" s="6"/>
      <c r="C94" s="6"/>
      <c r="D94" s="6"/>
      <c r="E94" s="6"/>
      <c r="F94" s="6"/>
      <c r="G94" s="6"/>
      <c r="H94" s="6"/>
      <c r="I94" s="6"/>
      <c r="J94" s="6"/>
      <c r="K94" s="6"/>
      <c r="L94" s="6"/>
    </row>
    <row r="95" spans="1:13">
      <c r="A95" s="6"/>
      <c r="B95" s="6"/>
      <c r="C95" s="6"/>
      <c r="D95" s="6"/>
      <c r="E95" s="6"/>
      <c r="F95" s="6"/>
      <c r="G95" s="6"/>
      <c r="H95" s="6"/>
      <c r="I95" s="6"/>
      <c r="J95" s="6"/>
      <c r="K95" s="6"/>
      <c r="L95" s="6"/>
    </row>
    <row r="96" spans="1:13">
      <c r="A96" s="6"/>
      <c r="B96" s="6"/>
      <c r="C96" s="6"/>
      <c r="D96" s="6"/>
      <c r="E96" s="6"/>
      <c r="F96" s="6"/>
      <c r="G96" s="6"/>
      <c r="H96" s="6"/>
      <c r="I96" s="6"/>
      <c r="J96" s="6"/>
      <c r="K96" s="6"/>
      <c r="L96" s="6"/>
    </row>
    <row r="97" spans="1:12">
      <c r="A97" s="6"/>
      <c r="B97" s="6"/>
      <c r="C97" s="6"/>
      <c r="D97" s="6"/>
      <c r="E97" s="6"/>
      <c r="F97" s="6"/>
      <c r="G97" s="6"/>
      <c r="H97" s="6"/>
      <c r="I97" s="6"/>
      <c r="J97" s="6"/>
      <c r="K97" s="6"/>
      <c r="L97" s="6"/>
    </row>
    <row r="98" spans="1:12">
      <c r="A98" s="6"/>
      <c r="B98" s="6"/>
      <c r="C98" s="6"/>
      <c r="D98" s="6"/>
      <c r="E98" s="6"/>
      <c r="F98" s="6"/>
      <c r="G98" s="6"/>
      <c r="H98" s="6"/>
      <c r="I98" s="6"/>
      <c r="J98" s="6"/>
      <c r="K98" s="6"/>
      <c r="L98" s="6"/>
    </row>
    <row r="99" spans="1:12">
      <c r="A99" s="6"/>
      <c r="B99" s="6"/>
      <c r="C99" s="6"/>
      <c r="D99" s="6"/>
      <c r="E99" s="6"/>
      <c r="F99" s="6"/>
      <c r="G99" s="6"/>
      <c r="H99" s="6"/>
      <c r="I99" s="6"/>
      <c r="J99" s="6"/>
      <c r="K99" s="6"/>
      <c r="L99" s="6"/>
    </row>
    <row r="100" spans="1:12">
      <c r="A100" s="6"/>
      <c r="B100" s="6"/>
      <c r="C100" s="6"/>
      <c r="D100" s="6"/>
      <c r="E100" s="6"/>
      <c r="F100" s="6"/>
      <c r="G100" s="6"/>
      <c r="H100" s="6"/>
      <c r="I100" s="6"/>
      <c r="J100" s="6"/>
      <c r="K100" s="6"/>
      <c r="L100" s="6"/>
    </row>
    <row r="101" spans="1:12">
      <c r="A101" s="6"/>
      <c r="B101" s="6"/>
      <c r="C101" s="6"/>
      <c r="D101" s="6"/>
      <c r="E101" s="6"/>
      <c r="F101" s="6"/>
      <c r="G101" s="6"/>
      <c r="H101" s="6"/>
      <c r="I101" s="6"/>
      <c r="J101" s="6"/>
      <c r="K101" s="6"/>
      <c r="L101" s="6"/>
    </row>
    <row r="102" spans="1:12">
      <c r="A102" s="6"/>
      <c r="B102" s="6"/>
      <c r="C102" s="6"/>
      <c r="D102" s="6"/>
      <c r="E102" s="6"/>
      <c r="F102" s="6"/>
      <c r="G102" s="6"/>
      <c r="H102" s="6"/>
      <c r="I102" s="6"/>
      <c r="J102" s="6"/>
      <c r="K102" s="6"/>
      <c r="L102" s="6"/>
    </row>
    <row r="103" spans="1:12">
      <c r="A103" s="6"/>
      <c r="B103" s="6"/>
      <c r="C103" s="6"/>
      <c r="D103" s="6"/>
      <c r="E103" s="6"/>
      <c r="F103" s="6"/>
      <c r="G103" s="6"/>
      <c r="H103" s="6"/>
      <c r="I103" s="6"/>
      <c r="J103" s="6"/>
      <c r="K103" s="6"/>
      <c r="L103" s="6"/>
    </row>
    <row r="104" spans="1:12">
      <c r="A104" s="6"/>
      <c r="B104" s="6"/>
      <c r="C104" s="6"/>
      <c r="D104" s="6"/>
      <c r="E104" s="6"/>
      <c r="F104" s="6"/>
      <c r="G104" s="6"/>
      <c r="H104" s="6"/>
      <c r="I104" s="6"/>
      <c r="J104" s="6"/>
      <c r="K104" s="6"/>
      <c r="L104" s="6"/>
    </row>
    <row r="105" spans="1:12">
      <c r="A105" s="6"/>
      <c r="B105" s="6"/>
      <c r="C105" s="6"/>
      <c r="D105" s="6"/>
      <c r="E105" s="6"/>
      <c r="F105" s="6"/>
      <c r="G105" s="6"/>
      <c r="H105" s="6"/>
      <c r="I105" s="6"/>
      <c r="J105" s="6"/>
      <c r="K105" s="6"/>
      <c r="L105" s="6"/>
    </row>
    <row r="106" spans="1:12">
      <c r="A106" s="6"/>
      <c r="B106" s="6"/>
      <c r="C106" s="6"/>
      <c r="D106" s="6"/>
      <c r="E106" s="6"/>
      <c r="F106" s="6"/>
      <c r="G106" s="6"/>
      <c r="H106" s="6"/>
      <c r="I106" s="6"/>
      <c r="J106" s="6"/>
      <c r="K106" s="6"/>
      <c r="L106" s="6"/>
    </row>
    <row r="107" spans="1:12">
      <c r="A107" s="6"/>
      <c r="B107" s="6"/>
      <c r="C107" s="6"/>
      <c r="D107" s="6"/>
      <c r="E107" s="6"/>
      <c r="F107" s="6"/>
      <c r="G107" s="6"/>
      <c r="H107" s="6"/>
      <c r="I107" s="6"/>
      <c r="J107" s="6"/>
      <c r="K107" s="6"/>
      <c r="L107" s="6"/>
    </row>
    <row r="108" spans="1:12">
      <c r="A108" s="6"/>
      <c r="B108" s="6"/>
      <c r="C108" s="6"/>
      <c r="D108" s="6"/>
      <c r="E108" s="6"/>
      <c r="F108" s="6"/>
      <c r="G108" s="6"/>
      <c r="H108" s="6"/>
      <c r="I108" s="6"/>
      <c r="J108" s="6"/>
      <c r="K108" s="6"/>
      <c r="L108" s="6"/>
    </row>
    <row r="109" spans="1:12">
      <c r="A109" s="6"/>
      <c r="B109" s="6"/>
      <c r="C109" s="6"/>
      <c r="D109" s="6"/>
      <c r="E109" s="6"/>
      <c r="F109" s="6"/>
      <c r="G109" s="6"/>
      <c r="H109" s="6"/>
      <c r="I109" s="6"/>
      <c r="J109" s="6"/>
      <c r="K109" s="6"/>
      <c r="L109" s="6"/>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N134"/>
  <sheetViews>
    <sheetView showGridLines="0" tabSelected="1" zoomScale="70" zoomScaleNormal="70" workbookViewId="0">
      <pane xSplit="1" ySplit="5" topLeftCell="B6" activePane="bottomRight" state="frozen"/>
      <selection activeCell="B16" sqref="B16"/>
      <selection pane="topRight" activeCell="B16" sqref="B16"/>
      <selection pane="bottomLeft" activeCell="B16" sqref="B16"/>
      <selection pane="bottomRight"/>
    </sheetView>
  </sheetViews>
  <sheetFormatPr baseColWidth="10" defaultColWidth="9.1640625" defaultRowHeight="21"/>
  <cols>
    <col min="1" max="1" width="61.5" style="54" bestFit="1" customWidth="1"/>
    <col min="2" max="4" width="15.5" style="54" bestFit="1" customWidth="1"/>
    <col min="5" max="12" width="18" style="54" bestFit="1" customWidth="1"/>
    <col min="13" max="13" width="1.83203125" style="54" customWidth="1"/>
    <col min="14" max="14" width="179.83203125" style="54" customWidth="1"/>
    <col min="15" max="24" width="9.5" style="54" customWidth="1"/>
    <col min="25" max="16384" width="9.1640625" style="54"/>
  </cols>
  <sheetData>
    <row r="1" spans="1:14" s="161" customFormat="1" ht="50.5" customHeight="1">
      <c r="A1" s="1" t="str">
        <f>Dashboard!A1</f>
        <v>Company Name: HCL Technologies Ltd</v>
      </c>
      <c r="B1" s="160"/>
      <c r="C1" s="160"/>
      <c r="D1" s="160"/>
      <c r="E1" s="160"/>
      <c r="F1" s="160"/>
      <c r="G1" s="160"/>
      <c r="H1" s="160"/>
      <c r="I1" s="160"/>
      <c r="J1" s="160"/>
      <c r="K1" s="160"/>
      <c r="L1" s="160"/>
      <c r="N1" s="2"/>
    </row>
    <row r="2" spans="1:14" s="161" customFormat="1" ht="31.25" customHeight="1">
      <c r="A2" s="4" t="s">
        <v>3</v>
      </c>
      <c r="B2" s="162"/>
      <c r="C2" s="162"/>
      <c r="D2" s="162"/>
      <c r="E2" s="162"/>
      <c r="F2" s="162"/>
      <c r="G2" s="162"/>
      <c r="H2" s="162"/>
      <c r="I2" s="162"/>
      <c r="J2" s="162"/>
      <c r="K2" s="162"/>
      <c r="L2" s="162"/>
      <c r="N2" s="162"/>
    </row>
    <row r="3" spans="1:14" s="161" customFormat="1" ht="14">
      <c r="A3" s="6" t="s">
        <v>150</v>
      </c>
      <c r="B3" s="163"/>
      <c r="C3" s="163"/>
      <c r="D3" s="163"/>
      <c r="E3" s="163"/>
      <c r="F3" s="163"/>
      <c r="G3" s="163"/>
      <c r="H3" s="163"/>
      <c r="I3" s="163"/>
      <c r="J3" s="163"/>
      <c r="K3" s="163"/>
      <c r="L3" s="163"/>
      <c r="M3" s="163"/>
      <c r="N3" s="163"/>
    </row>
    <row r="4" spans="1:14" s="161" customFormat="1" ht="14">
      <c r="A4" s="164"/>
      <c r="B4" s="163"/>
      <c r="C4" s="163"/>
      <c r="D4" s="163"/>
      <c r="E4" s="163"/>
      <c r="F4" s="163"/>
      <c r="G4" s="163"/>
      <c r="H4" s="163"/>
      <c r="I4" s="163"/>
      <c r="J4" s="163"/>
      <c r="K4" s="163"/>
      <c r="L4" s="163"/>
      <c r="M4" s="163"/>
      <c r="N4" s="163"/>
    </row>
    <row r="5" spans="1:14">
      <c r="A5" s="165" t="str">
        <f>Assumptions!A5</f>
        <v>Particular</v>
      </c>
      <c r="B5" s="165" t="str">
        <f>Assumptions!B5</f>
        <v>FY2020 A</v>
      </c>
      <c r="C5" s="165" t="str">
        <f>Assumptions!C5</f>
        <v>FY2021 A</v>
      </c>
      <c r="D5" s="165" t="str">
        <f>Assumptions!D5</f>
        <v>FY2022 A</v>
      </c>
      <c r="E5" s="165" t="str">
        <f>Assumptions!E5</f>
        <v>FY2023 E</v>
      </c>
      <c r="F5" s="165" t="str">
        <f>Assumptions!F5</f>
        <v>FY2024 E</v>
      </c>
      <c r="G5" s="165" t="str">
        <f>Assumptions!G5</f>
        <v>FY2025 E</v>
      </c>
      <c r="H5" s="165" t="str">
        <f>Assumptions!H5</f>
        <v>FY2026 E</v>
      </c>
      <c r="I5" s="165" t="str">
        <f>Assumptions!I5</f>
        <v>FY2027 E</v>
      </c>
      <c r="J5" s="165" t="str">
        <f>Assumptions!J5</f>
        <v>FY2028 E</v>
      </c>
      <c r="K5" s="165" t="str">
        <f>Assumptions!K5</f>
        <v>FY2029 E</v>
      </c>
      <c r="L5" s="165" t="str">
        <f>Assumptions!L5</f>
        <v>FY2030 E</v>
      </c>
      <c r="M5" s="60"/>
    </row>
    <row r="6" spans="1:14">
      <c r="A6" s="166" t="s">
        <v>175</v>
      </c>
      <c r="B6" s="59"/>
      <c r="C6" s="167"/>
      <c r="D6" s="167"/>
      <c r="E6" s="59"/>
      <c r="F6" s="59"/>
      <c r="G6" s="59"/>
      <c r="H6" s="59"/>
      <c r="I6" s="59"/>
      <c r="J6" s="59"/>
      <c r="K6" s="59"/>
      <c r="L6" s="59"/>
    </row>
    <row r="7" spans="1:14">
      <c r="A7" s="166"/>
      <c r="B7" s="59"/>
      <c r="C7" s="167"/>
      <c r="D7" s="167"/>
      <c r="E7" s="59"/>
      <c r="F7" s="59"/>
      <c r="G7" s="59"/>
      <c r="H7" s="59"/>
      <c r="I7" s="59"/>
      <c r="J7" s="59"/>
      <c r="K7" s="59"/>
      <c r="L7" s="59"/>
    </row>
    <row r="8" spans="1:14">
      <c r="A8" s="59" t="s">
        <v>42</v>
      </c>
      <c r="B8" s="168">
        <f>4848</f>
        <v>4848</v>
      </c>
      <c r="C8" s="168">
        <f>6521</f>
        <v>6521</v>
      </c>
      <c r="D8" s="168">
        <f>10510</f>
        <v>10510</v>
      </c>
      <c r="E8" s="167">
        <f>+CFS!E78</f>
        <v>48060.127344145672</v>
      </c>
      <c r="F8" s="167">
        <f>+CFS!F78</f>
        <v>36758.030203052767</v>
      </c>
      <c r="G8" s="167">
        <f>+CFS!G78</f>
        <v>66517.903958682844</v>
      </c>
      <c r="H8" s="167">
        <f>+CFS!H78</f>
        <v>58343.965298768213</v>
      </c>
      <c r="I8" s="167">
        <f>+CFS!I78</f>
        <v>87028.415132612383</v>
      </c>
      <c r="J8" s="167">
        <f>+CFS!J78</f>
        <v>84241.442583694894</v>
      </c>
      <c r="K8" s="167">
        <f>+CFS!K78</f>
        <v>116421.60502583857</v>
      </c>
      <c r="L8" s="167">
        <f>+CFS!L78</f>
        <v>117153.97743870207</v>
      </c>
      <c r="N8" s="169" t="s">
        <v>267</v>
      </c>
    </row>
    <row r="9" spans="1:14">
      <c r="A9" s="59" t="s">
        <v>43</v>
      </c>
      <c r="B9" s="168">
        <v>128</v>
      </c>
      <c r="C9" s="168">
        <f>2367</f>
        <v>2367</v>
      </c>
      <c r="D9" s="168">
        <f>2126</f>
        <v>2126</v>
      </c>
      <c r="E9" s="167">
        <f>+D9</f>
        <v>2126</v>
      </c>
      <c r="F9" s="167">
        <f t="shared" ref="F9:L9" si="0">+E9</f>
        <v>2126</v>
      </c>
      <c r="G9" s="167">
        <f t="shared" si="0"/>
        <v>2126</v>
      </c>
      <c r="H9" s="167">
        <f t="shared" si="0"/>
        <v>2126</v>
      </c>
      <c r="I9" s="167">
        <f t="shared" si="0"/>
        <v>2126</v>
      </c>
      <c r="J9" s="167">
        <f t="shared" si="0"/>
        <v>2126</v>
      </c>
      <c r="K9" s="167">
        <f t="shared" si="0"/>
        <v>2126</v>
      </c>
      <c r="L9" s="167">
        <f t="shared" si="0"/>
        <v>2126</v>
      </c>
    </row>
    <row r="10" spans="1:14">
      <c r="A10" s="59" t="s">
        <v>29</v>
      </c>
      <c r="B10" s="168">
        <v>6989</v>
      </c>
      <c r="C10" s="168">
        <f>6773</f>
        <v>6773</v>
      </c>
      <c r="D10" s="168">
        <f>6239</f>
        <v>6239</v>
      </c>
      <c r="E10" s="167">
        <f>+D10</f>
        <v>6239</v>
      </c>
      <c r="F10" s="167">
        <f t="shared" ref="F10:L10" si="1">+E10</f>
        <v>6239</v>
      </c>
      <c r="G10" s="167">
        <f t="shared" si="1"/>
        <v>6239</v>
      </c>
      <c r="H10" s="167">
        <f t="shared" si="1"/>
        <v>6239</v>
      </c>
      <c r="I10" s="167">
        <f t="shared" si="1"/>
        <v>6239</v>
      </c>
      <c r="J10" s="167">
        <f t="shared" si="1"/>
        <v>6239</v>
      </c>
      <c r="K10" s="167">
        <f t="shared" si="1"/>
        <v>6239</v>
      </c>
      <c r="L10" s="167">
        <f t="shared" si="1"/>
        <v>6239</v>
      </c>
    </row>
    <row r="11" spans="1:14">
      <c r="A11" s="59" t="s">
        <v>149</v>
      </c>
      <c r="B11" s="168">
        <v>14131</v>
      </c>
      <c r="C11" s="168">
        <f>13663+3862</f>
        <v>17525</v>
      </c>
      <c r="D11" s="168">
        <f>15476+5195</f>
        <v>20671</v>
      </c>
      <c r="E11" s="167">
        <f>+(2*('Income Statement'!E7/Assumptions!E20)-'Balance Sheet'!D11)</f>
        <v>8732.3649327565072</v>
      </c>
      <c r="F11" s="167">
        <f>+(2*('Income Statement'!F7/Assumptions!F20)-'Balance Sheet'!E11)</f>
        <v>31067.265005400433</v>
      </c>
      <c r="G11" s="167">
        <f>+(2*('Income Statement'!G7/Assumptions!G20)-'Balance Sheet'!F11)</f>
        <v>11969.950656108456</v>
      </c>
      <c r="H11" s="167">
        <f>+(2*('Income Statement'!H7/Assumptions!H20)-'Balance Sheet'!G11)</f>
        <v>33111.224525604172</v>
      </c>
      <c r="I11" s="167">
        <f>+(2*('Income Statement'!I7/Assumptions!I20)-'Balance Sheet'!H11)</f>
        <v>19062.038006854462</v>
      </c>
      <c r="J11" s="167">
        <f>+(2*('Income Statement'!J7/Assumptions!J20)-'Balance Sheet'!I11)</f>
        <v>38056.134885262771</v>
      </c>
      <c r="K11" s="167">
        <f>+(2*('Income Statement'!K7/Assumptions!K20)-'Balance Sheet'!J11)</f>
        <v>24719.900733577328</v>
      </c>
      <c r="L11" s="167">
        <f>+(2*('Income Statement'!L7/Assumptions!L20)-'Balance Sheet'!K11)</f>
        <v>45391.905433597458</v>
      </c>
    </row>
    <row r="12" spans="1:14">
      <c r="A12" s="59" t="s">
        <v>0</v>
      </c>
      <c r="B12" s="168">
        <v>91</v>
      </c>
      <c r="C12" s="168">
        <v>94</v>
      </c>
      <c r="D12" s="168">
        <v>161</v>
      </c>
      <c r="E12" s="167">
        <f>ABS('Income Statement'!E14/Assumptions!E21)</f>
        <v>98.599050600300671</v>
      </c>
      <c r="F12" s="167">
        <f>ABS('Income Statement'!F14/Assumptions!F21)</f>
        <v>106.21511550437445</v>
      </c>
      <c r="G12" s="167">
        <f>ABS('Income Statement'!G14/Assumptions!G21)</f>
        <v>120.653670299353</v>
      </c>
      <c r="H12" s="167">
        <f>ABS('Income Statement'!H14/Assumptions!H21)</f>
        <v>112.07165379474441</v>
      </c>
      <c r="I12" s="167">
        <f>ABS('Income Statement'!I14/Assumptions!I21)</f>
        <v>117.0947142523559</v>
      </c>
      <c r="J12" s="167">
        <f>ABS('Income Statement'!J14/Assumptions!J21)</f>
        <v>121.00831971722231</v>
      </c>
      <c r="K12" s="167">
        <f>ABS('Income Statement'!K14/Assumptions!K21)</f>
        <v>121.20482053233003</v>
      </c>
      <c r="L12" s="167">
        <f>ABS('Income Statement'!L14/Assumptions!L21)</f>
        <v>124.42397320889327</v>
      </c>
    </row>
    <row r="13" spans="1:14">
      <c r="A13" s="59" t="s">
        <v>44</v>
      </c>
      <c r="B13" s="168">
        <v>3422</v>
      </c>
      <c r="C13" s="168">
        <f>4841</f>
        <v>4841</v>
      </c>
      <c r="D13" s="168">
        <f>3008</f>
        <v>3008</v>
      </c>
      <c r="E13" s="167">
        <f>+D13</f>
        <v>3008</v>
      </c>
      <c r="F13" s="167">
        <f t="shared" ref="F13:L13" si="2">+E13</f>
        <v>3008</v>
      </c>
      <c r="G13" s="167">
        <f t="shared" si="2"/>
        <v>3008</v>
      </c>
      <c r="H13" s="167">
        <f t="shared" si="2"/>
        <v>3008</v>
      </c>
      <c r="I13" s="167">
        <f t="shared" si="2"/>
        <v>3008</v>
      </c>
      <c r="J13" s="167">
        <f t="shared" si="2"/>
        <v>3008</v>
      </c>
      <c r="K13" s="167">
        <f t="shared" si="2"/>
        <v>3008</v>
      </c>
      <c r="L13" s="167">
        <f t="shared" si="2"/>
        <v>3008</v>
      </c>
    </row>
    <row r="14" spans="1:14">
      <c r="A14" s="59" t="s">
        <v>145</v>
      </c>
      <c r="B14" s="168"/>
      <c r="C14" s="168"/>
      <c r="D14" s="168"/>
      <c r="E14" s="167"/>
      <c r="F14" s="167"/>
      <c r="G14" s="167"/>
      <c r="H14" s="167"/>
      <c r="I14" s="167"/>
      <c r="J14" s="167"/>
      <c r="K14" s="167"/>
      <c r="L14" s="167"/>
    </row>
    <row r="15" spans="1:14">
      <c r="A15" s="59" t="s">
        <v>199</v>
      </c>
      <c r="B15" s="168">
        <f>6464</f>
        <v>6464</v>
      </c>
      <c r="C15" s="168">
        <f>2027</f>
        <v>2027</v>
      </c>
      <c r="D15" s="168">
        <f>1520</f>
        <v>1520</v>
      </c>
      <c r="E15" s="167">
        <f>+D15</f>
        <v>1520</v>
      </c>
      <c r="F15" s="167">
        <f t="shared" ref="F15:L15" si="3">+E15</f>
        <v>1520</v>
      </c>
      <c r="G15" s="167">
        <f t="shared" si="3"/>
        <v>1520</v>
      </c>
      <c r="H15" s="167">
        <f t="shared" si="3"/>
        <v>1520</v>
      </c>
      <c r="I15" s="167">
        <f t="shared" si="3"/>
        <v>1520</v>
      </c>
      <c r="J15" s="167">
        <f t="shared" si="3"/>
        <v>1520</v>
      </c>
      <c r="K15" s="167">
        <f t="shared" si="3"/>
        <v>1520</v>
      </c>
      <c r="L15" s="167">
        <f t="shared" si="3"/>
        <v>1520</v>
      </c>
    </row>
    <row r="16" spans="1:14">
      <c r="A16" s="59" t="s">
        <v>226</v>
      </c>
      <c r="B16" s="168">
        <v>157</v>
      </c>
      <c r="C16" s="168">
        <v>131</v>
      </c>
      <c r="D16" s="168">
        <v>234</v>
      </c>
      <c r="E16" s="167">
        <f>+D16</f>
        <v>234</v>
      </c>
      <c r="F16" s="167">
        <f t="shared" ref="F16:L16" si="4">+E16</f>
        <v>234</v>
      </c>
      <c r="G16" s="167">
        <f t="shared" si="4"/>
        <v>234</v>
      </c>
      <c r="H16" s="167">
        <f t="shared" si="4"/>
        <v>234</v>
      </c>
      <c r="I16" s="167">
        <f t="shared" si="4"/>
        <v>234</v>
      </c>
      <c r="J16" s="167">
        <f t="shared" si="4"/>
        <v>234</v>
      </c>
      <c r="K16" s="167">
        <f t="shared" si="4"/>
        <v>234</v>
      </c>
      <c r="L16" s="167">
        <f t="shared" si="4"/>
        <v>234</v>
      </c>
    </row>
    <row r="17" spans="1:14">
      <c r="A17" s="59" t="s">
        <v>145</v>
      </c>
      <c r="B17" s="168">
        <v>2190</v>
      </c>
      <c r="C17" s="168">
        <v>2772</v>
      </c>
      <c r="D17" s="168">
        <v>3572</v>
      </c>
      <c r="E17" s="167">
        <f>+D17</f>
        <v>3572</v>
      </c>
      <c r="F17" s="167">
        <f t="shared" ref="F17:L17" si="5">+E17</f>
        <v>3572</v>
      </c>
      <c r="G17" s="167">
        <f t="shared" si="5"/>
        <v>3572</v>
      </c>
      <c r="H17" s="167">
        <f t="shared" si="5"/>
        <v>3572</v>
      </c>
      <c r="I17" s="167">
        <f t="shared" si="5"/>
        <v>3572</v>
      </c>
      <c r="J17" s="167">
        <f t="shared" si="5"/>
        <v>3572</v>
      </c>
      <c r="K17" s="167">
        <f t="shared" si="5"/>
        <v>3572</v>
      </c>
      <c r="L17" s="167">
        <f t="shared" si="5"/>
        <v>3572</v>
      </c>
    </row>
    <row r="18" spans="1:14">
      <c r="A18" s="166" t="s">
        <v>45</v>
      </c>
      <c r="B18" s="170">
        <f>SUM(B8:B17)</f>
        <v>38420</v>
      </c>
      <c r="C18" s="170">
        <f t="shared" ref="C18:L18" si="6">SUM(C8:C17)</f>
        <v>43051</v>
      </c>
      <c r="D18" s="170">
        <f t="shared" si="6"/>
        <v>48041</v>
      </c>
      <c r="E18" s="170">
        <f t="shared" si="6"/>
        <v>73590.09132750248</v>
      </c>
      <c r="F18" s="170">
        <f t="shared" si="6"/>
        <v>84630.510323957569</v>
      </c>
      <c r="G18" s="170">
        <f t="shared" si="6"/>
        <v>95307.508285090647</v>
      </c>
      <c r="H18" s="170">
        <f t="shared" si="6"/>
        <v>108266.26147816713</v>
      </c>
      <c r="I18" s="170">
        <f t="shared" si="6"/>
        <v>122906.5478537192</v>
      </c>
      <c r="J18" s="170">
        <f t="shared" si="6"/>
        <v>139117.58578867489</v>
      </c>
      <c r="K18" s="170">
        <f t="shared" si="6"/>
        <v>157961.71057994821</v>
      </c>
      <c r="L18" s="170">
        <f t="shared" si="6"/>
        <v>179369.30684550843</v>
      </c>
      <c r="M18" s="171"/>
    </row>
    <row r="19" spans="1:14">
      <c r="A19" s="166"/>
      <c r="B19" s="170"/>
      <c r="C19" s="170"/>
      <c r="D19" s="170"/>
      <c r="E19" s="170"/>
      <c r="F19" s="170"/>
      <c r="G19" s="170"/>
      <c r="H19" s="170"/>
      <c r="I19" s="170"/>
      <c r="J19" s="170"/>
      <c r="K19" s="170"/>
      <c r="L19" s="170"/>
      <c r="M19" s="171"/>
    </row>
    <row r="20" spans="1:14">
      <c r="A20" s="59" t="s">
        <v>68</v>
      </c>
      <c r="B20" s="168">
        <f>5494</f>
        <v>5494</v>
      </c>
      <c r="C20" s="168">
        <f>5642</f>
        <v>5642</v>
      </c>
      <c r="D20" s="168">
        <f>5612</f>
        <v>5612</v>
      </c>
      <c r="E20" s="167">
        <f>+Assumptions!E47</f>
        <v>5323.2288007602347</v>
      </c>
      <c r="F20" s="167">
        <f>+Assumptions!F47</f>
        <v>4977.9473463476133</v>
      </c>
      <c r="G20" s="167">
        <f>+Assumptions!G47</f>
        <v>4782.8758243402553</v>
      </c>
      <c r="H20" s="167">
        <f>+Assumptions!H47</f>
        <v>4452.9448488386788</v>
      </c>
      <c r="I20" s="167">
        <f>+Assumptions!I47</f>
        <v>4108.9013573789925</v>
      </c>
      <c r="J20" s="167">
        <f>+Assumptions!J47</f>
        <v>3772.1944334735381</v>
      </c>
      <c r="K20" s="167">
        <f>+Assumptions!K47</f>
        <v>3371.1293335075243</v>
      </c>
      <c r="L20" s="167">
        <f>+Assumptions!L47</f>
        <v>2942.8946553320457</v>
      </c>
      <c r="M20" s="172">
        <f>+Assumptions!M47</f>
        <v>0</v>
      </c>
    </row>
    <row r="21" spans="1:14">
      <c r="A21" s="59" t="s">
        <v>224</v>
      </c>
      <c r="B21" s="168">
        <v>2648</v>
      </c>
      <c r="C21" s="168">
        <v>2410</v>
      </c>
      <c r="D21" s="168">
        <v>2305</v>
      </c>
      <c r="E21" s="167">
        <f>+D21*93%</f>
        <v>2143.65</v>
      </c>
      <c r="F21" s="167">
        <f t="shared" ref="F21:M21" si="7">+E21*93%</f>
        <v>1993.5945000000002</v>
      </c>
      <c r="G21" s="167">
        <f t="shared" si="7"/>
        <v>1854.0428850000003</v>
      </c>
      <c r="H21" s="167">
        <f t="shared" si="7"/>
        <v>1724.2598830500003</v>
      </c>
      <c r="I21" s="167">
        <f t="shared" si="7"/>
        <v>1603.5616912365003</v>
      </c>
      <c r="J21" s="167">
        <f t="shared" si="7"/>
        <v>1491.3123728499454</v>
      </c>
      <c r="K21" s="167">
        <f t="shared" si="7"/>
        <v>1386.9205067504492</v>
      </c>
      <c r="L21" s="167">
        <f t="shared" si="7"/>
        <v>1289.8360712779179</v>
      </c>
      <c r="M21" s="172">
        <f t="shared" si="7"/>
        <v>1199.5475462884638</v>
      </c>
      <c r="N21" s="54" t="s">
        <v>291</v>
      </c>
    </row>
    <row r="22" spans="1:14">
      <c r="A22" s="59" t="s">
        <v>46</v>
      </c>
      <c r="B22" s="168">
        <v>13194</v>
      </c>
      <c r="C22" s="168">
        <f>11901</f>
        <v>11901</v>
      </c>
      <c r="D22" s="168">
        <f>9743</f>
        <v>9743</v>
      </c>
      <c r="E22" s="167">
        <f>+Assumptions!E64</f>
        <v>9024.3881736921103</v>
      </c>
      <c r="F22" s="167">
        <f>+Assumptions!F64</f>
        <v>8410.1598433248655</v>
      </c>
      <c r="G22" s="167">
        <f>+Assumptions!G64</f>
        <v>7983.3148892461322</v>
      </c>
      <c r="H22" s="167">
        <f>+Assumptions!H64</f>
        <v>7251.3617907383377</v>
      </c>
      <c r="I22" s="167">
        <f>+Assumptions!I64</f>
        <v>6533.5738950366358</v>
      </c>
      <c r="J22" s="167">
        <f>+Assumptions!J64</f>
        <v>5780.2389979322616</v>
      </c>
      <c r="K22" s="167">
        <f>+Assumptions!K64</f>
        <v>4881.3079514255442</v>
      </c>
      <c r="L22" s="167">
        <f>+Assumptions!L64</f>
        <v>3920.6783522928527</v>
      </c>
    </row>
    <row r="23" spans="1:14">
      <c r="A23" s="59" t="s">
        <v>47</v>
      </c>
      <c r="B23" s="168">
        <v>400</v>
      </c>
      <c r="C23" s="168">
        <v>312</v>
      </c>
      <c r="D23" s="168">
        <v>129</v>
      </c>
      <c r="E23" s="167">
        <f>+D23</f>
        <v>129</v>
      </c>
      <c r="F23" s="167">
        <f t="shared" ref="F23:L23" si="8">+E23</f>
        <v>129</v>
      </c>
      <c r="G23" s="167">
        <f t="shared" si="8"/>
        <v>129</v>
      </c>
      <c r="H23" s="167">
        <f t="shared" si="8"/>
        <v>129</v>
      </c>
      <c r="I23" s="167">
        <f t="shared" si="8"/>
        <v>129</v>
      </c>
      <c r="J23" s="167">
        <f t="shared" si="8"/>
        <v>129</v>
      </c>
      <c r="K23" s="167">
        <f t="shared" si="8"/>
        <v>129</v>
      </c>
      <c r="L23" s="167">
        <f t="shared" si="8"/>
        <v>129</v>
      </c>
      <c r="N23" s="54" t="s">
        <v>257</v>
      </c>
    </row>
    <row r="24" spans="1:14">
      <c r="A24" s="59" t="s">
        <v>176</v>
      </c>
      <c r="B24" s="168">
        <v>0</v>
      </c>
      <c r="C24" s="168">
        <v>0</v>
      </c>
      <c r="D24" s="168">
        <v>0</v>
      </c>
      <c r="E24" s="167">
        <v>0</v>
      </c>
      <c r="F24" s="167">
        <v>0</v>
      </c>
      <c r="G24" s="167">
        <v>0</v>
      </c>
      <c r="H24" s="167">
        <v>0</v>
      </c>
      <c r="I24" s="167">
        <v>0</v>
      </c>
      <c r="J24" s="167">
        <v>0</v>
      </c>
      <c r="K24" s="167">
        <v>0</v>
      </c>
      <c r="L24" s="167">
        <v>0</v>
      </c>
    </row>
    <row r="25" spans="1:14">
      <c r="A25" s="59" t="s">
        <v>289</v>
      </c>
      <c r="B25" s="168">
        <v>16154</v>
      </c>
      <c r="C25" s="168">
        <f>17192</f>
        <v>17192</v>
      </c>
      <c r="D25" s="168">
        <v>17417</v>
      </c>
      <c r="E25" s="167">
        <v>0</v>
      </c>
      <c r="F25" s="167">
        <v>0</v>
      </c>
      <c r="G25" s="167">
        <v>0</v>
      </c>
      <c r="H25" s="167">
        <v>0</v>
      </c>
      <c r="I25" s="167">
        <v>0</v>
      </c>
      <c r="J25" s="167">
        <v>0</v>
      </c>
      <c r="K25" s="167">
        <v>0</v>
      </c>
      <c r="L25" s="167">
        <v>0</v>
      </c>
      <c r="N25" s="54" t="s">
        <v>288</v>
      </c>
    </row>
    <row r="26" spans="1:14">
      <c r="A26" s="59" t="s">
        <v>48</v>
      </c>
      <c r="B26" s="168">
        <v>2317</v>
      </c>
      <c r="C26" s="168">
        <v>1181</v>
      </c>
      <c r="D26" s="168">
        <v>1176</v>
      </c>
      <c r="E26" s="167">
        <f>AVERAGE(B26:D26)</f>
        <v>1558</v>
      </c>
      <c r="F26" s="167">
        <f t="shared" ref="F26:L26" si="9">AVERAGE(C26:E26)</f>
        <v>1305</v>
      </c>
      <c r="G26" s="167">
        <f t="shared" si="9"/>
        <v>1346.3333333333333</v>
      </c>
      <c r="H26" s="167">
        <f t="shared" si="9"/>
        <v>1403.1111111111111</v>
      </c>
      <c r="I26" s="167">
        <f t="shared" si="9"/>
        <v>1351.4814814814815</v>
      </c>
      <c r="J26" s="167">
        <f t="shared" si="9"/>
        <v>1366.9753086419753</v>
      </c>
      <c r="K26" s="167">
        <f t="shared" si="9"/>
        <v>1373.8559670781895</v>
      </c>
      <c r="L26" s="167">
        <f t="shared" si="9"/>
        <v>1364.1042524005488</v>
      </c>
    </row>
    <row r="27" spans="1:14">
      <c r="A27" s="59" t="s">
        <v>225</v>
      </c>
      <c r="B27" s="168">
        <v>77</v>
      </c>
      <c r="C27" s="168">
        <v>89</v>
      </c>
      <c r="D27" s="168">
        <f>103+9</f>
        <v>112</v>
      </c>
      <c r="E27" s="167">
        <f>+D27</f>
        <v>112</v>
      </c>
      <c r="F27" s="167">
        <f t="shared" ref="F27:L27" si="10">+E27</f>
        <v>112</v>
      </c>
      <c r="G27" s="167">
        <f t="shared" si="10"/>
        <v>112</v>
      </c>
      <c r="H27" s="167">
        <f t="shared" si="10"/>
        <v>112</v>
      </c>
      <c r="I27" s="167">
        <f t="shared" si="10"/>
        <v>112</v>
      </c>
      <c r="J27" s="167">
        <f t="shared" si="10"/>
        <v>112</v>
      </c>
      <c r="K27" s="167">
        <f t="shared" si="10"/>
        <v>112</v>
      </c>
      <c r="L27" s="167">
        <f t="shared" si="10"/>
        <v>112</v>
      </c>
    </row>
    <row r="28" spans="1:14">
      <c r="A28" s="59" t="s">
        <v>49</v>
      </c>
      <c r="B28" s="168">
        <v>0</v>
      </c>
      <c r="C28" s="168">
        <v>1110</v>
      </c>
      <c r="D28" s="168">
        <f>1072+200</f>
        <v>1272</v>
      </c>
      <c r="E28" s="167">
        <f>+D28</f>
        <v>1272</v>
      </c>
      <c r="F28" s="167">
        <f t="shared" ref="F28:L28" si="11">+E28</f>
        <v>1272</v>
      </c>
      <c r="G28" s="167">
        <f t="shared" si="11"/>
        <v>1272</v>
      </c>
      <c r="H28" s="167">
        <f t="shared" si="11"/>
        <v>1272</v>
      </c>
      <c r="I28" s="167">
        <f t="shared" si="11"/>
        <v>1272</v>
      </c>
      <c r="J28" s="167">
        <f t="shared" si="11"/>
        <v>1272</v>
      </c>
      <c r="K28" s="167">
        <f t="shared" si="11"/>
        <v>1272</v>
      </c>
      <c r="L28" s="167">
        <f t="shared" si="11"/>
        <v>1272</v>
      </c>
    </row>
    <row r="29" spans="1:14">
      <c r="A29" s="59" t="s">
        <v>200</v>
      </c>
      <c r="B29" s="168">
        <v>0</v>
      </c>
      <c r="C29" s="168">
        <v>0</v>
      </c>
      <c r="D29" s="168">
        <v>0</v>
      </c>
      <c r="E29" s="173">
        <v>0</v>
      </c>
      <c r="F29" s="173">
        <v>0</v>
      </c>
      <c r="G29" s="173">
        <v>0</v>
      </c>
      <c r="H29" s="173">
        <v>0</v>
      </c>
      <c r="I29" s="173">
        <v>0</v>
      </c>
      <c r="J29" s="173">
        <v>0</v>
      </c>
      <c r="K29" s="173">
        <v>0</v>
      </c>
      <c r="L29" s="173">
        <v>0</v>
      </c>
    </row>
    <row r="30" spans="1:14">
      <c r="A30" s="59" t="s">
        <v>199</v>
      </c>
      <c r="B30" s="168">
        <v>2373</v>
      </c>
      <c r="C30" s="168">
        <v>1459</v>
      </c>
      <c r="D30" s="168">
        <f>1220</f>
        <v>1220</v>
      </c>
      <c r="E30" s="167">
        <f>AVERAGE(B30:D30)</f>
        <v>1684</v>
      </c>
      <c r="F30" s="167">
        <f t="shared" ref="F30:L30" si="12">AVERAGE(C30:E30)</f>
        <v>1454.3333333333333</v>
      </c>
      <c r="G30" s="167">
        <f t="shared" si="12"/>
        <v>1452.7777777777776</v>
      </c>
      <c r="H30" s="167">
        <f t="shared" si="12"/>
        <v>1530.3703703703702</v>
      </c>
      <c r="I30" s="167">
        <f t="shared" si="12"/>
        <v>1479.1604938271603</v>
      </c>
      <c r="J30" s="167">
        <f t="shared" si="12"/>
        <v>1487.4362139917694</v>
      </c>
      <c r="K30" s="167">
        <f t="shared" si="12"/>
        <v>1498.9890260631</v>
      </c>
      <c r="L30" s="167">
        <f t="shared" si="12"/>
        <v>1488.5285779606766</v>
      </c>
      <c r="M30" s="174"/>
    </row>
    <row r="31" spans="1:14">
      <c r="A31" s="59" t="s">
        <v>201</v>
      </c>
      <c r="B31" s="168">
        <v>1829</v>
      </c>
      <c r="C31" s="168">
        <v>1847</v>
      </c>
      <c r="D31" s="168">
        <v>2006</v>
      </c>
      <c r="E31" s="167">
        <f>AVERAGE(B31:D31)</f>
        <v>1894</v>
      </c>
      <c r="F31" s="167">
        <f t="shared" ref="F31:L31" si="13">AVERAGE(C31:E31)</f>
        <v>1915.6666666666667</v>
      </c>
      <c r="G31" s="167">
        <f t="shared" si="13"/>
        <v>1938.5555555555557</v>
      </c>
      <c r="H31" s="167">
        <f t="shared" si="13"/>
        <v>1916.0740740740741</v>
      </c>
      <c r="I31" s="167">
        <f t="shared" si="13"/>
        <v>1923.4320987654321</v>
      </c>
      <c r="J31" s="167">
        <f t="shared" si="13"/>
        <v>1926.0205761316872</v>
      </c>
      <c r="K31" s="167">
        <f t="shared" si="13"/>
        <v>1921.8422496570645</v>
      </c>
      <c r="L31" s="167">
        <f t="shared" si="13"/>
        <v>1923.7649748513948</v>
      </c>
      <c r="M31" s="172">
        <f t="shared" ref="M31" si="14">AVERAGE(J31:L31)</f>
        <v>1923.8759335467155</v>
      </c>
    </row>
    <row r="32" spans="1:14">
      <c r="A32" s="59" t="s">
        <v>177</v>
      </c>
      <c r="B32" s="168"/>
      <c r="C32" s="168"/>
      <c r="D32" s="168"/>
      <c r="E32" s="59"/>
      <c r="F32" s="59"/>
      <c r="G32" s="59"/>
      <c r="H32" s="59"/>
      <c r="I32" s="59"/>
      <c r="J32" s="59"/>
      <c r="K32" s="59"/>
      <c r="L32" s="59"/>
    </row>
    <row r="33" spans="1:14">
      <c r="A33" s="166" t="s">
        <v>173</v>
      </c>
      <c r="B33" s="166">
        <f t="shared" ref="B33:D33" si="15">SUM(B20:B32)</f>
        <v>44486</v>
      </c>
      <c r="C33" s="166">
        <f t="shared" si="15"/>
        <v>43143</v>
      </c>
      <c r="D33" s="166">
        <f t="shared" si="15"/>
        <v>40992</v>
      </c>
      <c r="E33" s="166">
        <f t="shared" ref="E33:L33" si="16">SUM(E20:E32)</f>
        <v>23140.266974452345</v>
      </c>
      <c r="F33" s="166">
        <f t="shared" si="16"/>
        <v>21569.701689672478</v>
      </c>
      <c r="G33" s="166">
        <f t="shared" si="16"/>
        <v>20870.900265253054</v>
      </c>
      <c r="H33" s="166">
        <f t="shared" si="16"/>
        <v>19791.122078182572</v>
      </c>
      <c r="I33" s="166">
        <f t="shared" si="16"/>
        <v>18513.111017726202</v>
      </c>
      <c r="J33" s="166">
        <f t="shared" si="16"/>
        <v>17337.177903021176</v>
      </c>
      <c r="K33" s="166">
        <f t="shared" si="16"/>
        <v>15947.045034481869</v>
      </c>
      <c r="L33" s="166">
        <f t="shared" si="16"/>
        <v>14442.806884115436</v>
      </c>
    </row>
    <row r="34" spans="1:14">
      <c r="A34" s="166" t="s">
        <v>50</v>
      </c>
      <c r="B34" s="166">
        <f t="shared" ref="B34:D34" si="17">B18+B33</f>
        <v>82906</v>
      </c>
      <c r="C34" s="166">
        <f t="shared" si="17"/>
        <v>86194</v>
      </c>
      <c r="D34" s="166">
        <f t="shared" si="17"/>
        <v>89033</v>
      </c>
      <c r="E34" s="166">
        <f t="shared" ref="E34:L34" si="18">E18+E33</f>
        <v>96730.358301954824</v>
      </c>
      <c r="F34" s="166">
        <f t="shared" si="18"/>
        <v>106200.21201363005</v>
      </c>
      <c r="G34" s="166">
        <f t="shared" si="18"/>
        <v>116178.40855034371</v>
      </c>
      <c r="H34" s="166">
        <f t="shared" si="18"/>
        <v>128057.3835563497</v>
      </c>
      <c r="I34" s="166">
        <f t="shared" si="18"/>
        <v>141419.6588714454</v>
      </c>
      <c r="J34" s="166">
        <f t="shared" si="18"/>
        <v>156454.76369169605</v>
      </c>
      <c r="K34" s="166">
        <f t="shared" si="18"/>
        <v>173908.75561443009</v>
      </c>
      <c r="L34" s="166">
        <f t="shared" si="18"/>
        <v>193812.11372962387</v>
      </c>
    </row>
    <row r="35" spans="1:14">
      <c r="A35" s="59"/>
      <c r="B35" s="166"/>
      <c r="C35" s="166"/>
      <c r="D35" s="166"/>
      <c r="E35" s="59"/>
      <c r="F35" s="59"/>
      <c r="G35" s="59"/>
      <c r="H35" s="59"/>
      <c r="I35" s="59"/>
      <c r="J35" s="59"/>
      <c r="K35" s="59"/>
      <c r="L35" s="59"/>
    </row>
    <row r="36" spans="1:14">
      <c r="A36" s="166" t="s">
        <v>67</v>
      </c>
      <c r="B36" s="59"/>
      <c r="C36" s="59"/>
      <c r="D36" s="59"/>
      <c r="E36" s="59"/>
      <c r="F36" s="59"/>
      <c r="G36" s="59"/>
      <c r="H36" s="59"/>
      <c r="I36" s="59"/>
      <c r="J36" s="59"/>
      <c r="K36" s="59"/>
      <c r="L36" s="59"/>
    </row>
    <row r="37" spans="1:14">
      <c r="A37" s="166"/>
      <c r="B37" s="59"/>
      <c r="C37" s="59"/>
      <c r="D37" s="59"/>
      <c r="E37" s="59"/>
      <c r="F37" s="59"/>
      <c r="G37" s="59"/>
      <c r="H37" s="59"/>
      <c r="I37" s="59"/>
      <c r="J37" s="59"/>
      <c r="K37" s="59"/>
      <c r="L37" s="59"/>
    </row>
    <row r="38" spans="1:14">
      <c r="A38" s="59" t="s">
        <v>51</v>
      </c>
      <c r="B38" s="168">
        <v>1166</v>
      </c>
      <c r="C38" s="168">
        <f>1726+3731</f>
        <v>5457</v>
      </c>
      <c r="D38" s="168">
        <f>2297+3981</f>
        <v>6278</v>
      </c>
      <c r="E38" s="167">
        <f>ABS('Income Statement'!E14/Assumptions!E22)</f>
        <v>5366.6529349020466</v>
      </c>
      <c r="F38" s="167">
        <f>ABS('Income Statement'!F14/Assumptions!F22)</f>
        <v>5472.4000092176084</v>
      </c>
      <c r="G38" s="167">
        <f>ABS('Income Statement'!G14/Assumptions!G22)</f>
        <v>5893.6084829771544</v>
      </c>
      <c r="H38" s="167">
        <f>ABS('Income Statement'!H14/Assumptions!H22)</f>
        <v>5788.488322975938</v>
      </c>
      <c r="I38" s="167">
        <f>ABS('Income Statement'!I14/Assumptions!I22)</f>
        <v>5936.7845272883169</v>
      </c>
      <c r="J38" s="167">
        <f>ABS('Income Statement'!J14/Assumptions!J22)</f>
        <v>6100.989341555688</v>
      </c>
      <c r="K38" s="167">
        <f>ABS('Income Statement'!K14/Assumptions!K22)</f>
        <v>6172.4421341160196</v>
      </c>
      <c r="L38" s="167">
        <f>ABS('Income Statement'!L14/Assumptions!L22)</f>
        <v>6306.0704418087917</v>
      </c>
      <c r="N38" s="54" t="s">
        <v>261</v>
      </c>
    </row>
    <row r="39" spans="1:14">
      <c r="A39" s="59" t="s">
        <v>52</v>
      </c>
      <c r="B39" s="168">
        <v>1845</v>
      </c>
      <c r="C39" s="168">
        <v>79</v>
      </c>
      <c r="D39" s="168">
        <v>62</v>
      </c>
      <c r="E39" s="167">
        <f>+D39</f>
        <v>62</v>
      </c>
      <c r="F39" s="167">
        <f t="shared" ref="F39:L39" si="19">+E39</f>
        <v>62</v>
      </c>
      <c r="G39" s="167">
        <f t="shared" si="19"/>
        <v>62</v>
      </c>
      <c r="H39" s="167">
        <f t="shared" si="19"/>
        <v>62</v>
      </c>
      <c r="I39" s="167">
        <f t="shared" si="19"/>
        <v>62</v>
      </c>
      <c r="J39" s="167">
        <f t="shared" si="19"/>
        <v>62</v>
      </c>
      <c r="K39" s="167">
        <f t="shared" si="19"/>
        <v>62</v>
      </c>
      <c r="L39" s="167">
        <f t="shared" si="19"/>
        <v>62</v>
      </c>
      <c r="N39" s="54" t="s">
        <v>263</v>
      </c>
    </row>
    <row r="40" spans="1:14">
      <c r="A40" s="59" t="s">
        <v>228</v>
      </c>
      <c r="B40" s="168">
        <v>715</v>
      </c>
      <c r="C40" s="168">
        <v>691</v>
      </c>
      <c r="D40" s="168">
        <v>699</v>
      </c>
      <c r="E40" s="167">
        <f>+D40*97%</f>
        <v>678.03</v>
      </c>
      <c r="F40" s="167">
        <f t="shared" ref="F40:L40" si="20">+E40*97%</f>
        <v>657.68909999999994</v>
      </c>
      <c r="G40" s="167">
        <f t="shared" si="20"/>
        <v>637.95842699999992</v>
      </c>
      <c r="H40" s="167">
        <f t="shared" si="20"/>
        <v>618.81967418999989</v>
      </c>
      <c r="I40" s="167">
        <f t="shared" si="20"/>
        <v>600.25508396429984</v>
      </c>
      <c r="J40" s="167">
        <f t="shared" si="20"/>
        <v>582.24743144537081</v>
      </c>
      <c r="K40" s="167">
        <f t="shared" si="20"/>
        <v>564.78000850200965</v>
      </c>
      <c r="L40" s="167">
        <f t="shared" si="20"/>
        <v>547.83660824694937</v>
      </c>
      <c r="N40" s="54" t="s">
        <v>292</v>
      </c>
    </row>
    <row r="41" spans="1:14">
      <c r="A41" s="59" t="s">
        <v>53</v>
      </c>
      <c r="B41" s="168">
        <f>14340+3889</f>
        <v>18229</v>
      </c>
      <c r="C41" s="168">
        <f>4611+3078+1221</f>
        <v>8910</v>
      </c>
      <c r="D41" s="168">
        <f>4796+3380+1267</f>
        <v>9443</v>
      </c>
      <c r="E41" s="167">
        <f>ABS('Income Statement'!E14/Assumptions!E27)</f>
        <v>8459.4198484033805</v>
      </c>
      <c r="F41" s="167">
        <f>ABS('Income Statement'!F14/Assumptions!F27)</f>
        <v>8626.108268583841</v>
      </c>
      <c r="G41" s="167">
        <f>ABS('Income Statement'!G14/Assumptions!G27)</f>
        <v>9160.3190164793123</v>
      </c>
      <c r="H41" s="167">
        <f>ABS('Income Statement'!H14/Assumptions!H27)</f>
        <v>9083.0482034374545</v>
      </c>
      <c r="I41" s="167">
        <f>ABS('Income Statement'!I14/Assumptions!I27)</f>
        <v>9301.3664281762176</v>
      </c>
      <c r="J41" s="167">
        <f>ABS('Income Statement'!J14/Assumptions!J27)</f>
        <v>9538.7129212625914</v>
      </c>
      <c r="K41" s="167">
        <f>ABS('Income Statement'!K14/Assumptions!K27)</f>
        <v>9668.9094770416286</v>
      </c>
      <c r="L41" s="167">
        <f>ABS('Income Statement'!L14/Assumptions!L27)</f>
        <v>9872.5339582574052</v>
      </c>
      <c r="N41" s="54" t="s">
        <v>262</v>
      </c>
    </row>
    <row r="42" spans="1:14">
      <c r="A42" s="59" t="s">
        <v>54</v>
      </c>
      <c r="B42" s="168">
        <v>706</v>
      </c>
      <c r="C42" s="168">
        <v>963</v>
      </c>
      <c r="D42" s="168">
        <v>955</v>
      </c>
      <c r="E42" s="167">
        <f>+D42</f>
        <v>955</v>
      </c>
      <c r="F42" s="167">
        <f t="shared" ref="F42:L42" si="21">+E42</f>
        <v>955</v>
      </c>
      <c r="G42" s="167">
        <f t="shared" si="21"/>
        <v>955</v>
      </c>
      <c r="H42" s="167">
        <f t="shared" si="21"/>
        <v>955</v>
      </c>
      <c r="I42" s="167">
        <f t="shared" si="21"/>
        <v>955</v>
      </c>
      <c r="J42" s="167">
        <f t="shared" si="21"/>
        <v>955</v>
      </c>
      <c r="K42" s="167">
        <f t="shared" si="21"/>
        <v>955</v>
      </c>
      <c r="L42" s="167">
        <f t="shared" si="21"/>
        <v>955</v>
      </c>
      <c r="N42" s="54" t="s">
        <v>263</v>
      </c>
    </row>
    <row r="43" spans="1:14">
      <c r="A43" s="59" t="s">
        <v>202</v>
      </c>
      <c r="B43" s="168">
        <v>1069</v>
      </c>
      <c r="C43" s="168">
        <v>1283</v>
      </c>
      <c r="D43" s="168">
        <v>1338</v>
      </c>
      <c r="E43" s="167">
        <f>+D43</f>
        <v>1338</v>
      </c>
      <c r="F43" s="167">
        <f t="shared" ref="F43:L43" si="22">+E43</f>
        <v>1338</v>
      </c>
      <c r="G43" s="167">
        <f t="shared" si="22"/>
        <v>1338</v>
      </c>
      <c r="H43" s="167">
        <f t="shared" si="22"/>
        <v>1338</v>
      </c>
      <c r="I43" s="167">
        <f t="shared" si="22"/>
        <v>1338</v>
      </c>
      <c r="J43" s="167">
        <f t="shared" si="22"/>
        <v>1338</v>
      </c>
      <c r="K43" s="167">
        <f t="shared" si="22"/>
        <v>1338</v>
      </c>
      <c r="L43" s="167">
        <f t="shared" si="22"/>
        <v>1338</v>
      </c>
      <c r="N43" s="54" t="s">
        <v>263</v>
      </c>
    </row>
    <row r="44" spans="1:14">
      <c r="A44" s="59" t="s">
        <v>203</v>
      </c>
      <c r="B44" s="168"/>
      <c r="C44" s="168"/>
      <c r="D44" s="168"/>
      <c r="E44" s="167"/>
      <c r="F44" s="167"/>
      <c r="G44" s="167"/>
      <c r="H44" s="167"/>
      <c r="I44" s="167"/>
      <c r="J44" s="167"/>
      <c r="K44" s="167"/>
      <c r="L44" s="167"/>
    </row>
    <row r="45" spans="1:14">
      <c r="A45" s="166" t="s">
        <v>55</v>
      </c>
      <c r="B45" s="170">
        <f t="shared" ref="B45:L45" si="23">SUM(B38:B44)</f>
        <v>23730</v>
      </c>
      <c r="C45" s="170">
        <f t="shared" si="23"/>
        <v>17383</v>
      </c>
      <c r="D45" s="170">
        <f t="shared" si="23"/>
        <v>18775</v>
      </c>
      <c r="E45" s="170">
        <f t="shared" si="23"/>
        <v>16859.102783305425</v>
      </c>
      <c r="F45" s="170">
        <f t="shared" si="23"/>
        <v>17111.197377801451</v>
      </c>
      <c r="G45" s="170">
        <f t="shared" si="23"/>
        <v>18046.885926456467</v>
      </c>
      <c r="H45" s="170">
        <f t="shared" si="23"/>
        <v>17845.356200603394</v>
      </c>
      <c r="I45" s="170">
        <f t="shared" si="23"/>
        <v>18193.406039428835</v>
      </c>
      <c r="J45" s="170">
        <f t="shared" si="23"/>
        <v>18576.949694263651</v>
      </c>
      <c r="K45" s="170">
        <f t="shared" si="23"/>
        <v>18761.13161965966</v>
      </c>
      <c r="L45" s="170">
        <f t="shared" si="23"/>
        <v>19081.441008313144</v>
      </c>
      <c r="M45" s="174"/>
    </row>
    <row r="46" spans="1:14">
      <c r="A46" s="166"/>
      <c r="B46" s="167"/>
      <c r="C46" s="167"/>
      <c r="D46" s="167"/>
      <c r="E46" s="167"/>
      <c r="F46" s="167"/>
      <c r="G46" s="167"/>
      <c r="H46" s="167"/>
      <c r="I46" s="167"/>
      <c r="J46" s="167"/>
      <c r="K46" s="167"/>
      <c r="L46" s="167"/>
      <c r="M46" s="174"/>
    </row>
    <row r="47" spans="1:14">
      <c r="A47" s="59" t="s">
        <v>56</v>
      </c>
      <c r="B47" s="168">
        <f>2848</f>
        <v>2848</v>
      </c>
      <c r="C47" s="168">
        <v>3828</v>
      </c>
      <c r="D47" s="168">
        <f>3923</f>
        <v>3923</v>
      </c>
      <c r="E47" s="167">
        <f>+D47*105%</f>
        <v>4119.1500000000005</v>
      </c>
      <c r="F47" s="167">
        <f t="shared" ref="F47:L47" si="24">+E47*105%</f>
        <v>4325.107500000001</v>
      </c>
      <c r="G47" s="167">
        <f t="shared" si="24"/>
        <v>4541.3628750000016</v>
      </c>
      <c r="H47" s="167">
        <f t="shared" si="24"/>
        <v>4768.4310187500023</v>
      </c>
      <c r="I47" s="167">
        <f t="shared" si="24"/>
        <v>5006.8525696875022</v>
      </c>
      <c r="J47" s="167">
        <f t="shared" si="24"/>
        <v>5257.1951981718776</v>
      </c>
      <c r="K47" s="167">
        <f t="shared" si="24"/>
        <v>5520.0549580804718</v>
      </c>
      <c r="L47" s="167">
        <f t="shared" si="24"/>
        <v>5796.0577059844954</v>
      </c>
      <c r="N47" s="54" t="s">
        <v>300</v>
      </c>
    </row>
    <row r="48" spans="1:14">
      <c r="A48" s="59" t="s">
        <v>227</v>
      </c>
      <c r="B48" s="168">
        <f>2179</f>
        <v>2179</v>
      </c>
      <c r="C48" s="168">
        <v>1903</v>
      </c>
      <c r="D48" s="168">
        <v>1659</v>
      </c>
      <c r="E48" s="167">
        <f>+D48*87%</f>
        <v>1443.33</v>
      </c>
      <c r="F48" s="167">
        <f t="shared" ref="F48:L48" si="25">+E48*87%</f>
        <v>1255.6970999999999</v>
      </c>
      <c r="G48" s="167">
        <f t="shared" si="25"/>
        <v>1092.4564769999999</v>
      </c>
      <c r="H48" s="167">
        <f t="shared" si="25"/>
        <v>950.43713499</v>
      </c>
      <c r="I48" s="167">
        <f t="shared" si="25"/>
        <v>826.88030744130003</v>
      </c>
      <c r="J48" s="167">
        <f t="shared" si="25"/>
        <v>719.38586747393106</v>
      </c>
      <c r="K48" s="167">
        <f t="shared" si="25"/>
        <v>625.86570470232004</v>
      </c>
      <c r="L48" s="167">
        <f t="shared" si="25"/>
        <v>544.50316309101845</v>
      </c>
      <c r="N48" s="54" t="s">
        <v>258</v>
      </c>
    </row>
    <row r="49" spans="1:14">
      <c r="A49" s="59" t="s">
        <v>57</v>
      </c>
      <c r="B49" s="168">
        <f>87</f>
        <v>87</v>
      </c>
      <c r="C49" s="168">
        <v>147</v>
      </c>
      <c r="D49" s="168">
        <v>112</v>
      </c>
      <c r="E49" s="167">
        <f>+D49</f>
        <v>112</v>
      </c>
      <c r="F49" s="167">
        <f t="shared" ref="F49:L49" si="26">+E49</f>
        <v>112</v>
      </c>
      <c r="G49" s="167">
        <f t="shared" si="26"/>
        <v>112</v>
      </c>
      <c r="H49" s="167">
        <f t="shared" si="26"/>
        <v>112</v>
      </c>
      <c r="I49" s="167">
        <f t="shared" si="26"/>
        <v>112</v>
      </c>
      <c r="J49" s="167">
        <f t="shared" si="26"/>
        <v>112</v>
      </c>
      <c r="K49" s="167">
        <f t="shared" si="26"/>
        <v>112</v>
      </c>
      <c r="L49" s="167">
        <f t="shared" si="26"/>
        <v>112</v>
      </c>
      <c r="N49" s="54" t="s">
        <v>259</v>
      </c>
    </row>
    <row r="50" spans="1:14">
      <c r="A50" s="59" t="s">
        <v>58</v>
      </c>
      <c r="B50" s="168">
        <v>1194</v>
      </c>
      <c r="C50" s="168">
        <f>516+973</f>
        <v>1489</v>
      </c>
      <c r="D50" s="168">
        <f>658+452</f>
        <v>1110</v>
      </c>
      <c r="E50" s="167">
        <f t="shared" ref="E50:L52" si="27">+D50</f>
        <v>1110</v>
      </c>
      <c r="F50" s="167">
        <f t="shared" si="27"/>
        <v>1110</v>
      </c>
      <c r="G50" s="167">
        <f t="shared" si="27"/>
        <v>1110</v>
      </c>
      <c r="H50" s="167">
        <f t="shared" si="27"/>
        <v>1110</v>
      </c>
      <c r="I50" s="167">
        <f t="shared" si="27"/>
        <v>1110</v>
      </c>
      <c r="J50" s="167">
        <f t="shared" si="27"/>
        <v>1110</v>
      </c>
      <c r="K50" s="167">
        <f t="shared" si="27"/>
        <v>1110</v>
      </c>
      <c r="L50" s="167">
        <f t="shared" si="27"/>
        <v>1110</v>
      </c>
    </row>
    <row r="51" spans="1:14">
      <c r="A51" s="59" t="s">
        <v>59</v>
      </c>
      <c r="B51" s="168">
        <f>1048</f>
        <v>1048</v>
      </c>
      <c r="C51" s="168">
        <v>1333</v>
      </c>
      <c r="D51" s="168">
        <f>1415</f>
        <v>1415</v>
      </c>
      <c r="E51" s="167">
        <f t="shared" si="27"/>
        <v>1415</v>
      </c>
      <c r="F51" s="167">
        <f t="shared" si="27"/>
        <v>1415</v>
      </c>
      <c r="G51" s="167">
        <f t="shared" si="27"/>
        <v>1415</v>
      </c>
      <c r="H51" s="167">
        <f t="shared" si="27"/>
        <v>1415</v>
      </c>
      <c r="I51" s="167">
        <f t="shared" si="27"/>
        <v>1415</v>
      </c>
      <c r="J51" s="167">
        <f t="shared" si="27"/>
        <v>1415</v>
      </c>
      <c r="K51" s="167">
        <f t="shared" si="27"/>
        <v>1415</v>
      </c>
      <c r="L51" s="167">
        <f t="shared" si="27"/>
        <v>1415</v>
      </c>
    </row>
    <row r="52" spans="1:14">
      <c r="A52" s="59" t="s">
        <v>229</v>
      </c>
      <c r="B52" s="168">
        <v>399</v>
      </c>
      <c r="C52" s="168">
        <v>29</v>
      </c>
      <c r="D52" s="168">
        <v>33</v>
      </c>
      <c r="E52" s="167">
        <f t="shared" si="27"/>
        <v>33</v>
      </c>
      <c r="F52" s="167">
        <f t="shared" si="27"/>
        <v>33</v>
      </c>
      <c r="G52" s="167">
        <f t="shared" si="27"/>
        <v>33</v>
      </c>
      <c r="H52" s="167">
        <f t="shared" si="27"/>
        <v>33</v>
      </c>
      <c r="I52" s="167">
        <f t="shared" si="27"/>
        <v>33</v>
      </c>
      <c r="J52" s="167">
        <f t="shared" si="27"/>
        <v>33</v>
      </c>
      <c r="K52" s="167">
        <f t="shared" si="27"/>
        <v>33</v>
      </c>
      <c r="L52" s="167">
        <f t="shared" si="27"/>
        <v>33</v>
      </c>
    </row>
    <row r="53" spans="1:14">
      <c r="A53" s="166" t="s">
        <v>174</v>
      </c>
      <c r="B53" s="170">
        <f t="shared" ref="B53:D53" si="28">SUM(B47:B52)</f>
        <v>7755</v>
      </c>
      <c r="C53" s="170">
        <f t="shared" si="28"/>
        <v>8729</v>
      </c>
      <c r="D53" s="170">
        <f t="shared" si="28"/>
        <v>8252</v>
      </c>
      <c r="E53" s="170">
        <f t="shared" ref="E53:L53" si="29">SUM(E47:E52)</f>
        <v>8232.48</v>
      </c>
      <c r="F53" s="170">
        <f t="shared" si="29"/>
        <v>8250.8046000000013</v>
      </c>
      <c r="G53" s="170">
        <f t="shared" si="29"/>
        <v>8303.8193520000023</v>
      </c>
      <c r="H53" s="170">
        <f t="shared" si="29"/>
        <v>8388.8681537400025</v>
      </c>
      <c r="I53" s="170">
        <f t="shared" si="29"/>
        <v>8503.7328771288012</v>
      </c>
      <c r="J53" s="170">
        <f t="shared" si="29"/>
        <v>8646.5810656458088</v>
      </c>
      <c r="K53" s="170">
        <f t="shared" si="29"/>
        <v>8815.9206627827916</v>
      </c>
      <c r="L53" s="170">
        <f t="shared" si="29"/>
        <v>9010.5608690755143</v>
      </c>
    </row>
    <row r="54" spans="1:14">
      <c r="A54" s="166" t="s">
        <v>60</v>
      </c>
      <c r="B54" s="170">
        <f t="shared" ref="B54:D54" si="30">B45+B53</f>
        <v>31485</v>
      </c>
      <c r="C54" s="170">
        <f t="shared" si="30"/>
        <v>26112</v>
      </c>
      <c r="D54" s="170">
        <f t="shared" si="30"/>
        <v>27027</v>
      </c>
      <c r="E54" s="170">
        <f t="shared" ref="E54:L54" si="31">E45+E53</f>
        <v>25091.582783305425</v>
      </c>
      <c r="F54" s="170">
        <f t="shared" si="31"/>
        <v>25362.001977801454</v>
      </c>
      <c r="G54" s="170">
        <f t="shared" si="31"/>
        <v>26350.705278456469</v>
      </c>
      <c r="H54" s="170">
        <f t="shared" si="31"/>
        <v>26234.224354343394</v>
      </c>
      <c r="I54" s="170">
        <f t="shared" si="31"/>
        <v>26697.138916557637</v>
      </c>
      <c r="J54" s="170">
        <f t="shared" si="31"/>
        <v>27223.530759909459</v>
      </c>
      <c r="K54" s="170">
        <f t="shared" si="31"/>
        <v>27577.052282442452</v>
      </c>
      <c r="L54" s="170">
        <f t="shared" si="31"/>
        <v>28092.001877388659</v>
      </c>
      <c r="M54" s="174"/>
    </row>
    <row r="55" spans="1:14">
      <c r="A55" s="166"/>
      <c r="B55" s="170"/>
      <c r="C55" s="170"/>
      <c r="D55" s="170"/>
      <c r="E55" s="170"/>
      <c r="F55" s="170"/>
      <c r="G55" s="170"/>
      <c r="H55" s="170"/>
      <c r="I55" s="170"/>
      <c r="J55" s="170"/>
      <c r="K55" s="170"/>
      <c r="L55" s="170"/>
      <c r="M55" s="174"/>
    </row>
    <row r="56" spans="1:14">
      <c r="A56" s="166" t="s">
        <v>61</v>
      </c>
      <c r="B56" s="175"/>
      <c r="C56" s="175"/>
      <c r="D56" s="175"/>
      <c r="E56" s="175"/>
      <c r="F56" s="175"/>
      <c r="G56" s="175"/>
      <c r="H56" s="175"/>
      <c r="I56" s="175"/>
      <c r="J56" s="175"/>
      <c r="K56" s="175"/>
      <c r="L56" s="175"/>
    </row>
    <row r="57" spans="1:14">
      <c r="A57" s="176" t="s">
        <v>62</v>
      </c>
      <c r="B57" s="168">
        <v>543</v>
      </c>
      <c r="C57" s="168">
        <v>543</v>
      </c>
      <c r="D57" s="168">
        <v>543</v>
      </c>
      <c r="E57" s="167">
        <f>+D57</f>
        <v>543</v>
      </c>
      <c r="F57" s="167">
        <f t="shared" ref="F57:L57" si="32">+E57</f>
        <v>543</v>
      </c>
      <c r="G57" s="167">
        <f t="shared" si="32"/>
        <v>543</v>
      </c>
      <c r="H57" s="167">
        <f t="shared" si="32"/>
        <v>543</v>
      </c>
      <c r="I57" s="167">
        <f t="shared" si="32"/>
        <v>543</v>
      </c>
      <c r="J57" s="167">
        <f t="shared" si="32"/>
        <v>543</v>
      </c>
      <c r="K57" s="167">
        <f t="shared" si="32"/>
        <v>543</v>
      </c>
      <c r="L57" s="167">
        <f t="shared" si="32"/>
        <v>543</v>
      </c>
    </row>
    <row r="58" spans="1:14">
      <c r="A58" s="176" t="s">
        <v>63</v>
      </c>
      <c r="B58" s="168">
        <f>51421-B57-B60</f>
        <v>50724</v>
      </c>
      <c r="C58" s="168">
        <f>60082-C57-C60</f>
        <v>59370</v>
      </c>
      <c r="D58" s="168">
        <f>62006-D60-D57</f>
        <v>61371</v>
      </c>
      <c r="E58" s="167">
        <f>+D58+'Income Statement'!E39+'Income Statement'!E49</f>
        <v>71003.775518649389</v>
      </c>
      <c r="F58" s="167">
        <f>+E58+'Income Statement'!F39+'Income Statement'!F49</f>
        <v>80203.210035828612</v>
      </c>
      <c r="G58" s="167">
        <f>+F58+'Income Statement'!G39+'Income Statement'!G49</f>
        <v>89192.703271887236</v>
      </c>
      <c r="H58" s="167">
        <f>+G58+'Income Statement'!H39+'Income Statement'!H49</f>
        <v>101188.1592020063</v>
      </c>
      <c r="I58" s="167">
        <f>+H58+'Income Statement'!I39+'Income Statement'!I49</f>
        <v>114087.51995488776</v>
      </c>
      <c r="J58" s="167">
        <f>+I58+'Income Statement'!J39+'Income Statement'!J49</f>
        <v>128596.23293178661</v>
      </c>
      <c r="K58" s="167">
        <f>+J58+'Income Statement'!K39+'Income Statement'!K49</f>
        <v>145696.70333198766</v>
      </c>
      <c r="L58" s="167">
        <f>+K58+'Income Statement'!L39+'Income Statement'!L49</f>
        <v>165085.11185223522</v>
      </c>
    </row>
    <row r="59" spans="1:14">
      <c r="A59" s="58" t="s">
        <v>64</v>
      </c>
      <c r="B59" s="170">
        <f>SUM(B57:B58)</f>
        <v>51267</v>
      </c>
      <c r="C59" s="170">
        <f t="shared" ref="C59:L59" si="33">SUM(C57:C58)</f>
        <v>59913</v>
      </c>
      <c r="D59" s="170">
        <f t="shared" si="33"/>
        <v>61914</v>
      </c>
      <c r="E59" s="170">
        <f t="shared" si="33"/>
        <v>71546.775518649389</v>
      </c>
      <c r="F59" s="170">
        <f t="shared" si="33"/>
        <v>80746.210035828612</v>
      </c>
      <c r="G59" s="170">
        <f t="shared" si="33"/>
        <v>89735.703271887236</v>
      </c>
      <c r="H59" s="170">
        <f t="shared" si="33"/>
        <v>101731.1592020063</v>
      </c>
      <c r="I59" s="170">
        <f t="shared" si="33"/>
        <v>114630.51995488776</v>
      </c>
      <c r="J59" s="170">
        <f t="shared" si="33"/>
        <v>129139.23293178661</v>
      </c>
      <c r="K59" s="170">
        <f t="shared" si="33"/>
        <v>146239.70333198766</v>
      </c>
      <c r="L59" s="170">
        <f t="shared" si="33"/>
        <v>165628.11185223522</v>
      </c>
      <c r="M59" s="174"/>
    </row>
    <row r="60" spans="1:14">
      <c r="A60" s="176" t="s">
        <v>34</v>
      </c>
      <c r="B60" s="168">
        <v>154</v>
      </c>
      <c r="C60" s="168">
        <v>169</v>
      </c>
      <c r="D60" s="168">
        <v>92</v>
      </c>
      <c r="E60" s="167">
        <f>+D60</f>
        <v>92</v>
      </c>
      <c r="F60" s="167">
        <f t="shared" ref="F60:L60" si="34">+E60</f>
        <v>92</v>
      </c>
      <c r="G60" s="167">
        <f t="shared" si="34"/>
        <v>92</v>
      </c>
      <c r="H60" s="167">
        <f t="shared" si="34"/>
        <v>92</v>
      </c>
      <c r="I60" s="167">
        <f t="shared" si="34"/>
        <v>92</v>
      </c>
      <c r="J60" s="167">
        <f t="shared" si="34"/>
        <v>92</v>
      </c>
      <c r="K60" s="167">
        <f t="shared" si="34"/>
        <v>92</v>
      </c>
      <c r="L60" s="167">
        <f t="shared" si="34"/>
        <v>92</v>
      </c>
    </row>
    <row r="61" spans="1:14">
      <c r="A61" s="58" t="s">
        <v>65</v>
      </c>
      <c r="B61" s="170">
        <f>B59+B60</f>
        <v>51421</v>
      </c>
      <c r="C61" s="170">
        <f>C59+C60</f>
        <v>60082</v>
      </c>
      <c r="D61" s="170">
        <f>D59+D60</f>
        <v>62006</v>
      </c>
      <c r="E61" s="170">
        <f t="shared" ref="E61:L61" si="35">E59+E60</f>
        <v>71638.775518649389</v>
      </c>
      <c r="F61" s="170">
        <f t="shared" si="35"/>
        <v>80838.210035828612</v>
      </c>
      <c r="G61" s="170">
        <f t="shared" si="35"/>
        <v>89827.703271887236</v>
      </c>
      <c r="H61" s="170">
        <f t="shared" si="35"/>
        <v>101823.1592020063</v>
      </c>
      <c r="I61" s="170">
        <f t="shared" si="35"/>
        <v>114722.51995488776</v>
      </c>
      <c r="J61" s="170">
        <f t="shared" si="35"/>
        <v>129231.23293178661</v>
      </c>
      <c r="K61" s="170">
        <f t="shared" si="35"/>
        <v>146331.70333198766</v>
      </c>
      <c r="L61" s="170">
        <f t="shared" si="35"/>
        <v>165720.11185223522</v>
      </c>
    </row>
    <row r="62" spans="1:14">
      <c r="A62" s="166" t="s">
        <v>66</v>
      </c>
      <c r="B62" s="170">
        <f>B54+B61</f>
        <v>82906</v>
      </c>
      <c r="C62" s="170">
        <f>C54+C61</f>
        <v>86194</v>
      </c>
      <c r="D62" s="170">
        <f>D54+D61</f>
        <v>89033</v>
      </c>
      <c r="E62" s="170">
        <f t="shared" ref="E62:L62" si="36">E54+E61</f>
        <v>96730.35830195481</v>
      </c>
      <c r="F62" s="170">
        <f t="shared" si="36"/>
        <v>106200.21201363007</v>
      </c>
      <c r="G62" s="170">
        <f t="shared" si="36"/>
        <v>116178.40855034371</v>
      </c>
      <c r="H62" s="170">
        <f t="shared" si="36"/>
        <v>128057.3835563497</v>
      </c>
      <c r="I62" s="170">
        <f t="shared" si="36"/>
        <v>141419.6588714454</v>
      </c>
      <c r="J62" s="170">
        <f t="shared" si="36"/>
        <v>156454.76369169608</v>
      </c>
      <c r="K62" s="170">
        <f t="shared" si="36"/>
        <v>173908.75561443012</v>
      </c>
      <c r="L62" s="170">
        <f t="shared" si="36"/>
        <v>193812.11372962387</v>
      </c>
      <c r="M62" s="174"/>
    </row>
    <row r="63" spans="1:14">
      <c r="A63" s="177"/>
      <c r="B63" s="178"/>
      <c r="C63" s="178"/>
      <c r="D63" s="178"/>
      <c r="E63" s="55"/>
      <c r="F63" s="55"/>
      <c r="G63" s="55"/>
      <c r="H63" s="55"/>
      <c r="I63" s="55"/>
      <c r="J63" s="55"/>
      <c r="K63" s="55"/>
      <c r="L63" s="55"/>
    </row>
    <row r="64" spans="1:14">
      <c r="A64" s="179"/>
      <c r="B64" s="178">
        <f>B34-B62</f>
        <v>0</v>
      </c>
      <c r="C64" s="178">
        <f>C34-C62</f>
        <v>0</v>
      </c>
      <c r="D64" s="178">
        <f>D34-D62</f>
        <v>0</v>
      </c>
      <c r="E64" s="178"/>
      <c r="F64" s="178"/>
      <c r="G64" s="178"/>
      <c r="H64" s="178"/>
      <c r="I64" s="178"/>
      <c r="J64" s="178"/>
      <c r="K64" s="178"/>
      <c r="L64" s="178"/>
    </row>
    <row r="65" spans="1:12" ht="44" customHeight="1">
      <c r="A65" s="180" t="s">
        <v>151</v>
      </c>
      <c r="B65" s="56"/>
      <c r="C65" s="56"/>
      <c r="D65" s="56"/>
      <c r="E65" s="56"/>
      <c r="F65" s="56"/>
      <c r="G65" s="56"/>
      <c r="H65" s="56"/>
      <c r="I65" s="56"/>
      <c r="J65" s="56"/>
      <c r="K65" s="56"/>
      <c r="L65" s="56"/>
    </row>
    <row r="66" spans="1:12" ht="44" customHeight="1">
      <c r="A66" s="181"/>
      <c r="B66" s="56"/>
      <c r="C66" s="56"/>
      <c r="D66" s="56"/>
      <c r="E66" s="56"/>
      <c r="F66" s="56"/>
      <c r="G66" s="56"/>
      <c r="H66" s="56"/>
      <c r="I66" s="56"/>
      <c r="J66" s="56"/>
      <c r="K66" s="56"/>
      <c r="L66" s="56"/>
    </row>
    <row r="67" spans="1:12">
      <c r="A67" s="57" t="s">
        <v>39</v>
      </c>
      <c r="B67" s="182" t="str">
        <f t="shared" ref="B67:L67" si="37">B5</f>
        <v>FY2020 A</v>
      </c>
      <c r="C67" s="182" t="str">
        <f t="shared" si="37"/>
        <v>FY2021 A</v>
      </c>
      <c r="D67" s="182" t="str">
        <f t="shared" si="37"/>
        <v>FY2022 A</v>
      </c>
      <c r="E67" s="183" t="str">
        <f t="shared" si="37"/>
        <v>FY2023 E</v>
      </c>
      <c r="F67" s="183" t="str">
        <f t="shared" si="37"/>
        <v>FY2024 E</v>
      </c>
      <c r="G67" s="183" t="str">
        <f t="shared" si="37"/>
        <v>FY2025 E</v>
      </c>
      <c r="H67" s="183" t="str">
        <f t="shared" si="37"/>
        <v>FY2026 E</v>
      </c>
      <c r="I67" s="183" t="str">
        <f t="shared" si="37"/>
        <v>FY2027 E</v>
      </c>
      <c r="J67" s="183" t="str">
        <f t="shared" si="37"/>
        <v>FY2028 E</v>
      </c>
      <c r="K67" s="183" t="str">
        <f t="shared" si="37"/>
        <v>FY2029 E</v>
      </c>
      <c r="L67" s="183" t="str">
        <f t="shared" si="37"/>
        <v>FY2030 E</v>
      </c>
    </row>
    <row r="68" spans="1:12">
      <c r="A68" s="166" t="str">
        <f>A6</f>
        <v>Assets</v>
      </c>
      <c r="B68" s="56"/>
      <c r="C68" s="56"/>
      <c r="D68" s="56"/>
      <c r="E68" s="56"/>
      <c r="F68" s="56"/>
      <c r="G68" s="56"/>
      <c r="H68" s="56"/>
      <c r="I68" s="56"/>
      <c r="J68" s="56"/>
      <c r="K68" s="56"/>
      <c r="L68" s="56"/>
    </row>
    <row r="69" spans="1:12">
      <c r="A69" s="166"/>
      <c r="B69" s="184"/>
      <c r="C69" s="184"/>
      <c r="D69" s="184"/>
      <c r="E69" s="184"/>
      <c r="F69" s="184"/>
      <c r="G69" s="184"/>
      <c r="H69" s="184"/>
      <c r="I69" s="184"/>
      <c r="J69" s="184"/>
      <c r="K69" s="184"/>
      <c r="L69" s="184"/>
    </row>
    <row r="70" spans="1:12">
      <c r="A70" s="59" t="str">
        <f t="shared" ref="A70:A80" si="38">A8</f>
        <v>Cash And Cash Equivalents</v>
      </c>
      <c r="B70" s="184">
        <f t="shared" ref="B70:L70" si="39">B8/B$34</f>
        <v>5.8475864231780569E-2</v>
      </c>
      <c r="C70" s="184">
        <f t="shared" si="39"/>
        <v>7.5654917975729166E-2</v>
      </c>
      <c r="D70" s="184">
        <f t="shared" si="39"/>
        <v>0.1180461177316276</v>
      </c>
      <c r="E70" s="184">
        <f t="shared" si="39"/>
        <v>0.49684636951432054</v>
      </c>
      <c r="F70" s="184">
        <f t="shared" si="39"/>
        <v>0.34612012072381865</v>
      </c>
      <c r="G70" s="184">
        <f t="shared" si="39"/>
        <v>0.57254962250458585</v>
      </c>
      <c r="H70" s="184">
        <f t="shared" si="39"/>
        <v>0.45560797572515482</v>
      </c>
      <c r="I70" s="184">
        <f t="shared" si="39"/>
        <v>0.61539121100358296</v>
      </c>
      <c r="J70" s="184">
        <f t="shared" si="39"/>
        <v>0.53843961408358232</v>
      </c>
      <c r="K70" s="184">
        <f t="shared" si="39"/>
        <v>0.66944073410515781</v>
      </c>
      <c r="L70" s="184">
        <f t="shared" si="39"/>
        <v>0.60447190417693319</v>
      </c>
    </row>
    <row r="71" spans="1:12">
      <c r="A71" s="59" t="str">
        <f t="shared" si="38"/>
        <v>Bank Balance</v>
      </c>
      <c r="B71" s="184">
        <f t="shared" ref="B71:L71" si="40">B9/B$34</f>
        <v>1.543917207439751E-3</v>
      </c>
      <c r="C71" s="184">
        <f t="shared" si="40"/>
        <v>2.746130821170847E-2</v>
      </c>
      <c r="D71" s="184">
        <f t="shared" si="40"/>
        <v>2.3878786517358731E-2</v>
      </c>
      <c r="E71" s="184">
        <f t="shared" si="40"/>
        <v>2.1978622195975423E-2</v>
      </c>
      <c r="F71" s="184">
        <f t="shared" si="40"/>
        <v>2.0018792426959964E-2</v>
      </c>
      <c r="G71" s="184">
        <f t="shared" si="40"/>
        <v>1.8299441578929342E-2</v>
      </c>
      <c r="H71" s="184">
        <f t="shared" si="40"/>
        <v>1.6601932203811474E-2</v>
      </c>
      <c r="I71" s="184">
        <f t="shared" si="40"/>
        <v>1.5033270600182936E-2</v>
      </c>
      <c r="J71" s="184">
        <f t="shared" si="40"/>
        <v>1.3588592317901018E-2</v>
      </c>
      <c r="K71" s="184">
        <f t="shared" si="40"/>
        <v>1.2224801405131755E-2</v>
      </c>
      <c r="L71" s="184">
        <f t="shared" si="40"/>
        <v>1.096938658316198E-2</v>
      </c>
    </row>
    <row r="72" spans="1:12">
      <c r="A72" s="59" t="str">
        <f t="shared" si="38"/>
        <v>Current Investment</v>
      </c>
      <c r="B72" s="184">
        <f t="shared" ref="B72:L72" si="41">B10/B$34</f>
        <v>8.4300291896847027E-2</v>
      </c>
      <c r="C72" s="184">
        <f t="shared" si="41"/>
        <v>7.8578555351880644E-2</v>
      </c>
      <c r="D72" s="184">
        <f t="shared" si="41"/>
        <v>7.007514067817551E-2</v>
      </c>
      <c r="E72" s="184">
        <f t="shared" si="41"/>
        <v>6.4498882352159295E-2</v>
      </c>
      <c r="F72" s="184">
        <f t="shared" si="41"/>
        <v>5.8747528669709892E-2</v>
      </c>
      <c r="G72" s="184">
        <f t="shared" si="41"/>
        <v>5.3701888998560758E-2</v>
      </c>
      <c r="H72" s="184">
        <f t="shared" si="41"/>
        <v>4.8720345728871017E-2</v>
      </c>
      <c r="I72" s="184">
        <f t="shared" si="41"/>
        <v>4.4116921577865162E-2</v>
      </c>
      <c r="J72" s="184">
        <f t="shared" si="41"/>
        <v>3.9877341237716107E-2</v>
      </c>
      <c r="K72" s="184">
        <f t="shared" si="41"/>
        <v>3.5875134509227198E-2</v>
      </c>
      <c r="L72" s="184">
        <f t="shared" si="41"/>
        <v>3.2190970316250046E-2</v>
      </c>
    </row>
    <row r="73" spans="1:12">
      <c r="A73" s="59" t="str">
        <f t="shared" si="38"/>
        <v>Accounts Receivables</v>
      </c>
      <c r="B73" s="184">
        <f t="shared" ref="B73:L73" si="42">B11/B$34</f>
        <v>0.17044604733071189</v>
      </c>
      <c r="C73" s="184">
        <f t="shared" si="42"/>
        <v>0.20332041673434345</v>
      </c>
      <c r="D73" s="184">
        <f t="shared" si="42"/>
        <v>0.23217234059281391</v>
      </c>
      <c r="E73" s="184">
        <f t="shared" si="42"/>
        <v>9.0275329131909512E-2</v>
      </c>
      <c r="F73" s="184">
        <f t="shared" si="42"/>
        <v>0.29253486802279799</v>
      </c>
      <c r="G73" s="184">
        <f t="shared" si="42"/>
        <v>0.10303076798406569</v>
      </c>
      <c r="H73" s="184">
        <f t="shared" si="42"/>
        <v>0.25856552434584207</v>
      </c>
      <c r="I73" s="184">
        <f t="shared" si="42"/>
        <v>0.13479058116087247</v>
      </c>
      <c r="J73" s="184">
        <f t="shared" si="42"/>
        <v>0.24324049960060518</v>
      </c>
      <c r="K73" s="184">
        <f t="shared" si="42"/>
        <v>0.1421429337829509</v>
      </c>
      <c r="L73" s="184">
        <f t="shared" si="42"/>
        <v>0.23420571893107309</v>
      </c>
    </row>
    <row r="74" spans="1:12">
      <c r="A74" s="59" t="str">
        <f t="shared" si="38"/>
        <v>Inventories</v>
      </c>
      <c r="B74" s="184">
        <f t="shared" ref="B74:L74" si="43">B12/B$34</f>
        <v>1.0976286396641979E-3</v>
      </c>
      <c r="C74" s="184">
        <f t="shared" si="43"/>
        <v>1.0905631482469778E-3</v>
      </c>
      <c r="D74" s="184">
        <f t="shared" si="43"/>
        <v>1.8083182640144665E-3</v>
      </c>
      <c r="E74" s="184">
        <f t="shared" si="43"/>
        <v>1.0193185710375694E-3</v>
      </c>
      <c r="F74" s="184">
        <f t="shared" si="43"/>
        <v>1.0001403339076431E-3</v>
      </c>
      <c r="G74" s="184">
        <f t="shared" si="43"/>
        <v>1.0385205978016992E-3</v>
      </c>
      <c r="H74" s="184">
        <f t="shared" si="43"/>
        <v>8.7516744979744944E-4</v>
      </c>
      <c r="I74" s="184">
        <f t="shared" si="43"/>
        <v>8.2799460263723599E-4</v>
      </c>
      <c r="J74" s="184">
        <f t="shared" si="43"/>
        <v>7.7343966308163561E-4</v>
      </c>
      <c r="K74" s="184">
        <f t="shared" si="43"/>
        <v>6.9694490138869731E-4</v>
      </c>
      <c r="L74" s="184">
        <f t="shared" si="43"/>
        <v>6.4198243760175901E-4</v>
      </c>
    </row>
    <row r="75" spans="1:12">
      <c r="A75" s="59" t="str">
        <f t="shared" si="38"/>
        <v>Short-Term Loans And Advances</v>
      </c>
      <c r="B75" s="184">
        <f t="shared" ref="B75:L75" si="44">B13/B$34</f>
        <v>4.1275661592647096E-2</v>
      </c>
      <c r="C75" s="184">
        <f t="shared" si="44"/>
        <v>5.6164002134719351E-2</v>
      </c>
      <c r="D75" s="184">
        <f t="shared" si="44"/>
        <v>3.378522570282929E-2</v>
      </c>
      <c r="E75" s="184">
        <f t="shared" si="44"/>
        <v>3.1096752382640678E-2</v>
      </c>
      <c r="F75" s="184">
        <f t="shared" si="44"/>
        <v>2.8323860592801307E-2</v>
      </c>
      <c r="G75" s="184">
        <f t="shared" si="44"/>
        <v>2.5891213673292317E-2</v>
      </c>
      <c r="H75" s="184">
        <f t="shared" si="44"/>
        <v>2.3489469458638248E-2</v>
      </c>
      <c r="I75" s="184">
        <f t="shared" si="44"/>
        <v>2.1270027264981312E-2</v>
      </c>
      <c r="J75" s="184">
        <f t="shared" si="44"/>
        <v>1.9226004558911693E-2</v>
      </c>
      <c r="K75" s="184">
        <f t="shared" si="44"/>
        <v>1.7296426447147847E-2</v>
      </c>
      <c r="L75" s="184">
        <f t="shared" si="44"/>
        <v>1.5520185720673207E-2</v>
      </c>
    </row>
    <row r="76" spans="1:12">
      <c r="A76" s="59" t="str">
        <f t="shared" si="38"/>
        <v>Other Current Assets</v>
      </c>
      <c r="B76" s="184">
        <f t="shared" ref="B76:L76" si="45">B14/B$34</f>
        <v>0</v>
      </c>
      <c r="C76" s="184">
        <f t="shared" si="45"/>
        <v>0</v>
      </c>
      <c r="D76" s="184">
        <f t="shared" si="45"/>
        <v>0</v>
      </c>
      <c r="E76" s="184">
        <f t="shared" si="45"/>
        <v>0</v>
      </c>
      <c r="F76" s="184">
        <f t="shared" si="45"/>
        <v>0</v>
      </c>
      <c r="G76" s="184">
        <f t="shared" si="45"/>
        <v>0</v>
      </c>
      <c r="H76" s="184">
        <f t="shared" si="45"/>
        <v>0</v>
      </c>
      <c r="I76" s="184">
        <f t="shared" si="45"/>
        <v>0</v>
      </c>
      <c r="J76" s="184">
        <f t="shared" si="45"/>
        <v>0</v>
      </c>
      <c r="K76" s="184">
        <f t="shared" si="45"/>
        <v>0</v>
      </c>
      <c r="L76" s="184">
        <f t="shared" si="45"/>
        <v>0</v>
      </c>
    </row>
    <row r="77" spans="1:12">
      <c r="A77" s="59" t="str">
        <f t="shared" si="38"/>
        <v>Other Financial Assets</v>
      </c>
      <c r="B77" s="184">
        <f t="shared" ref="B77:L77" si="46">B15/B$34</f>
        <v>7.7967818975707426E-2</v>
      </c>
      <c r="C77" s="184">
        <f t="shared" si="46"/>
        <v>2.3516718101027914E-2</v>
      </c>
      <c r="D77" s="184">
        <f t="shared" si="46"/>
        <v>1.707232149877012E-2</v>
      </c>
      <c r="E77" s="184">
        <f t="shared" si="46"/>
        <v>1.5713784448674811E-2</v>
      </c>
      <c r="F77" s="184">
        <f t="shared" si="46"/>
        <v>1.4312589129341085E-2</v>
      </c>
      <c r="G77" s="184">
        <f t="shared" si="46"/>
        <v>1.3083326058312608E-2</v>
      </c>
      <c r="H77" s="184">
        <f t="shared" si="46"/>
        <v>1.1869678715801243E-2</v>
      </c>
      <c r="I77" s="184">
        <f t="shared" si="46"/>
        <v>1.0748152075389494E-2</v>
      </c>
      <c r="J77" s="184">
        <f t="shared" si="46"/>
        <v>9.7152682611521858E-3</v>
      </c>
      <c r="K77" s="184">
        <f t="shared" si="46"/>
        <v>8.7402154919098158E-3</v>
      </c>
      <c r="L77" s="184">
        <f t="shared" si="46"/>
        <v>7.8426470397018871E-3</v>
      </c>
    </row>
    <row r="78" spans="1:12">
      <c r="A78" s="59" t="str">
        <f t="shared" si="38"/>
        <v>Current Tax Assets</v>
      </c>
      <c r="B78" s="184">
        <f t="shared" ref="B78:L78" si="47">B16/B$34</f>
        <v>1.8937109497503197E-3</v>
      </c>
      <c r="C78" s="184">
        <f t="shared" si="47"/>
        <v>1.5198273661739797E-3</v>
      </c>
      <c r="D78" s="184">
        <f t="shared" si="47"/>
        <v>2.6282389675738207E-3</v>
      </c>
      <c r="E78" s="184">
        <f t="shared" si="47"/>
        <v>2.4190957638091483E-3</v>
      </c>
      <c r="F78" s="184">
        <f t="shared" si="47"/>
        <v>2.2033854317538249E-3</v>
      </c>
      <c r="G78" s="184">
        <f t="shared" si="47"/>
        <v>2.0141436168718092E-3</v>
      </c>
      <c r="H78" s="184">
        <f t="shared" si="47"/>
        <v>1.8273058023009806E-3</v>
      </c>
      <c r="I78" s="184">
        <f t="shared" si="47"/>
        <v>1.6546497273954878E-3</v>
      </c>
      <c r="J78" s="184">
        <f t="shared" si="47"/>
        <v>1.4956399823089549E-3</v>
      </c>
      <c r="K78" s="184">
        <f t="shared" si="47"/>
        <v>1.3455331744124321E-3</v>
      </c>
      <c r="L78" s="184">
        <f t="shared" si="47"/>
        <v>1.207354873217264E-3</v>
      </c>
    </row>
    <row r="79" spans="1:12">
      <c r="A79" s="59" t="str">
        <f t="shared" si="38"/>
        <v>Other Current Assets</v>
      </c>
      <c r="B79" s="184">
        <f t="shared" ref="B79:L79" si="48">B17/B$34</f>
        <v>2.6415458471039491E-2</v>
      </c>
      <c r="C79" s="184">
        <f t="shared" si="48"/>
        <v>3.2160011137666193E-2</v>
      </c>
      <c r="D79" s="184">
        <f t="shared" si="48"/>
        <v>4.0119955522109778E-2</v>
      </c>
      <c r="E79" s="184">
        <f t="shared" si="48"/>
        <v>3.6927393454385803E-2</v>
      </c>
      <c r="F79" s="184">
        <f t="shared" si="48"/>
        <v>3.3634584453951552E-2</v>
      </c>
      <c r="G79" s="184">
        <f t="shared" si="48"/>
        <v>3.0745816237034627E-2</v>
      </c>
      <c r="H79" s="184">
        <f t="shared" si="48"/>
        <v>2.7893744982132918E-2</v>
      </c>
      <c r="I79" s="184">
        <f t="shared" si="48"/>
        <v>2.5258157377165309E-2</v>
      </c>
      <c r="J79" s="184">
        <f t="shared" si="48"/>
        <v>2.2830880413707635E-2</v>
      </c>
      <c r="K79" s="184">
        <f t="shared" si="48"/>
        <v>2.0539506405988065E-2</v>
      </c>
      <c r="L79" s="184">
        <f t="shared" si="48"/>
        <v>1.8430220543299434E-2</v>
      </c>
    </row>
    <row r="80" spans="1:12">
      <c r="A80" s="166" t="str">
        <f t="shared" si="38"/>
        <v>Total Current Assets</v>
      </c>
      <c r="B80" s="184">
        <f t="shared" ref="B80:L80" si="49">B18/B$34</f>
        <v>0.46341639929558776</v>
      </c>
      <c r="C80" s="184">
        <f t="shared" si="49"/>
        <v>0.49946632016149617</v>
      </c>
      <c r="D80" s="184">
        <f t="shared" si="49"/>
        <v>0.53958644547527324</v>
      </c>
      <c r="E80" s="184">
        <f t="shared" si="49"/>
        <v>0.76077554781491274</v>
      </c>
      <c r="F80" s="184">
        <f t="shared" si="49"/>
        <v>0.79689586978504179</v>
      </c>
      <c r="G80" s="184">
        <f t="shared" si="49"/>
        <v>0.82035474124945473</v>
      </c>
      <c r="H80" s="184">
        <f t="shared" si="49"/>
        <v>0.84545114441235025</v>
      </c>
      <c r="I80" s="184">
        <f t="shared" si="49"/>
        <v>0.86909096539007236</v>
      </c>
      <c r="J80" s="184">
        <f t="shared" si="49"/>
        <v>0.88918728011896675</v>
      </c>
      <c r="K80" s="184">
        <f t="shared" si="49"/>
        <v>0.90830223022331447</v>
      </c>
      <c r="L80" s="184">
        <f t="shared" si="49"/>
        <v>0.9254803706219118</v>
      </c>
    </row>
    <row r="81" spans="1:12">
      <c r="A81" s="166"/>
      <c r="B81" s="184"/>
      <c r="C81" s="184"/>
      <c r="D81" s="184"/>
      <c r="E81" s="184"/>
      <c r="F81" s="184"/>
      <c r="G81" s="184"/>
      <c r="H81" s="184"/>
      <c r="I81" s="184"/>
      <c r="J81" s="184"/>
      <c r="K81" s="184"/>
      <c r="L81" s="184"/>
    </row>
    <row r="82" spans="1:12">
      <c r="A82" s="59" t="str">
        <f t="shared" ref="A82:A96" si="50">A20</f>
        <v>PPE, Net</v>
      </c>
      <c r="B82" s="184">
        <f t="shared" ref="B82:L82" si="51">B20/B$34</f>
        <v>6.626782138807806E-2</v>
      </c>
      <c r="C82" s="184">
        <f t="shared" si="51"/>
        <v>6.5456992366057967E-2</v>
      </c>
      <c r="D82" s="184">
        <f t="shared" si="51"/>
        <v>6.3032808059932832E-2</v>
      </c>
      <c r="E82" s="184">
        <f t="shared" si="51"/>
        <v>5.5031624964555284E-2</v>
      </c>
      <c r="F82" s="184">
        <f t="shared" si="51"/>
        <v>4.6873233602478394E-2</v>
      </c>
      <c r="G82" s="184">
        <f t="shared" si="51"/>
        <v>4.1168370990963321E-2</v>
      </c>
      <c r="H82" s="184">
        <f t="shared" si="51"/>
        <v>3.4773042562432396E-2</v>
      </c>
      <c r="I82" s="184">
        <f t="shared" si="51"/>
        <v>2.9054668849923502E-2</v>
      </c>
      <c r="J82" s="184">
        <f t="shared" si="51"/>
        <v>2.4110447930539746E-2</v>
      </c>
      <c r="K82" s="184">
        <f t="shared" si="51"/>
        <v>1.9384471596022419E-2</v>
      </c>
      <c r="L82" s="184">
        <f t="shared" si="51"/>
        <v>1.5184265826838402E-2</v>
      </c>
    </row>
    <row r="83" spans="1:12">
      <c r="A83" s="59" t="str">
        <f t="shared" si="50"/>
        <v>Right-of-use Assets</v>
      </c>
      <c r="B83" s="184">
        <f t="shared" ref="B83:D96" si="52">B21/B$34</f>
        <v>3.1939787228909847E-2</v>
      </c>
      <c r="C83" s="184">
        <f t="shared" si="52"/>
        <v>2.7960182843353366E-2</v>
      </c>
      <c r="D83" s="184">
        <f t="shared" si="52"/>
        <v>2.5889277009648107E-2</v>
      </c>
      <c r="E83" s="184"/>
      <c r="F83" s="184"/>
      <c r="G83" s="184"/>
      <c r="H83" s="184"/>
      <c r="I83" s="184"/>
      <c r="J83" s="184"/>
      <c r="K83" s="184"/>
      <c r="L83" s="184"/>
    </row>
    <row r="84" spans="1:12">
      <c r="A84" s="59" t="str">
        <f t="shared" si="50"/>
        <v>Other Intangible Assets</v>
      </c>
      <c r="B84" s="184">
        <f t="shared" si="52"/>
        <v>0.15914409089812559</v>
      </c>
      <c r="C84" s="184">
        <f t="shared" si="52"/>
        <v>0.13807225560943917</v>
      </c>
      <c r="D84" s="184">
        <f t="shared" si="52"/>
        <v>0.10943133444902452</v>
      </c>
      <c r="E84" s="184">
        <f t="shared" ref="E84:L88" si="53">E22/E$34</f>
        <v>9.3294270093794707E-2</v>
      </c>
      <c r="F84" s="184">
        <f t="shared" si="53"/>
        <v>7.9191554177363413E-2</v>
      </c>
      <c r="G84" s="184">
        <f t="shared" si="53"/>
        <v>6.871599455407168E-2</v>
      </c>
      <c r="H84" s="184">
        <f t="shared" si="53"/>
        <v>5.6625878097435016E-2</v>
      </c>
      <c r="I84" s="184">
        <f t="shared" si="53"/>
        <v>4.6199898565558312E-2</v>
      </c>
      <c r="J84" s="184">
        <f t="shared" si="53"/>
        <v>3.6945113472687773E-2</v>
      </c>
      <c r="K84" s="184">
        <f t="shared" si="53"/>
        <v>2.8068212748573754E-2</v>
      </c>
      <c r="L84" s="184">
        <f t="shared" si="53"/>
        <v>2.02292739955479E-2</v>
      </c>
    </row>
    <row r="85" spans="1:12">
      <c r="A85" s="59" t="str">
        <f t="shared" si="50"/>
        <v>Capital Work-In-Progress</v>
      </c>
      <c r="B85" s="184">
        <f t="shared" si="52"/>
        <v>4.8247412732492223E-3</v>
      </c>
      <c r="C85" s="184">
        <f t="shared" si="52"/>
        <v>3.6197415133303944E-3</v>
      </c>
      <c r="D85" s="184">
        <f t="shared" si="52"/>
        <v>1.4489009693035167E-3</v>
      </c>
      <c r="E85" s="184">
        <f t="shared" si="53"/>
        <v>1.3336040749204279E-3</v>
      </c>
      <c r="F85" s="184">
        <f t="shared" si="53"/>
        <v>1.2146868405822368E-3</v>
      </c>
      <c r="G85" s="184">
        <f t="shared" si="53"/>
        <v>1.110361224685741E-3</v>
      </c>
      <c r="H85" s="184">
        <f t="shared" si="53"/>
        <v>1.0073608910120791E-3</v>
      </c>
      <c r="I85" s="184">
        <f t="shared" si="53"/>
        <v>9.1217869587187144E-4</v>
      </c>
      <c r="J85" s="184">
        <f t="shared" si="53"/>
        <v>8.2451947742673152E-4</v>
      </c>
      <c r="K85" s="184">
        <f t="shared" si="53"/>
        <v>7.417682884581357E-4</v>
      </c>
      <c r="L85" s="184">
        <f t="shared" si="53"/>
        <v>6.655930711325943E-4</v>
      </c>
    </row>
    <row r="86" spans="1:12">
      <c r="A86" s="59" t="str">
        <f t="shared" si="50"/>
        <v>Investment Property</v>
      </c>
      <c r="B86" s="184">
        <f t="shared" si="52"/>
        <v>0</v>
      </c>
      <c r="C86" s="184">
        <f t="shared" si="52"/>
        <v>0</v>
      </c>
      <c r="D86" s="184">
        <f t="shared" si="52"/>
        <v>0</v>
      </c>
      <c r="E86" s="184">
        <f t="shared" si="53"/>
        <v>0</v>
      </c>
      <c r="F86" s="184">
        <f t="shared" si="53"/>
        <v>0</v>
      </c>
      <c r="G86" s="184">
        <f t="shared" si="53"/>
        <v>0</v>
      </c>
      <c r="H86" s="184">
        <f t="shared" si="53"/>
        <v>0</v>
      </c>
      <c r="I86" s="184">
        <f t="shared" si="53"/>
        <v>0</v>
      </c>
      <c r="J86" s="184">
        <f t="shared" si="53"/>
        <v>0</v>
      </c>
      <c r="K86" s="184">
        <f t="shared" si="53"/>
        <v>0</v>
      </c>
      <c r="L86" s="184">
        <f t="shared" si="53"/>
        <v>0</v>
      </c>
    </row>
    <row r="87" spans="1:12">
      <c r="A87" s="59" t="str">
        <f t="shared" si="50"/>
        <v>Goodwill on Consolidation</v>
      </c>
      <c r="B87" s="184">
        <f t="shared" si="52"/>
        <v>0.19484717632016982</v>
      </c>
      <c r="C87" s="184">
        <f t="shared" si="52"/>
        <v>0.19945703877300044</v>
      </c>
      <c r="D87" s="184">
        <f t="shared" si="52"/>
        <v>0.19562409443689419</v>
      </c>
      <c r="E87" s="184">
        <f t="shared" si="53"/>
        <v>0</v>
      </c>
      <c r="F87" s="184">
        <f t="shared" si="53"/>
        <v>0</v>
      </c>
      <c r="G87" s="184">
        <f t="shared" si="53"/>
        <v>0</v>
      </c>
      <c r="H87" s="184">
        <f t="shared" si="53"/>
        <v>0</v>
      </c>
      <c r="I87" s="184">
        <f t="shared" si="53"/>
        <v>0</v>
      </c>
      <c r="J87" s="184">
        <f t="shared" si="53"/>
        <v>0</v>
      </c>
      <c r="K87" s="184">
        <f t="shared" si="53"/>
        <v>0</v>
      </c>
      <c r="L87" s="184">
        <f t="shared" si="53"/>
        <v>0</v>
      </c>
    </row>
    <row r="88" spans="1:12">
      <c r="A88" s="59" t="str">
        <f t="shared" si="50"/>
        <v>Deferred Tax Assets (Net)</v>
      </c>
      <c r="B88" s="184">
        <f t="shared" si="52"/>
        <v>2.7947313825296118E-2</v>
      </c>
      <c r="C88" s="184">
        <f t="shared" si="52"/>
        <v>1.3701649766805114E-2</v>
      </c>
      <c r="D88" s="184">
        <f t="shared" si="52"/>
        <v>1.3208585580627407E-2</v>
      </c>
      <c r="E88" s="184">
        <f t="shared" si="53"/>
        <v>1.6106629059891679E-2</v>
      </c>
      <c r="F88" s="184">
        <f t="shared" si="53"/>
        <v>1.2288111061704025E-2</v>
      </c>
      <c r="G88" s="184">
        <f t="shared" si="53"/>
        <v>1.1588498673141363E-2</v>
      </c>
      <c r="H88" s="184">
        <f t="shared" si="53"/>
        <v>1.0956893481223544E-2</v>
      </c>
      <c r="I88" s="184">
        <f t="shared" si="53"/>
        <v>9.5565319013392446E-3</v>
      </c>
      <c r="J88" s="184">
        <f t="shared" si="53"/>
        <v>8.7371919933079585E-3</v>
      </c>
      <c r="K88" s="184">
        <f t="shared" si="53"/>
        <v>7.8998665836246922E-3</v>
      </c>
      <c r="L88" s="184">
        <f t="shared" si="53"/>
        <v>7.0382816953512622E-3</v>
      </c>
    </row>
    <row r="89" spans="1:12">
      <c r="A89" s="59" t="str">
        <f t="shared" si="50"/>
        <v>Long Term Financial Investments</v>
      </c>
      <c r="B89" s="184">
        <f t="shared" si="52"/>
        <v>9.2876269510047519E-4</v>
      </c>
      <c r="C89" s="184">
        <f t="shared" si="52"/>
        <v>1.0325544701487342E-3</v>
      </c>
      <c r="D89" s="184">
        <f t="shared" si="52"/>
        <v>1.2579605314883245E-3</v>
      </c>
      <c r="E89" s="184"/>
      <c r="F89" s="184"/>
      <c r="G89" s="184"/>
      <c r="H89" s="184"/>
      <c r="I89" s="184"/>
      <c r="J89" s="184"/>
      <c r="K89" s="184"/>
      <c r="L89" s="184"/>
    </row>
    <row r="90" spans="1:12">
      <c r="A90" s="59" t="str">
        <f t="shared" si="50"/>
        <v>Long-Term Loans And Advances</v>
      </c>
      <c r="B90" s="184">
        <f t="shared" si="52"/>
        <v>0</v>
      </c>
      <c r="C90" s="184">
        <f t="shared" si="52"/>
        <v>1.2877926537810057E-2</v>
      </c>
      <c r="D90" s="184">
        <f t="shared" si="52"/>
        <v>1.4286837464760258E-2</v>
      </c>
      <c r="E90" s="184">
        <f t="shared" ref="E90:L96" si="54">E28/E$34</f>
        <v>1.3149956459680499E-2</v>
      </c>
      <c r="F90" s="184">
        <f t="shared" si="54"/>
        <v>1.1977377218764382E-2</v>
      </c>
      <c r="G90" s="184">
        <f t="shared" si="54"/>
        <v>1.0948678122482656E-2</v>
      </c>
      <c r="H90" s="184">
        <f t="shared" si="54"/>
        <v>9.9330469253284086E-3</v>
      </c>
      <c r="I90" s="184">
        <f t="shared" si="54"/>
        <v>8.994506210457524E-3</v>
      </c>
      <c r="J90" s="184">
        <f t="shared" si="54"/>
        <v>8.1301455448589341E-3</v>
      </c>
      <c r="K90" s="184">
        <f t="shared" si="54"/>
        <v>7.3141803327034776E-3</v>
      </c>
      <c r="L90" s="184">
        <f t="shared" si="54"/>
        <v>6.5630572595399995E-3</v>
      </c>
    </row>
    <row r="91" spans="1:12">
      <c r="A91" s="59" t="str">
        <f t="shared" si="50"/>
        <v>Investment In Associates</v>
      </c>
      <c r="B91" s="184">
        <f t="shared" si="52"/>
        <v>0</v>
      </c>
      <c r="C91" s="184">
        <f t="shared" si="52"/>
        <v>0</v>
      </c>
      <c r="D91" s="184">
        <f t="shared" si="52"/>
        <v>0</v>
      </c>
      <c r="E91" s="184">
        <f t="shared" si="54"/>
        <v>0</v>
      </c>
      <c r="F91" s="184">
        <f t="shared" si="54"/>
        <v>0</v>
      </c>
      <c r="G91" s="184">
        <f t="shared" si="54"/>
        <v>0</v>
      </c>
      <c r="H91" s="184">
        <f t="shared" si="54"/>
        <v>0</v>
      </c>
      <c r="I91" s="184">
        <f t="shared" si="54"/>
        <v>0</v>
      </c>
      <c r="J91" s="184">
        <f t="shared" si="54"/>
        <v>0</v>
      </c>
      <c r="K91" s="184">
        <f t="shared" si="54"/>
        <v>0</v>
      </c>
      <c r="L91" s="184">
        <f t="shared" si="54"/>
        <v>0</v>
      </c>
    </row>
    <row r="92" spans="1:12">
      <c r="A92" s="59" t="str">
        <f t="shared" si="50"/>
        <v>Other Financial Assets</v>
      </c>
      <c r="B92" s="184">
        <f t="shared" si="52"/>
        <v>2.862277760355101E-2</v>
      </c>
      <c r="C92" s="184">
        <f t="shared" si="52"/>
        <v>1.6926932269067451E-2</v>
      </c>
      <c r="D92" s="184">
        <f t="shared" si="52"/>
        <v>1.3702784360854963E-2</v>
      </c>
      <c r="E92" s="184">
        <f t="shared" si="54"/>
        <v>1.7409219086558146E-2</v>
      </c>
      <c r="F92" s="184">
        <f t="shared" si="54"/>
        <v>1.369426016914806E-2</v>
      </c>
      <c r="G92" s="184">
        <f t="shared" si="54"/>
        <v>1.2504714050616763E-2</v>
      </c>
      <c r="H92" s="184">
        <f t="shared" si="54"/>
        <v>1.1950660929261874E-2</v>
      </c>
      <c r="I92" s="184">
        <f t="shared" si="54"/>
        <v>1.0459369691817461E-2</v>
      </c>
      <c r="J92" s="184">
        <f t="shared" si="54"/>
        <v>9.50713278965961E-3</v>
      </c>
      <c r="K92" s="184">
        <f t="shared" si="54"/>
        <v>8.6193994130259952E-3</v>
      </c>
      <c r="L92" s="184">
        <f t="shared" si="54"/>
        <v>7.6802659509572092E-3</v>
      </c>
    </row>
    <row r="93" spans="1:12">
      <c r="A93" s="59" t="str">
        <f t="shared" si="50"/>
        <v>Other Non Current Assets</v>
      </c>
      <c r="B93" s="184">
        <f t="shared" si="52"/>
        <v>2.2061129471932069E-2</v>
      </c>
      <c r="C93" s="184">
        <f t="shared" si="52"/>
        <v>2.1428405689491149E-2</v>
      </c>
      <c r="D93" s="184">
        <f t="shared" si="52"/>
        <v>2.2530971662192669E-2</v>
      </c>
      <c r="E93" s="184">
        <f t="shared" si="54"/>
        <v>1.9580202464335585E-2</v>
      </c>
      <c r="F93" s="184">
        <f t="shared" si="54"/>
        <v>1.803825651893053E-2</v>
      </c>
      <c r="G93" s="184">
        <f t="shared" si="54"/>
        <v>1.6686022641767547E-2</v>
      </c>
      <c r="H93" s="184">
        <f t="shared" si="54"/>
        <v>1.4962620825615534E-2</v>
      </c>
      <c r="I93" s="184">
        <f t="shared" si="54"/>
        <v>1.3600882042247664E-2</v>
      </c>
      <c r="J93" s="184">
        <f t="shared" si="54"/>
        <v>1.231039906159094E-2</v>
      </c>
      <c r="K93" s="184">
        <f t="shared" si="54"/>
        <v>1.105086539701282E-2</v>
      </c>
      <c r="L93" s="184">
        <f t="shared" si="54"/>
        <v>9.9259274244082006E-3</v>
      </c>
    </row>
    <row r="94" spans="1:12">
      <c r="A94" s="59" t="str">
        <f t="shared" si="50"/>
        <v>Other items 3</v>
      </c>
      <c r="B94" s="184">
        <f t="shared" si="52"/>
        <v>0</v>
      </c>
      <c r="C94" s="184">
        <f t="shared" si="52"/>
        <v>0</v>
      </c>
      <c r="D94" s="184">
        <f t="shared" si="52"/>
        <v>0</v>
      </c>
      <c r="E94" s="184">
        <f t="shared" si="54"/>
        <v>0</v>
      </c>
      <c r="F94" s="184">
        <f t="shared" si="54"/>
        <v>0</v>
      </c>
      <c r="G94" s="184">
        <f t="shared" si="54"/>
        <v>0</v>
      </c>
      <c r="H94" s="184">
        <f t="shared" si="54"/>
        <v>0</v>
      </c>
      <c r="I94" s="184">
        <f t="shared" si="54"/>
        <v>0</v>
      </c>
      <c r="J94" s="184">
        <f t="shared" si="54"/>
        <v>0</v>
      </c>
      <c r="K94" s="184">
        <f t="shared" si="54"/>
        <v>0</v>
      </c>
      <c r="L94" s="184">
        <f t="shared" si="54"/>
        <v>0</v>
      </c>
    </row>
    <row r="95" spans="1:12">
      <c r="A95" s="166" t="str">
        <f t="shared" si="50"/>
        <v>Total Non-Current Assets</v>
      </c>
      <c r="B95" s="184">
        <f t="shared" si="52"/>
        <v>0.53658360070441224</v>
      </c>
      <c r="C95" s="184">
        <f t="shared" si="52"/>
        <v>0.50053367983850383</v>
      </c>
      <c r="D95" s="184">
        <f t="shared" si="52"/>
        <v>0.46041355452472676</v>
      </c>
      <c r="E95" s="184">
        <f t="shared" si="54"/>
        <v>0.2392244521850872</v>
      </c>
      <c r="F95" s="184">
        <f t="shared" si="54"/>
        <v>0.20310413021495813</v>
      </c>
      <c r="G95" s="184">
        <f t="shared" si="54"/>
        <v>0.17964525875054524</v>
      </c>
      <c r="H95" s="184">
        <f t="shared" si="54"/>
        <v>0.15454885558764983</v>
      </c>
      <c r="I95" s="184">
        <f t="shared" si="54"/>
        <v>0.13090903460992762</v>
      </c>
      <c r="J95" s="184">
        <f t="shared" si="54"/>
        <v>0.11081271988103332</v>
      </c>
      <c r="K95" s="184">
        <f t="shared" si="54"/>
        <v>9.1697769776685478E-2</v>
      </c>
      <c r="L95" s="184">
        <f t="shared" si="54"/>
        <v>7.451962937808812E-2</v>
      </c>
    </row>
    <row r="96" spans="1:12">
      <c r="A96" s="166" t="str">
        <f t="shared" si="50"/>
        <v>Total Assets</v>
      </c>
      <c r="B96" s="184">
        <f t="shared" si="52"/>
        <v>1</v>
      </c>
      <c r="C96" s="184">
        <f t="shared" si="52"/>
        <v>1</v>
      </c>
      <c r="D96" s="184">
        <f t="shared" si="52"/>
        <v>1</v>
      </c>
      <c r="E96" s="184">
        <f t="shared" si="54"/>
        <v>1</v>
      </c>
      <c r="F96" s="184">
        <f t="shared" si="54"/>
        <v>1</v>
      </c>
      <c r="G96" s="184">
        <f t="shared" si="54"/>
        <v>1</v>
      </c>
      <c r="H96" s="184">
        <f t="shared" si="54"/>
        <v>1</v>
      </c>
      <c r="I96" s="184">
        <f t="shared" si="54"/>
        <v>1</v>
      </c>
      <c r="J96" s="184">
        <f t="shared" si="54"/>
        <v>1</v>
      </c>
      <c r="K96" s="184">
        <f t="shared" si="54"/>
        <v>1</v>
      </c>
      <c r="L96" s="184">
        <f t="shared" si="54"/>
        <v>1</v>
      </c>
    </row>
    <row r="97" spans="1:12">
      <c r="A97" s="166"/>
      <c r="B97" s="184"/>
      <c r="C97" s="184"/>
      <c r="D97" s="184"/>
      <c r="E97" s="184"/>
      <c r="F97" s="184"/>
      <c r="G97" s="184"/>
      <c r="H97" s="184"/>
      <c r="I97" s="184"/>
      <c r="J97" s="184"/>
      <c r="K97" s="184"/>
      <c r="L97" s="184"/>
    </row>
    <row r="98" spans="1:12">
      <c r="A98" s="166" t="str">
        <f>A36</f>
        <v>LIABILITIES &amp; EQUITY</v>
      </c>
      <c r="B98" s="184"/>
      <c r="C98" s="184"/>
      <c r="D98" s="184"/>
      <c r="E98" s="184"/>
      <c r="F98" s="184"/>
      <c r="G98" s="184"/>
      <c r="H98" s="184"/>
      <c r="I98" s="184"/>
      <c r="J98" s="184"/>
      <c r="K98" s="184"/>
      <c r="L98" s="184"/>
    </row>
    <row r="99" spans="1:12">
      <c r="A99" s="166"/>
      <c r="B99" s="184"/>
      <c r="C99" s="184"/>
      <c r="D99" s="184"/>
      <c r="E99" s="184"/>
      <c r="F99" s="184"/>
      <c r="G99" s="184"/>
      <c r="H99" s="184"/>
      <c r="I99" s="184"/>
      <c r="J99" s="184"/>
      <c r="K99" s="184"/>
      <c r="L99" s="184"/>
    </row>
    <row r="100" spans="1:12">
      <c r="A100" s="59" t="str">
        <f>A38</f>
        <v xml:space="preserve">Accounts Payable </v>
      </c>
      <c r="B100" s="184">
        <f t="shared" ref="B100:L100" si="55">B38/B$62</f>
        <v>1.4064120811521481E-2</v>
      </c>
      <c r="C100" s="184">
        <f t="shared" si="55"/>
        <v>6.3310671276422953E-2</v>
      </c>
      <c r="D100" s="184">
        <f t="shared" si="55"/>
        <v>7.0513180506104473E-2</v>
      </c>
      <c r="E100" s="184">
        <f t="shared" si="55"/>
        <v>5.548054436177554E-2</v>
      </c>
      <c r="F100" s="184">
        <f t="shared" si="55"/>
        <v>5.1529087423246044E-2</v>
      </c>
      <c r="G100" s="184">
        <f t="shared" si="55"/>
        <v>5.07289483176495E-2</v>
      </c>
      <c r="H100" s="184">
        <f t="shared" si="55"/>
        <v>4.520230042361284E-2</v>
      </c>
      <c r="I100" s="184">
        <f t="shared" si="55"/>
        <v>4.1979909827706684E-2</v>
      </c>
      <c r="J100" s="184">
        <f t="shared" si="55"/>
        <v>3.8995229020818249E-2</v>
      </c>
      <c r="K100" s="184">
        <f t="shared" si="55"/>
        <v>3.5492417344419547E-2</v>
      </c>
      <c r="L100" s="184">
        <f t="shared" si="55"/>
        <v>3.2537029396449528E-2</v>
      </c>
    </row>
    <row r="101" spans="1:12">
      <c r="A101" s="59" t="str">
        <f>A39</f>
        <v>Short-Term Borrowings</v>
      </c>
      <c r="B101" s="184">
        <f t="shared" ref="B101:L101" si="56">B39/B$62</f>
        <v>2.2254119122862036E-2</v>
      </c>
      <c r="C101" s="184">
        <f t="shared" si="56"/>
        <v>9.1653711395224731E-4</v>
      </c>
      <c r="D101" s="184">
        <f t="shared" si="56"/>
        <v>6.9637100850246532E-4</v>
      </c>
      <c r="E101" s="184">
        <f t="shared" si="56"/>
        <v>6.4095699724857791E-4</v>
      </c>
      <c r="F101" s="184">
        <f t="shared" si="56"/>
        <v>5.8380297764417581E-4</v>
      </c>
      <c r="G101" s="184">
        <f t="shared" si="56"/>
        <v>5.3366198395748791E-4</v>
      </c>
      <c r="H101" s="184">
        <f t="shared" si="56"/>
        <v>4.8415794761820855E-4</v>
      </c>
      <c r="I101" s="184">
        <f t="shared" si="56"/>
        <v>4.3841146623299247E-4</v>
      </c>
      <c r="J101" s="184">
        <f t="shared" si="56"/>
        <v>3.9628067907331277E-4</v>
      </c>
      <c r="K101" s="184">
        <f t="shared" si="56"/>
        <v>3.5650878980158455E-4</v>
      </c>
      <c r="L101" s="184">
        <f t="shared" si="56"/>
        <v>3.1989744504047168E-4</v>
      </c>
    </row>
    <row r="102" spans="1:12">
      <c r="A102" s="59" t="str">
        <f>A40</f>
        <v>Short-Term Lease Liabilities</v>
      </c>
      <c r="B102" s="184">
        <f t="shared" ref="B102:L102" si="57">B40/B$62</f>
        <v>8.6242250259329842E-3</v>
      </c>
      <c r="C102" s="184">
        <f t="shared" si="57"/>
        <v>8.0167993131772513E-3</v>
      </c>
      <c r="D102" s="184">
        <f t="shared" si="57"/>
        <v>7.8510215313423119E-3</v>
      </c>
      <c r="E102" s="184">
        <f t="shared" si="57"/>
        <v>7.0094850458782779E-3</v>
      </c>
      <c r="F102" s="184">
        <f t="shared" si="57"/>
        <v>6.1929170152277106E-3</v>
      </c>
      <c r="G102" s="184">
        <f t="shared" si="57"/>
        <v>5.4911961263744867E-3</v>
      </c>
      <c r="H102" s="184">
        <f t="shared" si="57"/>
        <v>4.8323623129290141E-3</v>
      </c>
      <c r="I102" s="184">
        <f t="shared" si="57"/>
        <v>4.2444953463644632E-3</v>
      </c>
      <c r="J102" s="184">
        <f t="shared" si="57"/>
        <v>3.7215065729332849E-3</v>
      </c>
      <c r="K102" s="184">
        <f t="shared" si="57"/>
        <v>3.2475651183093562E-3</v>
      </c>
      <c r="L102" s="184">
        <f t="shared" si="57"/>
        <v>2.8266376012554338E-3</v>
      </c>
    </row>
    <row r="103" spans="1:12">
      <c r="A103" s="59" t="str">
        <f t="shared" ref="A103:A107" si="58">A41</f>
        <v>Other Current Liabilities</v>
      </c>
      <c r="B103" s="184">
        <f t="shared" ref="B103:D107" si="59">B41/B$62</f>
        <v>0.21987552167515018</v>
      </c>
      <c r="C103" s="184">
        <f t="shared" si="59"/>
        <v>0.10337146437106991</v>
      </c>
      <c r="D103" s="184">
        <f t="shared" si="59"/>
        <v>0.10606179731110936</v>
      </c>
      <c r="E103" s="184"/>
      <c r="F103" s="184"/>
      <c r="G103" s="184"/>
      <c r="H103" s="184"/>
      <c r="I103" s="184"/>
      <c r="J103" s="184"/>
      <c r="K103" s="184"/>
      <c r="L103" s="184"/>
    </row>
    <row r="104" spans="1:12">
      <c r="A104" s="59" t="str">
        <f t="shared" si="58"/>
        <v>Short-Term Provisions</v>
      </c>
      <c r="B104" s="184">
        <f t="shared" si="59"/>
        <v>8.5156683472848767E-3</v>
      </c>
      <c r="C104" s="184">
        <f t="shared" si="59"/>
        <v>1.1172471401721697E-2</v>
      </c>
      <c r="D104" s="184">
        <f t="shared" si="59"/>
        <v>1.072635988902991E-2</v>
      </c>
      <c r="E104" s="184">
        <f t="shared" ref="E104:L107" si="60">E42/E$62</f>
        <v>9.8728053608450293E-3</v>
      </c>
      <c r="F104" s="184">
        <f t="shared" si="60"/>
        <v>8.9924490911320615E-3</v>
      </c>
      <c r="G104" s="184">
        <f t="shared" si="60"/>
        <v>8.2201160432161437E-3</v>
      </c>
      <c r="H104" s="184">
        <f t="shared" si="60"/>
        <v>7.4575941931514381E-3</v>
      </c>
      <c r="I104" s="184">
        <f t="shared" si="60"/>
        <v>6.7529508105243202E-3</v>
      </c>
      <c r="J104" s="184">
        <f t="shared" si="60"/>
        <v>6.1040007825002209E-3</v>
      </c>
      <c r="K104" s="184">
        <f t="shared" si="60"/>
        <v>5.4913853912986E-3</v>
      </c>
      <c r="L104" s="184">
        <f t="shared" si="60"/>
        <v>4.9274525808653295E-3</v>
      </c>
    </row>
    <row r="105" spans="1:12">
      <c r="A105" s="59" t="str">
        <f t="shared" si="58"/>
        <v>Current tax Liabilities</v>
      </c>
      <c r="B105" s="184">
        <f t="shared" si="59"/>
        <v>1.2894121052758546E-2</v>
      </c>
      <c r="C105" s="184">
        <f t="shared" si="59"/>
        <v>1.4885026800009282E-2</v>
      </c>
      <c r="D105" s="184">
        <f t="shared" si="59"/>
        <v>1.5028135635101591E-2</v>
      </c>
      <c r="E105" s="184">
        <f t="shared" si="60"/>
        <v>1.3832265521267697E-2</v>
      </c>
      <c r="F105" s="184">
        <f t="shared" si="60"/>
        <v>1.2598844904643663E-2</v>
      </c>
      <c r="G105" s="184">
        <f t="shared" si="60"/>
        <v>1.1516769911856755E-2</v>
      </c>
      <c r="H105" s="184">
        <f t="shared" si="60"/>
        <v>1.0448440869567146E-2</v>
      </c>
      <c r="I105" s="184">
        <f t="shared" si="60"/>
        <v>9.4612022874152255E-3</v>
      </c>
      <c r="J105" s="184">
        <f t="shared" si="60"/>
        <v>8.551992719356331E-3</v>
      </c>
      <c r="K105" s="184">
        <f t="shared" si="60"/>
        <v>7.6936896895890335E-3</v>
      </c>
      <c r="L105" s="184">
        <f t="shared" si="60"/>
        <v>6.9035932494217918E-3</v>
      </c>
    </row>
    <row r="106" spans="1:12">
      <c r="A106" s="59" t="str">
        <f t="shared" si="58"/>
        <v>Governmnet Grant</v>
      </c>
      <c r="B106" s="184">
        <f t="shared" si="59"/>
        <v>0</v>
      </c>
      <c r="C106" s="184">
        <f t="shared" si="59"/>
        <v>0</v>
      </c>
      <c r="D106" s="184">
        <f t="shared" si="59"/>
        <v>0</v>
      </c>
      <c r="E106" s="184">
        <f t="shared" si="60"/>
        <v>0</v>
      </c>
      <c r="F106" s="184">
        <f t="shared" si="60"/>
        <v>0</v>
      </c>
      <c r="G106" s="184">
        <f t="shared" si="60"/>
        <v>0</v>
      </c>
      <c r="H106" s="184">
        <f t="shared" si="60"/>
        <v>0</v>
      </c>
      <c r="I106" s="184">
        <f t="shared" si="60"/>
        <v>0</v>
      </c>
      <c r="J106" s="184">
        <f t="shared" si="60"/>
        <v>0</v>
      </c>
      <c r="K106" s="184">
        <f t="shared" si="60"/>
        <v>0</v>
      </c>
      <c r="L106" s="184">
        <f t="shared" si="60"/>
        <v>0</v>
      </c>
    </row>
    <row r="107" spans="1:12">
      <c r="A107" s="166" t="str">
        <f t="shared" si="58"/>
        <v>Total Current Liabilities</v>
      </c>
      <c r="B107" s="184">
        <f t="shared" si="59"/>
        <v>0.28622777603551008</v>
      </c>
      <c r="C107" s="184">
        <f t="shared" si="59"/>
        <v>0.20167297027635334</v>
      </c>
      <c r="D107" s="184">
        <f t="shared" si="59"/>
        <v>0.21087686588119012</v>
      </c>
      <c r="E107" s="184">
        <f t="shared" si="60"/>
        <v>0.17428967574665463</v>
      </c>
      <c r="F107" s="184">
        <f t="shared" si="60"/>
        <v>0.16112206419705966</v>
      </c>
      <c r="G107" s="184">
        <f t="shared" si="60"/>
        <v>0.15533769270592299</v>
      </c>
      <c r="H107" s="184">
        <f t="shared" si="60"/>
        <v>0.13935437149354857</v>
      </c>
      <c r="I107" s="184">
        <f t="shared" si="60"/>
        <v>0.12864835189545445</v>
      </c>
      <c r="J107" s="184">
        <f t="shared" si="60"/>
        <v>0.1187368748379608</v>
      </c>
      <c r="K107" s="184">
        <f t="shared" si="60"/>
        <v>0.10787916659730817</v>
      </c>
      <c r="L107" s="184">
        <f t="shared" si="60"/>
        <v>9.8453293971771882E-2</v>
      </c>
    </row>
    <row r="108" spans="1:12">
      <c r="A108" s="166"/>
      <c r="B108" s="184"/>
      <c r="C108" s="184"/>
      <c r="D108" s="184"/>
      <c r="E108" s="184"/>
      <c r="F108" s="184"/>
      <c r="G108" s="184"/>
      <c r="H108" s="184"/>
      <c r="I108" s="184"/>
      <c r="J108" s="184"/>
      <c r="K108" s="184"/>
      <c r="L108" s="184"/>
    </row>
    <row r="109" spans="1:12">
      <c r="A109" s="59" t="str">
        <f>A47</f>
        <v>Long-Term Debt</v>
      </c>
      <c r="B109" s="184">
        <f t="shared" ref="B109:L109" si="61">B47/B$62</f>
        <v>3.4352157865534458E-2</v>
      </c>
      <c r="C109" s="184">
        <f t="shared" si="61"/>
        <v>4.4411443952015218E-2</v>
      </c>
      <c r="D109" s="184">
        <f t="shared" si="61"/>
        <v>4.4062313973470511E-2</v>
      </c>
      <c r="E109" s="184">
        <f t="shared" si="61"/>
        <v>4.2583838955104515E-2</v>
      </c>
      <c r="F109" s="184">
        <f t="shared" si="61"/>
        <v>4.0725978018244478E-2</v>
      </c>
      <c r="G109" s="184">
        <f t="shared" si="61"/>
        <v>3.9089560028119065E-2</v>
      </c>
      <c r="H109" s="184">
        <f t="shared" si="61"/>
        <v>3.7236673796725878E-2</v>
      </c>
      <c r="I109" s="184">
        <f t="shared" si="61"/>
        <v>3.5404218972405227E-2</v>
      </c>
      <c r="J109" s="184">
        <f t="shared" si="61"/>
        <v>3.3602014244395337E-2</v>
      </c>
      <c r="K109" s="184">
        <f t="shared" si="61"/>
        <v>3.1741098592637185E-2</v>
      </c>
      <c r="L109" s="184">
        <f t="shared" si="61"/>
        <v>2.9905549216960928E-2</v>
      </c>
    </row>
    <row r="110" spans="1:12">
      <c r="A110" s="59" t="str">
        <f>A48</f>
        <v>Long-Term Lease Liabilities</v>
      </c>
      <c r="B110" s="184">
        <f t="shared" ref="B110:D116" si="62">B48/B$62</f>
        <v>2.6282778086025138E-2</v>
      </c>
      <c r="C110" s="184">
        <f t="shared" si="62"/>
        <v>2.2078102884191476E-2</v>
      </c>
      <c r="D110" s="184">
        <f t="shared" si="62"/>
        <v>1.8633540372670808E-2</v>
      </c>
      <c r="E110" s="184"/>
      <c r="F110" s="184"/>
      <c r="G110" s="184"/>
      <c r="H110" s="184"/>
      <c r="I110" s="184"/>
      <c r="J110" s="184"/>
      <c r="K110" s="184"/>
      <c r="L110" s="184"/>
    </row>
    <row r="111" spans="1:12">
      <c r="A111" s="59" t="str">
        <f>A49</f>
        <v xml:space="preserve">Deferred Tax Liabilities (Net) </v>
      </c>
      <c r="B111" s="184">
        <f t="shared" si="62"/>
        <v>1.0493812269317057E-3</v>
      </c>
      <c r="C111" s="184">
        <f t="shared" si="62"/>
        <v>1.7054551360883587E-3</v>
      </c>
      <c r="D111" s="184">
        <f t="shared" si="62"/>
        <v>1.2579605314883245E-3</v>
      </c>
      <c r="E111" s="184">
        <f t="shared" ref="E111:L113" si="63">E49/E$62</f>
        <v>1.1578578014813019E-3</v>
      </c>
      <c r="F111" s="184">
        <f t="shared" si="63"/>
        <v>1.0546118305830273E-3</v>
      </c>
      <c r="G111" s="184">
        <f t="shared" si="63"/>
        <v>9.6403455166513947E-4</v>
      </c>
      <c r="H111" s="184">
        <f t="shared" si="63"/>
        <v>8.746079053748284E-4</v>
      </c>
      <c r="I111" s="184">
        <f t="shared" si="63"/>
        <v>7.919691002918574E-4</v>
      </c>
      <c r="J111" s="184">
        <f t="shared" si="63"/>
        <v>7.1586187187437146E-4</v>
      </c>
      <c r="K111" s="184">
        <f t="shared" si="63"/>
        <v>6.4401587835124943E-4</v>
      </c>
      <c r="L111" s="184">
        <f t="shared" si="63"/>
        <v>5.7787925555698107E-4</v>
      </c>
    </row>
    <row r="112" spans="1:12">
      <c r="A112" s="59" t="str">
        <f>A50</f>
        <v xml:space="preserve">Other Long-Term Liabilities </v>
      </c>
      <c r="B112" s="184">
        <f t="shared" si="62"/>
        <v>1.4401852700648927E-2</v>
      </c>
      <c r="C112" s="184">
        <f t="shared" si="62"/>
        <v>1.7274984337656913E-2</v>
      </c>
      <c r="D112" s="184">
        <f t="shared" si="62"/>
        <v>1.2467287410286073E-2</v>
      </c>
      <c r="E112" s="184">
        <f t="shared" si="63"/>
        <v>1.1475197853966475E-2</v>
      </c>
      <c r="F112" s="184">
        <f t="shared" si="63"/>
        <v>1.0451956535242501E-2</v>
      </c>
      <c r="G112" s="184">
        <f t="shared" si="63"/>
        <v>9.5542710031098644E-3</v>
      </c>
      <c r="H112" s="184">
        <f t="shared" si="63"/>
        <v>8.6679890621969603E-3</v>
      </c>
      <c r="I112" s="184">
        <f t="shared" si="63"/>
        <v>7.8489794761068005E-3</v>
      </c>
      <c r="J112" s="184">
        <f t="shared" si="63"/>
        <v>7.0947024801835028E-3</v>
      </c>
      <c r="K112" s="184">
        <f t="shared" si="63"/>
        <v>6.3826573658025618E-3</v>
      </c>
      <c r="L112" s="184">
        <f t="shared" si="63"/>
        <v>5.7271961934665088E-3</v>
      </c>
    </row>
    <row r="113" spans="1:12">
      <c r="A113" s="59" t="str">
        <f>A51</f>
        <v>Long-Term Provisions</v>
      </c>
      <c r="B113" s="184">
        <f t="shared" si="62"/>
        <v>1.2640822135912961E-2</v>
      </c>
      <c r="C113" s="184">
        <f t="shared" si="62"/>
        <v>1.5465113580991716E-2</v>
      </c>
      <c r="D113" s="184">
        <f t="shared" si="62"/>
        <v>1.5892983500499815E-2</v>
      </c>
      <c r="E113" s="184">
        <f t="shared" si="63"/>
        <v>1.4628292759786091E-2</v>
      </c>
      <c r="F113" s="184">
        <f t="shared" si="63"/>
        <v>1.3323890538169495E-2</v>
      </c>
      <c r="G113" s="184">
        <f t="shared" si="63"/>
        <v>1.2179543666126539E-2</v>
      </c>
      <c r="H113" s="184">
        <f t="shared" si="63"/>
        <v>1.1049733804512341E-2</v>
      </c>
      <c r="I113" s="184">
        <f t="shared" si="63"/>
        <v>1.0005681043865877E-2</v>
      </c>
      <c r="J113" s="184">
        <f t="shared" si="63"/>
        <v>9.0441477562699605E-3</v>
      </c>
      <c r="K113" s="184">
        <f t="shared" si="63"/>
        <v>8.1364506059555183E-3</v>
      </c>
      <c r="L113" s="184">
        <f t="shared" si="63"/>
        <v>7.3008852376172167E-3</v>
      </c>
    </row>
    <row r="114" spans="1:12">
      <c r="A114" s="59" t="str">
        <f t="shared" ref="A114:A124" si="64">A52</f>
        <v>Other Non Current Liabilities</v>
      </c>
      <c r="B114" s="184">
        <f t="shared" si="62"/>
        <v>4.8126794200660994E-3</v>
      </c>
      <c r="C114" s="184">
        <f t="shared" si="62"/>
        <v>3.3645033296981228E-4</v>
      </c>
      <c r="D114" s="184">
        <f t="shared" si="62"/>
        <v>3.7064908517066704E-4</v>
      </c>
      <c r="E114" s="184">
        <f t="shared" ref="E114:L114" si="65">E52/E$62</f>
        <v>3.4115453079359791E-4</v>
      </c>
      <c r="F114" s="184">
        <f t="shared" si="65"/>
        <v>3.1073384293964196E-4</v>
      </c>
      <c r="G114" s="184">
        <f t="shared" si="65"/>
        <v>2.8404589468705E-4</v>
      </c>
      <c r="H114" s="184">
        <f t="shared" si="65"/>
        <v>2.5769697211936907E-4</v>
      </c>
      <c r="I114" s="184">
        <f t="shared" si="65"/>
        <v>2.3334803847885083E-4</v>
      </c>
      <c r="J114" s="184">
        <f t="shared" si="65"/>
        <v>2.1092358724869874E-4</v>
      </c>
      <c r="K114" s="184">
        <f t="shared" si="65"/>
        <v>1.8975467844277886E-4</v>
      </c>
      <c r="L114" s="184">
        <f t="shared" si="65"/>
        <v>1.7026799494089621E-4</v>
      </c>
    </row>
    <row r="115" spans="1:12">
      <c r="A115" s="166" t="str">
        <f t="shared" si="64"/>
        <v>Total Non-Current Liabilities</v>
      </c>
      <c r="B115" s="184">
        <f t="shared" si="62"/>
        <v>9.3539671435119293E-2</v>
      </c>
      <c r="C115" s="184">
        <f t="shared" si="62"/>
        <v>0.1012715502239135</v>
      </c>
      <c r="D115" s="184">
        <f t="shared" si="62"/>
        <v>9.2684734873586194E-2</v>
      </c>
      <c r="E115" s="184">
        <f t="shared" ref="E115:L115" si="66">E53/E$62</f>
        <v>8.5107510656596316E-2</v>
      </c>
      <c r="F115" s="184">
        <f t="shared" si="66"/>
        <v>7.769103699097199E-2</v>
      </c>
      <c r="G115" s="184">
        <f t="shared" si="66"/>
        <v>7.1474721126014565E-2</v>
      </c>
      <c r="H115" s="184">
        <f t="shared" si="66"/>
        <v>6.5508664325072741E-2</v>
      </c>
      <c r="I115" s="184">
        <f t="shared" si="66"/>
        <v>6.0131193534124862E-2</v>
      </c>
      <c r="J115" s="184">
        <f t="shared" si="66"/>
        <v>5.5265693812202733E-2</v>
      </c>
      <c r="K115" s="184">
        <f t="shared" si="66"/>
        <v>5.0692793652830255E-2</v>
      </c>
      <c r="L115" s="184">
        <f t="shared" si="66"/>
        <v>4.6491216135466279E-2</v>
      </c>
    </row>
    <row r="116" spans="1:12">
      <c r="A116" s="166" t="str">
        <f t="shared" si="64"/>
        <v>Total Liabilities</v>
      </c>
      <c r="B116" s="184">
        <f t="shared" si="62"/>
        <v>0.3797674474706294</v>
      </c>
      <c r="C116" s="184">
        <f t="shared" si="62"/>
        <v>0.30294452050026682</v>
      </c>
      <c r="D116" s="184">
        <f t="shared" si="62"/>
        <v>0.30356160075477634</v>
      </c>
      <c r="E116" s="184">
        <f t="shared" ref="E116:L116" si="67">E54/E$62</f>
        <v>0.25939718640325093</v>
      </c>
      <c r="F116" s="184">
        <f t="shared" si="67"/>
        <v>0.23881310118803167</v>
      </c>
      <c r="G116" s="184">
        <f t="shared" si="67"/>
        <v>0.22681241383193756</v>
      </c>
      <c r="H116" s="184">
        <f t="shared" si="67"/>
        <v>0.20486303581862131</v>
      </c>
      <c r="I116" s="184">
        <f t="shared" si="67"/>
        <v>0.18877954542957931</v>
      </c>
      <c r="J116" s="184">
        <f t="shared" si="67"/>
        <v>0.17400256865016353</v>
      </c>
      <c r="K116" s="184">
        <f t="shared" si="67"/>
        <v>0.15857196025013842</v>
      </c>
      <c r="L116" s="184">
        <f t="shared" si="67"/>
        <v>0.14494451010723816</v>
      </c>
    </row>
    <row r="117" spans="1:12">
      <c r="A117" s="166"/>
      <c r="B117" s="56"/>
      <c r="C117" s="56"/>
      <c r="D117" s="56"/>
      <c r="E117" s="56"/>
      <c r="F117" s="56"/>
      <c r="G117" s="56"/>
      <c r="H117" s="56"/>
      <c r="I117" s="56"/>
      <c r="J117" s="56"/>
      <c r="K117" s="56"/>
      <c r="L117" s="56"/>
    </row>
    <row r="118" spans="1:12">
      <c r="A118" s="166" t="str">
        <f t="shared" si="64"/>
        <v>Shareholder'S Equity:</v>
      </c>
      <c r="B118" s="56"/>
      <c r="C118" s="56"/>
      <c r="D118" s="56"/>
      <c r="E118" s="56"/>
      <c r="F118" s="56"/>
      <c r="G118" s="56"/>
      <c r="H118" s="56"/>
      <c r="I118" s="56"/>
      <c r="J118" s="56"/>
      <c r="K118" s="56"/>
      <c r="L118" s="56"/>
    </row>
    <row r="119" spans="1:12">
      <c r="A119" s="59" t="str">
        <f t="shared" si="64"/>
        <v>Share Capital</v>
      </c>
      <c r="B119" s="184">
        <f t="shared" ref="B119:D124" si="68">B57/B$62</f>
        <v>6.5495862784358191E-3</v>
      </c>
      <c r="C119" s="184">
        <f t="shared" si="68"/>
        <v>6.2997424414692436E-3</v>
      </c>
      <c r="D119" s="184">
        <f t="shared" si="68"/>
        <v>6.0988622196264308E-3</v>
      </c>
      <c r="E119" s="184">
        <f t="shared" ref="E119:L119" si="69">E57/E$62</f>
        <v>5.6135427339673834E-3</v>
      </c>
      <c r="F119" s="184">
        <f t="shared" si="69"/>
        <v>5.1129841429159266E-3</v>
      </c>
      <c r="G119" s="184">
        <f t="shared" si="69"/>
        <v>4.6738460853050961E-3</v>
      </c>
      <c r="H119" s="184">
        <f t="shared" si="69"/>
        <v>4.2402865412368915E-3</v>
      </c>
      <c r="I119" s="184">
        <f t="shared" si="69"/>
        <v>3.8396359058792727E-3</v>
      </c>
      <c r="J119" s="184">
        <f t="shared" si="69"/>
        <v>3.4706517538194972E-3</v>
      </c>
      <c r="K119" s="184">
        <f t="shared" si="69"/>
        <v>3.1223269816493611E-3</v>
      </c>
      <c r="L119" s="184">
        <f t="shared" si="69"/>
        <v>2.8016824622092923E-3</v>
      </c>
    </row>
    <row r="120" spans="1:12">
      <c r="A120" s="59" t="str">
        <f t="shared" si="64"/>
        <v>Reserves And Surplus</v>
      </c>
      <c r="B120" s="184">
        <f t="shared" si="68"/>
        <v>0.61182544086073387</v>
      </c>
      <c r="C120" s="184">
        <f t="shared" si="68"/>
        <v>0.68879504373854328</v>
      </c>
      <c r="D120" s="184">
        <f t="shared" si="68"/>
        <v>0.68930621230330325</v>
      </c>
      <c r="E120" s="184">
        <f t="shared" ref="E120:L120" si="70">E58/E$62</f>
        <v>0.73403817338299349</v>
      </c>
      <c r="F120" s="184">
        <f t="shared" si="70"/>
        <v>0.75520762637964489</v>
      </c>
      <c r="G120" s="184">
        <f t="shared" si="70"/>
        <v>0.76772185455817521</v>
      </c>
      <c r="H120" s="184">
        <f t="shared" si="70"/>
        <v>0.79017824971786954</v>
      </c>
      <c r="I120" s="184">
        <f t="shared" si="70"/>
        <v>0.80673027261787311</v>
      </c>
      <c r="J120" s="184">
        <f t="shared" si="70"/>
        <v>0.82193875020126295</v>
      </c>
      <c r="K120" s="184">
        <f t="shared" si="70"/>
        <v>0.83777669972528079</v>
      </c>
      <c r="L120" s="184">
        <f t="shared" si="70"/>
        <v>0.85177912089920216</v>
      </c>
    </row>
    <row r="121" spans="1:12">
      <c r="A121" s="166" t="str">
        <f t="shared" si="64"/>
        <v>Total Shareholder'S Equity</v>
      </c>
      <c r="B121" s="184">
        <f t="shared" si="68"/>
        <v>0.6183750271391697</v>
      </c>
      <c r="C121" s="184">
        <f t="shared" si="68"/>
        <v>0.69509478618001252</v>
      </c>
      <c r="D121" s="184">
        <f t="shared" si="68"/>
        <v>0.69540507452292966</v>
      </c>
      <c r="E121" s="184">
        <f t="shared" ref="E121:L121" si="71">E59/E$62</f>
        <v>0.7396517161169609</v>
      </c>
      <c r="F121" s="184">
        <f t="shared" si="71"/>
        <v>0.76032061052256084</v>
      </c>
      <c r="G121" s="184">
        <f t="shared" si="71"/>
        <v>0.77239570064348029</v>
      </c>
      <c r="H121" s="184">
        <f t="shared" si="71"/>
        <v>0.79441853625910641</v>
      </c>
      <c r="I121" s="184">
        <f t="shared" si="71"/>
        <v>0.81056990852375232</v>
      </c>
      <c r="J121" s="184">
        <f t="shared" si="71"/>
        <v>0.8254094019550825</v>
      </c>
      <c r="K121" s="184">
        <f t="shared" si="71"/>
        <v>0.84089902670693017</v>
      </c>
      <c r="L121" s="184">
        <f t="shared" si="71"/>
        <v>0.85458080336141151</v>
      </c>
    </row>
    <row r="122" spans="1:12">
      <c r="A122" s="59" t="str">
        <f t="shared" si="64"/>
        <v>Minority Interest</v>
      </c>
      <c r="B122" s="184">
        <f t="shared" si="68"/>
        <v>1.8575253902009504E-3</v>
      </c>
      <c r="C122" s="184">
        <f t="shared" si="68"/>
        <v>1.9606933197206301E-3</v>
      </c>
      <c r="D122" s="184">
        <f t="shared" si="68"/>
        <v>1.0333247222939809E-3</v>
      </c>
      <c r="E122" s="184">
        <f t="shared" ref="E122:L122" si="72">E60/E$62</f>
        <v>9.5109747978821234E-4</v>
      </c>
      <c r="F122" s="184">
        <f t="shared" si="72"/>
        <v>8.6628828940748658E-4</v>
      </c>
      <c r="G122" s="184">
        <f t="shared" si="72"/>
        <v>7.9188552458207882E-4</v>
      </c>
      <c r="H122" s="184">
        <f t="shared" si="72"/>
        <v>7.184279222721805E-4</v>
      </c>
      <c r="I122" s="184">
        <f t="shared" si="72"/>
        <v>6.5054604666831147E-4</v>
      </c>
      <c r="J122" s="184">
        <f t="shared" si="72"/>
        <v>5.8802939475394796E-4</v>
      </c>
      <c r="K122" s="184">
        <f t="shared" si="72"/>
        <v>5.2901304293138344E-4</v>
      </c>
      <c r="L122" s="184">
        <f t="shared" si="72"/>
        <v>4.7468653135037731E-4</v>
      </c>
    </row>
    <row r="123" spans="1:12">
      <c r="A123" s="166" t="str">
        <f t="shared" si="64"/>
        <v>Total Equity</v>
      </c>
      <c r="B123" s="184">
        <f t="shared" si="68"/>
        <v>0.6202325525293706</v>
      </c>
      <c r="C123" s="184">
        <f t="shared" si="68"/>
        <v>0.69705547949973312</v>
      </c>
      <c r="D123" s="184">
        <f t="shared" si="68"/>
        <v>0.69643839924522366</v>
      </c>
      <c r="E123" s="184">
        <f t="shared" ref="E123:L123" si="73">E61/E$62</f>
        <v>0.74060281359674907</v>
      </c>
      <c r="F123" s="184">
        <f t="shared" si="73"/>
        <v>0.76118689881196833</v>
      </c>
      <c r="G123" s="184">
        <f t="shared" si="73"/>
        <v>0.77318758616806238</v>
      </c>
      <c r="H123" s="184">
        <f t="shared" si="73"/>
        <v>0.79513696418137869</v>
      </c>
      <c r="I123" s="184">
        <f t="shared" si="73"/>
        <v>0.81122045457042069</v>
      </c>
      <c r="J123" s="184">
        <f t="shared" si="73"/>
        <v>0.82599743134983639</v>
      </c>
      <c r="K123" s="184">
        <f t="shared" si="73"/>
        <v>0.84142803974986158</v>
      </c>
      <c r="L123" s="184">
        <f t="shared" si="73"/>
        <v>0.85505548989276181</v>
      </c>
    </row>
    <row r="124" spans="1:12">
      <c r="A124" s="166" t="str">
        <f t="shared" si="64"/>
        <v>Total Liabilities And Equity</v>
      </c>
      <c r="B124" s="184">
        <f t="shared" si="68"/>
        <v>1</v>
      </c>
      <c r="C124" s="184">
        <f t="shared" si="68"/>
        <v>1</v>
      </c>
      <c r="D124" s="184">
        <f t="shared" si="68"/>
        <v>1</v>
      </c>
      <c r="E124" s="184">
        <f t="shared" ref="E124:L124" si="74">E62/E$62</f>
        <v>1</v>
      </c>
      <c r="F124" s="184">
        <f t="shared" si="74"/>
        <v>1</v>
      </c>
      <c r="G124" s="184">
        <f t="shared" si="74"/>
        <v>1</v>
      </c>
      <c r="H124" s="184">
        <f t="shared" si="74"/>
        <v>1</v>
      </c>
      <c r="I124" s="184">
        <f t="shared" si="74"/>
        <v>1</v>
      </c>
      <c r="J124" s="184">
        <f t="shared" si="74"/>
        <v>1</v>
      </c>
      <c r="K124" s="184">
        <f t="shared" si="74"/>
        <v>1</v>
      </c>
      <c r="L124" s="184">
        <f t="shared" si="74"/>
        <v>1</v>
      </c>
    </row>
    <row r="125" spans="1:12">
      <c r="A125" s="60"/>
    </row>
    <row r="126" spans="1:12">
      <c r="A126" s="60"/>
    </row>
    <row r="127" spans="1:12">
      <c r="A127" s="60"/>
    </row>
    <row r="128" spans="1:12">
      <c r="A128" s="60"/>
    </row>
    <row r="129" spans="1:1">
      <c r="A129" s="60"/>
    </row>
    <row r="130" spans="1:1">
      <c r="A130" s="60"/>
    </row>
    <row r="131" spans="1:1">
      <c r="A131" s="60"/>
    </row>
    <row r="132" spans="1:1">
      <c r="A132" s="60"/>
    </row>
    <row r="133" spans="1:1">
      <c r="A133" s="60"/>
    </row>
    <row r="134" spans="1:1">
      <c r="A134" s="60"/>
    </row>
  </sheetData>
  <pageMargins left="0.7" right="0.7" top="0.75" bottom="0.75" header="0.3" footer="0.3"/>
  <pageSetup paperSize="8" scale="67"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93"/>
  <sheetViews>
    <sheetView showGridLines="0" zoomScale="70" zoomScaleNormal="70" workbookViewId="0">
      <pane xSplit="1" ySplit="5" topLeftCell="B6" activePane="bottomRight" state="frozen"/>
      <selection activeCell="B16" sqref="B16"/>
      <selection pane="topRight" activeCell="B16" sqref="B16"/>
      <selection pane="bottomLeft" activeCell="B16" sqref="B16"/>
      <selection pane="bottomRight"/>
    </sheetView>
  </sheetViews>
  <sheetFormatPr baseColWidth="10" defaultColWidth="9.1640625" defaultRowHeight="19"/>
  <cols>
    <col min="1" max="1" width="93" style="94" bestFit="1" customWidth="1"/>
    <col min="2" max="4" width="15.5" style="104" bestFit="1" customWidth="1"/>
    <col min="5" max="8" width="13.33203125" style="104" bestFit="1" customWidth="1"/>
    <col min="9" max="12" width="14.83203125" style="104" bestFit="1" customWidth="1"/>
    <col min="13" max="16384" width="9.1640625" style="6"/>
  </cols>
  <sheetData>
    <row r="1" spans="1:12" ht="33.75" customHeight="1">
      <c r="A1" s="2" t="str">
        <f>Dashboard!A1</f>
        <v>Company Name: HCL Technologies Ltd</v>
      </c>
      <c r="B1" s="160"/>
      <c r="C1" s="160"/>
      <c r="D1" s="160"/>
      <c r="E1" s="160"/>
      <c r="F1" s="160"/>
      <c r="G1" s="160"/>
      <c r="H1" s="160"/>
      <c r="I1" s="160"/>
      <c r="J1" s="160"/>
      <c r="K1" s="160"/>
      <c r="L1" s="160"/>
    </row>
    <row r="2" spans="1:12" ht="20.25" customHeight="1">
      <c r="A2" s="4" t="s">
        <v>2</v>
      </c>
      <c r="B2" s="162"/>
      <c r="C2" s="162"/>
      <c r="D2" s="162"/>
      <c r="E2" s="162"/>
      <c r="F2" s="162"/>
      <c r="G2" s="162"/>
      <c r="H2" s="162"/>
      <c r="I2" s="162"/>
      <c r="J2" s="162"/>
      <c r="K2" s="162"/>
      <c r="L2" s="162"/>
    </row>
    <row r="3" spans="1:12" ht="14">
      <c r="A3" s="6" t="s">
        <v>38</v>
      </c>
      <c r="B3" s="161"/>
      <c r="C3" s="161"/>
      <c r="D3" s="161"/>
      <c r="E3" s="161"/>
      <c r="F3" s="161"/>
      <c r="G3" s="161"/>
      <c r="H3" s="161"/>
      <c r="I3" s="161"/>
      <c r="J3" s="161"/>
      <c r="K3" s="161"/>
      <c r="L3" s="161"/>
    </row>
    <row r="4" spans="1:12" ht="14">
      <c r="A4" s="40"/>
      <c r="B4" s="161"/>
      <c r="C4" s="161"/>
      <c r="D4" s="161"/>
      <c r="E4" s="161"/>
      <c r="F4" s="161"/>
      <c r="G4" s="161"/>
      <c r="H4" s="161"/>
      <c r="I4" s="161"/>
      <c r="J4" s="161"/>
      <c r="K4" s="161"/>
      <c r="L4" s="161"/>
    </row>
    <row r="5" spans="1:12">
      <c r="A5" s="185" t="str">
        <f>Assumptions!A5</f>
        <v>Particular</v>
      </c>
      <c r="B5" s="185" t="str">
        <f>Assumptions!B5</f>
        <v>FY2020 A</v>
      </c>
      <c r="C5" s="185" t="str">
        <f>Assumptions!C5</f>
        <v>FY2021 A</v>
      </c>
      <c r="D5" s="185" t="str">
        <f>Assumptions!D5</f>
        <v>FY2022 A</v>
      </c>
      <c r="E5" s="185" t="str">
        <f>Assumptions!E5</f>
        <v>FY2023 E</v>
      </c>
      <c r="F5" s="185" t="str">
        <f>Assumptions!F5</f>
        <v>FY2024 E</v>
      </c>
      <c r="G5" s="185" t="str">
        <f>Assumptions!G5</f>
        <v>FY2025 E</v>
      </c>
      <c r="H5" s="185" t="str">
        <f>Assumptions!H5</f>
        <v>FY2026 E</v>
      </c>
      <c r="I5" s="185" t="str">
        <f>Assumptions!I5</f>
        <v>FY2027 E</v>
      </c>
      <c r="J5" s="185" t="str">
        <f>Assumptions!J5</f>
        <v>FY2028 E</v>
      </c>
      <c r="K5" s="185" t="str">
        <f>Assumptions!K5</f>
        <v>FY2029 E</v>
      </c>
      <c r="L5" s="185" t="str">
        <f>Assumptions!L5</f>
        <v>FY2030 E</v>
      </c>
    </row>
    <row r="6" spans="1:12">
      <c r="A6" s="186" t="s">
        <v>78</v>
      </c>
      <c r="B6" s="187"/>
      <c r="C6" s="187"/>
      <c r="D6" s="187"/>
      <c r="E6" s="187"/>
      <c r="F6" s="187"/>
      <c r="G6" s="187"/>
      <c r="H6" s="187"/>
      <c r="I6" s="187"/>
      <c r="J6" s="187"/>
      <c r="K6" s="187"/>
      <c r="L6" s="187"/>
    </row>
    <row r="7" spans="1:12">
      <c r="A7" s="64" t="s">
        <v>230</v>
      </c>
      <c r="B7" s="188">
        <v>13980</v>
      </c>
      <c r="C7" s="188">
        <f>15853</f>
        <v>15853</v>
      </c>
      <c r="D7" s="188">
        <f>16951</f>
        <v>16951</v>
      </c>
      <c r="E7" s="188">
        <f>'Income Statement'!E27</f>
        <v>21136.660331556617</v>
      </c>
      <c r="F7" s="188">
        <f>'Income Statement'!F27</f>
        <v>23941.476535467416</v>
      </c>
      <c r="G7" s="188">
        <f>'Income Statement'!G27</f>
        <v>26703.571169672439</v>
      </c>
      <c r="H7" s="188">
        <f>'Income Statement'!H27</f>
        <v>30569.02457978384</v>
      </c>
      <c r="I7" s="188">
        <f>'Income Statement'!I27</f>
        <v>34740.799646717685</v>
      </c>
      <c r="J7" s="188">
        <f>'Income Statement'!J27</f>
        <v>39543.791480453336</v>
      </c>
      <c r="K7" s="188">
        <f>'Income Statement'!K27</f>
        <v>45373.383620148263</v>
      </c>
      <c r="L7" s="188">
        <f>'Income Statement'!L27</f>
        <v>52161.325295884642</v>
      </c>
    </row>
    <row r="8" spans="1:12">
      <c r="A8" s="189" t="s">
        <v>79</v>
      </c>
      <c r="B8" s="190">
        <v>0</v>
      </c>
      <c r="C8" s="190">
        <v>0</v>
      </c>
      <c r="D8" s="190">
        <v>0</v>
      </c>
      <c r="E8" s="190"/>
      <c r="F8" s="190"/>
      <c r="G8" s="190"/>
      <c r="H8" s="190"/>
      <c r="I8" s="190"/>
      <c r="J8" s="190"/>
      <c r="K8" s="190"/>
      <c r="L8" s="190"/>
    </row>
    <row r="9" spans="1:12">
      <c r="A9" s="64" t="s">
        <v>24</v>
      </c>
      <c r="B9" s="188">
        <v>3420</v>
      </c>
      <c r="C9" s="188">
        <v>4611</v>
      </c>
      <c r="D9" s="188">
        <v>4326</v>
      </c>
      <c r="E9" s="190">
        <f>-'Income Statement'!E21</f>
        <v>3953.5250777404181</v>
      </c>
      <c r="F9" s="190">
        <f>ABS('Income Statement'!F21)</f>
        <v>4340.6181744943024</v>
      </c>
      <c r="G9" s="190">
        <f>ABS('Income Statement'!G21)</f>
        <v>4688.8161185062709</v>
      </c>
      <c r="H9" s="190">
        <f>ABS('Income Statement'!H21)</f>
        <v>5276.1211716481903</v>
      </c>
      <c r="I9" s="190">
        <f>ABS('Income Statement'!I21)</f>
        <v>5810.1941226856161</v>
      </c>
      <c r="J9" s="190">
        <f>ABS('Income Statement'!J21)</f>
        <v>6405.1120793931941</v>
      </c>
      <c r="K9" s="190">
        <f>ABS('Income Statement'!K21)</f>
        <v>7108.7050359069426</v>
      </c>
      <c r="L9" s="190">
        <f>ABS('Income Statement'!L21)</f>
        <v>7853.139874347833</v>
      </c>
    </row>
    <row r="10" spans="1:12">
      <c r="A10" s="64" t="s">
        <v>269</v>
      </c>
      <c r="B10" s="188"/>
      <c r="C10" s="188"/>
      <c r="D10" s="188"/>
      <c r="E10" s="190">
        <f>-'Balance Sheet'!E21+'Balance Sheet'!D21</f>
        <v>161.34999999999991</v>
      </c>
      <c r="F10" s="190">
        <f>-'Balance Sheet'!F21+'Balance Sheet'!E21</f>
        <v>150.05549999999994</v>
      </c>
      <c r="G10" s="190">
        <f>-'Balance Sheet'!G21+'Balance Sheet'!F21</f>
        <v>139.55161499999986</v>
      </c>
      <c r="H10" s="190">
        <f>-'Balance Sheet'!H21+'Balance Sheet'!G21</f>
        <v>129.78300194999997</v>
      </c>
      <c r="I10" s="190">
        <f>-'Balance Sheet'!I21+'Balance Sheet'!H21</f>
        <v>120.69819181349999</v>
      </c>
      <c r="J10" s="190">
        <f>-'Balance Sheet'!J21+'Balance Sheet'!I21</f>
        <v>112.24931838655493</v>
      </c>
      <c r="K10" s="190">
        <f>-'Balance Sheet'!K21+'Balance Sheet'!J21</f>
        <v>104.39186609949616</v>
      </c>
      <c r="L10" s="190">
        <f>-'Balance Sheet'!L21+'Balance Sheet'!K21</f>
        <v>97.084435472531368</v>
      </c>
    </row>
    <row r="11" spans="1:12">
      <c r="A11" s="64" t="s">
        <v>204</v>
      </c>
      <c r="B11" s="188"/>
      <c r="C11" s="188">
        <v>-102</v>
      </c>
      <c r="D11" s="188">
        <v>-15</v>
      </c>
      <c r="E11" s="190">
        <v>0</v>
      </c>
      <c r="F11" s="190">
        <v>0</v>
      </c>
      <c r="G11" s="190">
        <v>0</v>
      </c>
      <c r="H11" s="190">
        <v>0</v>
      </c>
      <c r="I11" s="190">
        <v>0</v>
      </c>
      <c r="J11" s="190">
        <v>0</v>
      </c>
      <c r="K11" s="190">
        <v>0</v>
      </c>
      <c r="L11" s="190">
        <v>0</v>
      </c>
    </row>
    <row r="12" spans="1:12">
      <c r="A12" s="64" t="s">
        <v>80</v>
      </c>
      <c r="B12" s="188"/>
      <c r="C12" s="188"/>
      <c r="D12" s="188"/>
      <c r="E12" s="190"/>
      <c r="F12" s="190"/>
      <c r="G12" s="190"/>
      <c r="H12" s="190"/>
      <c r="I12" s="190"/>
      <c r="J12" s="190"/>
      <c r="K12" s="190"/>
      <c r="L12" s="190"/>
    </row>
    <row r="13" spans="1:12">
      <c r="A13" s="64" t="s">
        <v>81</v>
      </c>
      <c r="B13" s="188">
        <v>200</v>
      </c>
      <c r="C13" s="188">
        <v>19</v>
      </c>
      <c r="D13" s="188">
        <v>21</v>
      </c>
      <c r="E13" s="190">
        <v>0</v>
      </c>
      <c r="F13" s="190">
        <v>0</v>
      </c>
      <c r="G13" s="190">
        <v>0</v>
      </c>
      <c r="H13" s="190">
        <v>0</v>
      </c>
      <c r="I13" s="190">
        <v>0</v>
      </c>
      <c r="J13" s="190">
        <v>0</v>
      </c>
      <c r="K13" s="190">
        <v>0</v>
      </c>
      <c r="L13" s="190">
        <v>0</v>
      </c>
    </row>
    <row r="14" spans="1:12">
      <c r="A14" s="64" t="s">
        <v>82</v>
      </c>
      <c r="B14" s="188"/>
      <c r="C14" s="188"/>
      <c r="D14" s="188">
        <v>1</v>
      </c>
      <c r="E14" s="190">
        <v>0</v>
      </c>
      <c r="F14" s="190">
        <v>0</v>
      </c>
      <c r="G14" s="190">
        <v>0</v>
      </c>
      <c r="H14" s="190">
        <v>0</v>
      </c>
      <c r="I14" s="190">
        <v>0</v>
      </c>
      <c r="J14" s="190">
        <v>0</v>
      </c>
      <c r="K14" s="190">
        <v>0</v>
      </c>
      <c r="L14" s="190">
        <v>0</v>
      </c>
    </row>
    <row r="15" spans="1:12">
      <c r="A15" s="64" t="s">
        <v>83</v>
      </c>
      <c r="B15" s="188"/>
      <c r="C15" s="188"/>
      <c r="D15" s="188"/>
      <c r="E15" s="190"/>
      <c r="F15" s="190"/>
      <c r="G15" s="190"/>
      <c r="H15" s="190"/>
      <c r="I15" s="190"/>
      <c r="J15" s="190"/>
      <c r="K15" s="190"/>
      <c r="L15" s="190"/>
    </row>
    <row r="16" spans="1:12">
      <c r="A16" s="64" t="s">
        <v>268</v>
      </c>
      <c r="B16" s="188"/>
      <c r="C16" s="188"/>
      <c r="D16" s="188"/>
      <c r="E16" s="190">
        <f>'Balance Sheet'!D25</f>
        <v>17417</v>
      </c>
      <c r="F16" s="190">
        <v>0</v>
      </c>
      <c r="G16" s="190">
        <v>0</v>
      </c>
      <c r="H16" s="190">
        <v>0</v>
      </c>
      <c r="I16" s="190">
        <v>0</v>
      </c>
      <c r="J16" s="190">
        <v>0</v>
      </c>
      <c r="K16" s="190">
        <v>0</v>
      </c>
      <c r="L16" s="190">
        <v>0</v>
      </c>
    </row>
    <row r="17" spans="1:12">
      <c r="A17" s="64" t="s">
        <v>84</v>
      </c>
      <c r="B17" s="188">
        <f>-441+251</f>
        <v>-190</v>
      </c>
      <c r="C17" s="188">
        <f>-645+298</f>
        <v>-347</v>
      </c>
      <c r="D17" s="188">
        <f>-583+225</f>
        <v>-358</v>
      </c>
      <c r="E17" s="190">
        <f>-'Income Statement'!E8-'Income Statement'!E23</f>
        <v>-1012.9437571493233</v>
      </c>
      <c r="F17" s="190">
        <f>-'Income Statement'!F8-'Income Statement'!F23</f>
        <v>-1518.118041430894</v>
      </c>
      <c r="G17" s="190">
        <f>-'Income Statement'!G8-'Income Statement'!G23</f>
        <v>-2112.5241986564356</v>
      </c>
      <c r="H17" s="190">
        <f>-'Income Statement'!H8-'Income Statement'!H23</f>
        <v>-2930.6042862505674</v>
      </c>
      <c r="I17" s="190">
        <f>-'Income Statement'!I8-'Income Statement'!I23</f>
        <v>-4045.3884524532928</v>
      </c>
      <c r="J17" s="190">
        <f>-'Income Statement'!J8-'Income Statement'!J23</f>
        <v>-5489.1200775452035</v>
      </c>
      <c r="K17" s="190">
        <f>-'Income Statement'!K8-'Income Statement'!K23</f>
        <v>-7445.4750182213456</v>
      </c>
      <c r="L17" s="190">
        <f>-'Income Statement'!L8-'Income Statement'!L23</f>
        <v>-10042.323570627937</v>
      </c>
    </row>
    <row r="18" spans="1:12">
      <c r="A18" s="64" t="s">
        <v>185</v>
      </c>
      <c r="B18" s="188"/>
      <c r="C18" s="188"/>
      <c r="D18" s="188">
        <v>81</v>
      </c>
      <c r="E18" s="190">
        <v>0</v>
      </c>
      <c r="F18" s="190">
        <v>0</v>
      </c>
      <c r="G18" s="190">
        <v>0</v>
      </c>
      <c r="H18" s="190">
        <v>0</v>
      </c>
      <c r="I18" s="190">
        <v>0</v>
      </c>
      <c r="J18" s="190">
        <v>0</v>
      </c>
      <c r="K18" s="190">
        <v>0</v>
      </c>
      <c r="L18" s="190">
        <v>0</v>
      </c>
    </row>
    <row r="19" spans="1:12">
      <c r="A19" s="64" t="s">
        <v>186</v>
      </c>
      <c r="B19" s="188"/>
      <c r="C19" s="188"/>
      <c r="D19" s="188"/>
      <c r="E19" s="190"/>
      <c r="F19" s="190"/>
      <c r="G19" s="190"/>
      <c r="H19" s="190"/>
      <c r="I19" s="190"/>
      <c r="J19" s="190"/>
      <c r="K19" s="190"/>
      <c r="L19" s="190"/>
    </row>
    <row r="20" spans="1:12">
      <c r="A20" s="64" t="s">
        <v>231</v>
      </c>
      <c r="B20" s="188">
        <v>-94</v>
      </c>
      <c r="C20" s="188">
        <v>-97</v>
      </c>
      <c r="D20" s="188">
        <v>-104</v>
      </c>
      <c r="E20" s="190">
        <v>0</v>
      </c>
      <c r="F20" s="190">
        <v>0</v>
      </c>
      <c r="G20" s="190">
        <v>0</v>
      </c>
      <c r="H20" s="190">
        <v>0</v>
      </c>
      <c r="I20" s="190">
        <v>0</v>
      </c>
      <c r="J20" s="190">
        <v>0</v>
      </c>
      <c r="K20" s="190">
        <v>0</v>
      </c>
      <c r="L20" s="190">
        <v>0</v>
      </c>
    </row>
    <row r="21" spans="1:12">
      <c r="A21" s="64" t="s">
        <v>232</v>
      </c>
      <c r="B21" s="188">
        <v>-16</v>
      </c>
      <c r="C21" s="188">
        <v>-3</v>
      </c>
      <c r="D21" s="188">
        <v>-10</v>
      </c>
      <c r="E21" s="190">
        <v>0</v>
      </c>
      <c r="F21" s="190">
        <v>0</v>
      </c>
      <c r="G21" s="190">
        <v>0</v>
      </c>
      <c r="H21" s="190">
        <v>0</v>
      </c>
      <c r="I21" s="190">
        <v>0</v>
      </c>
      <c r="J21" s="190">
        <v>0</v>
      </c>
      <c r="K21" s="190">
        <v>0</v>
      </c>
      <c r="L21" s="190">
        <v>0</v>
      </c>
    </row>
    <row r="22" spans="1:12">
      <c r="A22" s="64" t="s">
        <v>187</v>
      </c>
      <c r="B22" s="188"/>
      <c r="C22" s="188"/>
      <c r="D22" s="188"/>
      <c r="E22" s="190"/>
      <c r="F22" s="190"/>
      <c r="G22" s="190"/>
      <c r="H22" s="190"/>
      <c r="I22" s="190"/>
      <c r="J22" s="190"/>
      <c r="K22" s="190"/>
      <c r="L22" s="190"/>
    </row>
    <row r="23" spans="1:12">
      <c r="A23" s="64" t="s">
        <v>188</v>
      </c>
      <c r="B23" s="188"/>
      <c r="C23" s="188"/>
      <c r="D23" s="188"/>
      <c r="E23" s="190"/>
      <c r="F23" s="190"/>
      <c r="G23" s="190"/>
      <c r="H23" s="190"/>
      <c r="I23" s="190"/>
      <c r="J23" s="190"/>
      <c r="K23" s="190"/>
      <c r="L23" s="190"/>
    </row>
    <row r="24" spans="1:12">
      <c r="A24" s="64" t="s">
        <v>205</v>
      </c>
      <c r="B24" s="188"/>
      <c r="C24" s="188"/>
      <c r="D24" s="188"/>
      <c r="E24" s="190"/>
      <c r="F24" s="190"/>
      <c r="G24" s="190"/>
      <c r="H24" s="190"/>
      <c r="I24" s="190"/>
      <c r="J24" s="190"/>
      <c r="K24" s="190"/>
      <c r="L24" s="190"/>
    </row>
    <row r="25" spans="1:12">
      <c r="A25" s="64" t="s">
        <v>233</v>
      </c>
      <c r="B25" s="188">
        <v>177</v>
      </c>
      <c r="C25" s="188">
        <v>88</v>
      </c>
      <c r="D25" s="188">
        <v>-1</v>
      </c>
      <c r="E25" s="190">
        <v>0</v>
      </c>
      <c r="F25" s="190">
        <v>0</v>
      </c>
      <c r="G25" s="190">
        <v>0</v>
      </c>
      <c r="H25" s="190">
        <v>0</v>
      </c>
      <c r="I25" s="190">
        <v>0</v>
      </c>
      <c r="J25" s="190">
        <v>0</v>
      </c>
      <c r="K25" s="190">
        <v>0</v>
      </c>
      <c r="L25" s="190">
        <v>0</v>
      </c>
    </row>
    <row r="26" spans="1:12">
      <c r="A26" s="186" t="s">
        <v>189</v>
      </c>
      <c r="B26" s="190">
        <v>0</v>
      </c>
      <c r="C26" s="190">
        <v>0</v>
      </c>
      <c r="D26" s="190">
        <v>0</v>
      </c>
      <c r="E26" s="190"/>
      <c r="F26" s="190"/>
      <c r="G26" s="190"/>
      <c r="H26" s="190"/>
      <c r="I26" s="190"/>
      <c r="J26" s="190"/>
      <c r="K26" s="190"/>
      <c r="L26" s="190"/>
    </row>
    <row r="27" spans="1:12">
      <c r="A27" s="64" t="s">
        <v>264</v>
      </c>
      <c r="B27" s="188">
        <v>24</v>
      </c>
      <c r="C27" s="188">
        <v>72</v>
      </c>
      <c r="D27" s="188">
        <v>207</v>
      </c>
      <c r="E27" s="190">
        <f>-'Balance Sheet'!E12+'Balance Sheet'!D12</f>
        <v>62.400949399699329</v>
      </c>
      <c r="F27" s="190">
        <f>-'Balance Sheet'!F12+'Balance Sheet'!E12</f>
        <v>-7.6160649040737809</v>
      </c>
      <c r="G27" s="190">
        <f>-'Balance Sheet'!G12+'Balance Sheet'!F12</f>
        <v>-14.438554794978543</v>
      </c>
      <c r="H27" s="190">
        <f>-'Balance Sheet'!H12+'Balance Sheet'!G12</f>
        <v>8.582016504608589</v>
      </c>
      <c r="I27" s="190">
        <f>-'Balance Sheet'!I12+'Balance Sheet'!H12</f>
        <v>-5.0230604576114928</v>
      </c>
      <c r="J27" s="190">
        <f>-'Balance Sheet'!J12+'Balance Sheet'!I12</f>
        <v>-3.9136054648664071</v>
      </c>
      <c r="K27" s="190">
        <f>-'Balance Sheet'!K12+'Balance Sheet'!J12</f>
        <v>-0.19650081510772566</v>
      </c>
      <c r="L27" s="190">
        <f>-'Balance Sheet'!L12+'Balance Sheet'!K12</f>
        <v>-3.2191526765632403</v>
      </c>
    </row>
    <row r="28" spans="1:12">
      <c r="A28" s="64" t="s">
        <v>85</v>
      </c>
      <c r="B28" s="188">
        <v>-1957</v>
      </c>
      <c r="C28" s="188">
        <v>585</v>
      </c>
      <c r="D28" s="188">
        <v>-2809</v>
      </c>
      <c r="E28" s="190">
        <f>-'Balance Sheet'!E11+'Balance Sheet'!D11</f>
        <v>11938.635067243493</v>
      </c>
      <c r="F28" s="190">
        <f>-'Balance Sheet'!F11+'Balance Sheet'!E11</f>
        <v>-22334.900072643926</v>
      </c>
      <c r="G28" s="190">
        <f>-'Balance Sheet'!G11+'Balance Sheet'!F11</f>
        <v>19097.314349291977</v>
      </c>
      <c r="H28" s="190">
        <f>-'Balance Sheet'!H11+'Balance Sheet'!G11</f>
        <v>-21141.273869495715</v>
      </c>
      <c r="I28" s="190">
        <f>-'Balance Sheet'!I11+'Balance Sheet'!H11</f>
        <v>14049.18651874971</v>
      </c>
      <c r="J28" s="190">
        <f>-'Balance Sheet'!J11+'Balance Sheet'!I11</f>
        <v>-18994.096878408309</v>
      </c>
      <c r="K28" s="190">
        <f>-'Balance Sheet'!K11+'Balance Sheet'!J11</f>
        <v>13336.234151685443</v>
      </c>
      <c r="L28" s="190">
        <f>-'Balance Sheet'!L11+'Balance Sheet'!K11</f>
        <v>-20672.00470002013</v>
      </c>
    </row>
    <row r="29" spans="1:12">
      <c r="A29" s="64" t="s">
        <v>86</v>
      </c>
      <c r="B29" s="188">
        <v>-1229</v>
      </c>
      <c r="C29" s="188">
        <v>392</v>
      </c>
      <c r="D29" s="188">
        <v>219</v>
      </c>
      <c r="E29" s="190">
        <f>-'Balance Sheet'!E10+'Balance Sheet'!D10</f>
        <v>0</v>
      </c>
      <c r="F29" s="190">
        <f>-'Balance Sheet'!F10+'Balance Sheet'!E10</f>
        <v>0</v>
      </c>
      <c r="G29" s="190">
        <f>-'Balance Sheet'!G10+'Balance Sheet'!F10</f>
        <v>0</v>
      </c>
      <c r="H29" s="190">
        <f>-'Balance Sheet'!H10+'Balance Sheet'!G10</f>
        <v>0</v>
      </c>
      <c r="I29" s="190">
        <f>-'Balance Sheet'!I10+'Balance Sheet'!H10</f>
        <v>0</v>
      </c>
      <c r="J29" s="190">
        <f>-'Balance Sheet'!J10+'Balance Sheet'!I10</f>
        <v>0</v>
      </c>
      <c r="K29" s="190">
        <f>-'Balance Sheet'!K10+'Balance Sheet'!J10</f>
        <v>0</v>
      </c>
      <c r="L29" s="190">
        <f>-'Balance Sheet'!L10+'Balance Sheet'!K10</f>
        <v>0</v>
      </c>
    </row>
    <row r="30" spans="1:12">
      <c r="A30" s="64" t="s">
        <v>87</v>
      </c>
      <c r="B30" s="188"/>
      <c r="C30" s="188"/>
      <c r="D30" s="188"/>
      <c r="E30" s="190">
        <f>-'Balance Sheet'!E13-'Balance Sheet'!E15-'Balance Sheet'!E16-'Balance Sheet'!E17+'Balance Sheet'!D13+'Balance Sheet'!D15+'Balance Sheet'!D16+'Balance Sheet'!D17-'Balance Sheet'!E26-'Balance Sheet'!E28-'Balance Sheet'!E30-'Balance Sheet'!E31+'Balance Sheet'!D26+'Balance Sheet'!D28+'Balance Sheet'!D30+'Balance Sheet'!D31</f>
        <v>-734</v>
      </c>
      <c r="F30" s="190">
        <f>-'Balance Sheet'!F13-'Balance Sheet'!F15-'Balance Sheet'!F16-'Balance Sheet'!F17+'Balance Sheet'!E13+'Balance Sheet'!E15+'Balance Sheet'!E16+'Balance Sheet'!E17-'Balance Sheet'!F26-'Balance Sheet'!F28-'Balance Sheet'!F30-'Balance Sheet'!F31+'Balance Sheet'!E26+'Balance Sheet'!E28+'Balance Sheet'!E30+'Balance Sheet'!E31</f>
        <v>461</v>
      </c>
      <c r="G30" s="190">
        <f>-'Balance Sheet'!G13-'Balance Sheet'!G15-'Balance Sheet'!G16-'Balance Sheet'!G17+'Balance Sheet'!F13+'Balance Sheet'!F15+'Balance Sheet'!F16+'Balance Sheet'!F17-'Balance Sheet'!G26-'Balance Sheet'!G28-'Balance Sheet'!G30-'Balance Sheet'!G31+'Balance Sheet'!F26+'Balance Sheet'!F28+'Balance Sheet'!F30+'Balance Sheet'!F31</f>
        <v>-62.66666666666606</v>
      </c>
      <c r="H30" s="190">
        <f>-'Balance Sheet'!H13-'Balance Sheet'!H15-'Balance Sheet'!H16-'Balance Sheet'!H17+'Balance Sheet'!G13+'Balance Sheet'!G15+'Balance Sheet'!G16+'Balance Sheet'!G17-'Balance Sheet'!H26-'Balance Sheet'!H28-'Balance Sheet'!H30-'Balance Sheet'!H31+'Balance Sheet'!G26+'Balance Sheet'!G28+'Balance Sheet'!G30+'Balance Sheet'!G31</f>
        <v>-111.8888888888896</v>
      </c>
      <c r="I30" s="190">
        <f>-'Balance Sheet'!I13-'Balance Sheet'!I15-'Balance Sheet'!I16-'Balance Sheet'!I17+'Balance Sheet'!H13+'Balance Sheet'!H15+'Balance Sheet'!H16+'Balance Sheet'!H17-'Balance Sheet'!I26-'Balance Sheet'!I28-'Balance Sheet'!I30-'Balance Sheet'!I31+'Balance Sheet'!H26+'Balance Sheet'!H28+'Balance Sheet'!H30+'Balance Sheet'!H31</f>
        <v>95.481481481481751</v>
      </c>
      <c r="J30" s="190">
        <f>-'Balance Sheet'!J13-'Balance Sheet'!J15-'Balance Sheet'!J16-'Balance Sheet'!J17+'Balance Sheet'!I13+'Balance Sheet'!I15+'Balance Sheet'!I16+'Balance Sheet'!I17-'Balance Sheet'!J26-'Balance Sheet'!J28-'Balance Sheet'!J30-'Balance Sheet'!J31+'Balance Sheet'!I26+'Balance Sheet'!I28+'Balance Sheet'!I30+'Balance Sheet'!I31</f>
        <v>-26.358024691357741</v>
      </c>
      <c r="K30" s="190">
        <f>-'Balance Sheet'!K13-'Balance Sheet'!K15-'Balance Sheet'!K16-'Balance Sheet'!K17+'Balance Sheet'!J13+'Balance Sheet'!J15+'Balance Sheet'!J16+'Balance Sheet'!J17-'Balance Sheet'!K26-'Balance Sheet'!K28-'Balance Sheet'!K30-'Balance Sheet'!K31+'Balance Sheet'!J26+'Balance Sheet'!J28+'Balance Sheet'!J30+'Balance Sheet'!J31</f>
        <v>-14.255144032922772</v>
      </c>
      <c r="L30" s="190">
        <f>-'Balance Sheet'!L13-'Balance Sheet'!L15-'Balance Sheet'!L16-'Balance Sheet'!L17+'Balance Sheet'!K13+'Balance Sheet'!K15+'Balance Sheet'!K16+'Balance Sheet'!K17-'Balance Sheet'!L26-'Balance Sheet'!L28-'Balance Sheet'!L30-'Balance Sheet'!L31+'Balance Sheet'!K26+'Balance Sheet'!K28+'Balance Sheet'!K30+'Balance Sheet'!K31</f>
        <v>18.289437585733822</v>
      </c>
    </row>
    <row r="31" spans="1:12">
      <c r="A31" s="64" t="s">
        <v>88</v>
      </c>
      <c r="B31" s="188">
        <v>-208</v>
      </c>
      <c r="C31" s="188">
        <v>608</v>
      </c>
      <c r="D31" s="188">
        <v>718</v>
      </c>
      <c r="E31" s="190">
        <f>'Balance Sheet'!E38-'Balance Sheet'!D38</f>
        <v>-911.34706509795342</v>
      </c>
      <c r="F31" s="190">
        <f>'Balance Sheet'!F38-'Balance Sheet'!E38</f>
        <v>105.7470743155618</v>
      </c>
      <c r="G31" s="190">
        <f>'Balance Sheet'!G38-'Balance Sheet'!F38</f>
        <v>421.208473759546</v>
      </c>
      <c r="H31" s="190">
        <f>'Balance Sheet'!H38-'Balance Sheet'!G38</f>
        <v>-105.12016000121639</v>
      </c>
      <c r="I31" s="190">
        <f>'Balance Sheet'!I38-'Balance Sheet'!H38</f>
        <v>148.2962043123789</v>
      </c>
      <c r="J31" s="190">
        <f>'Balance Sheet'!J38-'Balance Sheet'!I38</f>
        <v>164.20481426737115</v>
      </c>
      <c r="K31" s="190">
        <f>'Balance Sheet'!K38-'Balance Sheet'!J38</f>
        <v>71.452792560331545</v>
      </c>
      <c r="L31" s="190">
        <f>'Balance Sheet'!L38-'Balance Sheet'!K38</f>
        <v>133.62830769277207</v>
      </c>
    </row>
    <row r="32" spans="1:12">
      <c r="A32" s="64" t="s">
        <v>245</v>
      </c>
      <c r="B32" s="188">
        <v>1810</v>
      </c>
      <c r="C32" s="188">
        <v>1384</v>
      </c>
      <c r="D32" s="188">
        <v>1116</v>
      </c>
      <c r="E32" s="190">
        <f>SUM('Balance Sheet'!E41:E43)-SUM('Balance Sheet'!D41:D43)+SUM('Balance Sheet'!E49:E52)-SUM('Balance Sheet'!D49:D52)</f>
        <v>-983.58015159661954</v>
      </c>
      <c r="F32" s="190">
        <f>SUM('Balance Sheet'!F41:F43)-SUM('Balance Sheet'!E41:E43)+SUM('Balance Sheet'!F49:F52)-SUM('Balance Sheet'!E49:E52)</f>
        <v>166.68842018046053</v>
      </c>
      <c r="G32" s="190">
        <f>SUM('Balance Sheet'!G41:G43)-SUM('Balance Sheet'!F41:F43)+SUM('Balance Sheet'!G49:G52)-SUM('Balance Sheet'!F49:F52)</f>
        <v>534.21074789547129</v>
      </c>
      <c r="H32" s="190">
        <f>SUM('Balance Sheet'!H41:H43)-SUM('Balance Sheet'!G41:G43)+SUM('Balance Sheet'!H49:H52)-SUM('Balance Sheet'!G49:G52)</f>
        <v>-77.270813041857764</v>
      </c>
      <c r="I32" s="190">
        <f>SUM('Balance Sheet'!I41:I43)-SUM('Balance Sheet'!H41:H43)+SUM('Balance Sheet'!I49:I52)-SUM('Balance Sheet'!H49:H52)</f>
        <v>218.31822473876309</v>
      </c>
      <c r="J32" s="190">
        <f>SUM('Balance Sheet'!J41:J43)-SUM('Balance Sheet'!I41:I43)+SUM('Balance Sheet'!J49:J52)-SUM('Balance Sheet'!I49:I52)</f>
        <v>237.34649308637381</v>
      </c>
      <c r="K32" s="190">
        <f>SUM('Balance Sheet'!K41:K43)-SUM('Balance Sheet'!J41:J43)+SUM('Balance Sheet'!K49:K52)-SUM('Balance Sheet'!J49:J52)</f>
        <v>130.19655577903723</v>
      </c>
      <c r="L32" s="190">
        <f>SUM('Balance Sheet'!L41:L43)-SUM('Balance Sheet'!K41:K43)+SUM('Balance Sheet'!L49:L52)-SUM('Balance Sheet'!K49:K52)</f>
        <v>203.62448121577654</v>
      </c>
    </row>
    <row r="33" spans="1:12">
      <c r="A33" s="64"/>
      <c r="B33" s="188"/>
      <c r="C33" s="188"/>
      <c r="D33" s="188"/>
      <c r="E33" s="190"/>
      <c r="F33" s="190"/>
      <c r="G33" s="190"/>
      <c r="H33" s="190"/>
      <c r="I33" s="190"/>
      <c r="J33" s="190"/>
      <c r="K33" s="190"/>
      <c r="L33" s="190"/>
    </row>
    <row r="34" spans="1:12" ht="21">
      <c r="A34" s="186" t="s">
        <v>89</v>
      </c>
      <c r="B34" s="191">
        <f t="shared" ref="B34:L34" si="0">SUM(B7:B33)</f>
        <v>15917</v>
      </c>
      <c r="C34" s="191">
        <f t="shared" si="0"/>
        <v>23063</v>
      </c>
      <c r="D34" s="191">
        <f t="shared" si="0"/>
        <v>20343</v>
      </c>
      <c r="E34" s="190">
        <f t="shared" si="0"/>
        <v>51027.700452096338</v>
      </c>
      <c r="F34" s="190">
        <f t="shared" si="0"/>
        <v>5304.9515254788466</v>
      </c>
      <c r="G34" s="190">
        <f t="shared" si="0"/>
        <v>49395.043054007627</v>
      </c>
      <c r="H34" s="190">
        <f t="shared" si="0"/>
        <v>11617.35275220839</v>
      </c>
      <c r="I34" s="190">
        <f t="shared" si="0"/>
        <v>51132.562877588221</v>
      </c>
      <c r="J34" s="190">
        <f t="shared" si="0"/>
        <v>21949.215599477084</v>
      </c>
      <c r="K34" s="190">
        <f t="shared" si="0"/>
        <v>58664.437359110132</v>
      </c>
      <c r="L34" s="190">
        <f t="shared" si="0"/>
        <v>29749.544408874666</v>
      </c>
    </row>
    <row r="35" spans="1:12">
      <c r="A35" s="64" t="s">
        <v>90</v>
      </c>
      <c r="B35" s="188">
        <v>-2558</v>
      </c>
      <c r="C35" s="188">
        <v>-3445</v>
      </c>
      <c r="D35" s="188">
        <v>-3443</v>
      </c>
      <c r="E35" s="190">
        <f>SUM('Income Statement'!E28:E30)</f>
        <v>-4979.6488234052731</v>
      </c>
      <c r="F35" s="190">
        <f>SUM('Income Statement'!F28:F30)</f>
        <v>-5851.9953109719982</v>
      </c>
      <c r="G35" s="190">
        <f>SUM('Income Statement'!G28:G30)</f>
        <v>-6072.8559368720798</v>
      </c>
      <c r="H35" s="190">
        <f>SUM('Income Statement'!H28:H30)</f>
        <v>-7208.5787411963001</v>
      </c>
      <c r="I35" s="190">
        <f>SUM('Income Statement'!I28:I30)</f>
        <v>-8194.8881653815624</v>
      </c>
      <c r="J35" s="190">
        <f>SUM('Income Statement'!J28:J30)</f>
        <v>-9215.2471808689825</v>
      </c>
      <c r="K35" s="190">
        <f>SUM('Income Statement'!K28:K30)</f>
        <v>-10658.794447254773</v>
      </c>
      <c r="L35" s="190">
        <f>SUM('Income Statement'!L28:L30)</f>
        <v>-12237.717035566098</v>
      </c>
    </row>
    <row r="36" spans="1:12">
      <c r="A36" s="186" t="s">
        <v>190</v>
      </c>
      <c r="B36" s="190">
        <f>B34+B35</f>
        <v>13359</v>
      </c>
      <c r="C36" s="190">
        <f t="shared" ref="C36:L36" si="1">C34+C35</f>
        <v>19618</v>
      </c>
      <c r="D36" s="190">
        <f t="shared" si="1"/>
        <v>16900</v>
      </c>
      <c r="E36" s="190">
        <f t="shared" si="1"/>
        <v>46048.051628691064</v>
      </c>
      <c r="F36" s="190">
        <f t="shared" si="1"/>
        <v>-547.04378549315152</v>
      </c>
      <c r="G36" s="190">
        <f t="shared" si="1"/>
        <v>43322.187117135545</v>
      </c>
      <c r="H36" s="190">
        <f t="shared" si="1"/>
        <v>4408.7740110120894</v>
      </c>
      <c r="I36" s="190">
        <f t="shared" si="1"/>
        <v>42937.674712206659</v>
      </c>
      <c r="J36" s="190">
        <f t="shared" si="1"/>
        <v>12733.968418608101</v>
      </c>
      <c r="K36" s="190">
        <f t="shared" si="1"/>
        <v>48005.642911855357</v>
      </c>
      <c r="L36" s="190">
        <f t="shared" si="1"/>
        <v>17511.827373308566</v>
      </c>
    </row>
    <row r="37" spans="1:12">
      <c r="A37" s="64" t="s">
        <v>41</v>
      </c>
      <c r="B37" s="190">
        <v>0</v>
      </c>
      <c r="C37" s="190">
        <v>0</v>
      </c>
      <c r="D37" s="190">
        <v>0</v>
      </c>
      <c r="E37" s="190"/>
      <c r="F37" s="190"/>
      <c r="G37" s="190"/>
      <c r="H37" s="190"/>
      <c r="I37" s="190"/>
      <c r="J37" s="190"/>
      <c r="K37" s="190"/>
      <c r="L37" s="190"/>
    </row>
    <row r="38" spans="1:12">
      <c r="A38" s="186" t="s">
        <v>91</v>
      </c>
      <c r="B38" s="190">
        <v>0</v>
      </c>
      <c r="C38" s="190">
        <v>0</v>
      </c>
      <c r="D38" s="190">
        <v>0</v>
      </c>
      <c r="E38" s="190"/>
      <c r="F38" s="190"/>
      <c r="G38" s="190"/>
      <c r="H38" s="190"/>
      <c r="I38" s="190"/>
      <c r="J38" s="190"/>
      <c r="K38" s="190"/>
      <c r="L38" s="190"/>
    </row>
    <row r="39" spans="1:12">
      <c r="A39" s="64" t="s">
        <v>234</v>
      </c>
      <c r="B39" s="188">
        <v>-265</v>
      </c>
      <c r="C39" s="188">
        <v>-2427</v>
      </c>
      <c r="D39" s="188">
        <v>-2625</v>
      </c>
      <c r="E39" s="190">
        <v>0</v>
      </c>
      <c r="F39" s="190">
        <v>0</v>
      </c>
      <c r="G39" s="190">
        <v>0</v>
      </c>
      <c r="H39" s="190">
        <v>0</v>
      </c>
      <c r="I39" s="190">
        <v>0</v>
      </c>
      <c r="J39" s="190">
        <v>0</v>
      </c>
      <c r="K39" s="190">
        <v>0</v>
      </c>
      <c r="L39" s="190">
        <v>0</v>
      </c>
    </row>
    <row r="40" spans="1:12">
      <c r="A40" s="64" t="s">
        <v>235</v>
      </c>
      <c r="B40" s="188">
        <v>2074</v>
      </c>
      <c r="C40" s="188">
        <v>188</v>
      </c>
      <c r="D40" s="188">
        <v>2866</v>
      </c>
      <c r="E40" s="190">
        <v>0</v>
      </c>
      <c r="F40" s="190">
        <v>0</v>
      </c>
      <c r="G40" s="190">
        <v>0</v>
      </c>
      <c r="H40" s="190">
        <v>0</v>
      </c>
      <c r="I40" s="190">
        <v>0</v>
      </c>
      <c r="J40" s="190">
        <v>0</v>
      </c>
      <c r="K40" s="190">
        <v>0</v>
      </c>
      <c r="L40" s="190">
        <v>0</v>
      </c>
    </row>
    <row r="41" spans="1:12">
      <c r="A41" s="64" t="s">
        <v>92</v>
      </c>
      <c r="B41" s="188"/>
      <c r="C41" s="188">
        <v>-1904</v>
      </c>
      <c r="D41" s="188">
        <v>-1645</v>
      </c>
      <c r="E41" s="190">
        <f>-Assumptions!E34-Assumptions!E51</f>
        <v>-2946.1420521927612</v>
      </c>
      <c r="F41" s="190">
        <f>-Assumptions!F34-Assumptions!F51</f>
        <v>-3381.1083897144372</v>
      </c>
      <c r="G41" s="190">
        <f>-Assumptions!G34-Assumptions!G51</f>
        <v>-4066.8996424201787</v>
      </c>
      <c r="H41" s="190">
        <f>-Assumptions!H34-Assumptions!H51</f>
        <v>-4214.237097638822</v>
      </c>
      <c r="I41" s="190">
        <f>-Assumptions!I34-Assumptions!I51</f>
        <v>-4748.362735524227</v>
      </c>
      <c r="J41" s="190">
        <f>-Assumptions!J34-Assumptions!J51</f>
        <v>-5315.0702583833663</v>
      </c>
      <c r="K41" s="190">
        <f>-Assumptions!K34-Assumptions!K51</f>
        <v>-5808.7088894342123</v>
      </c>
      <c r="L41" s="190">
        <f>-Assumptions!L34-Assumptions!L51</f>
        <v>-6464.2755970396593</v>
      </c>
    </row>
    <row r="42" spans="1:12">
      <c r="A42" s="64" t="s">
        <v>93</v>
      </c>
      <c r="B42" s="188">
        <f>-1866+37</f>
        <v>-1829</v>
      </c>
      <c r="C42" s="188">
        <v>151</v>
      </c>
      <c r="D42" s="188">
        <v>90</v>
      </c>
      <c r="E42" s="190">
        <v>0</v>
      </c>
      <c r="F42" s="190">
        <v>0</v>
      </c>
      <c r="G42" s="190">
        <v>0</v>
      </c>
      <c r="H42" s="190">
        <v>0</v>
      </c>
      <c r="I42" s="190">
        <v>0</v>
      </c>
      <c r="J42" s="190">
        <v>0</v>
      </c>
      <c r="K42" s="190">
        <v>0</v>
      </c>
      <c r="L42" s="190">
        <v>0</v>
      </c>
    </row>
    <row r="43" spans="1:12">
      <c r="A43" s="64" t="s">
        <v>206</v>
      </c>
      <c r="B43" s="188">
        <f>-35420+30785-15</f>
        <v>-4650</v>
      </c>
      <c r="C43" s="188">
        <f>-20792+21109-3</f>
        <v>314</v>
      </c>
      <c r="D43" s="188">
        <f>-32574+33215-1</f>
        <v>640</v>
      </c>
      <c r="E43" s="190">
        <f>-'Balance Sheet'!E27-'Balance Sheet'!E10+'Balance Sheet'!D27+'Balance Sheet'!D10</f>
        <v>0</v>
      </c>
      <c r="F43" s="190">
        <f>-'Balance Sheet'!F27-'Balance Sheet'!F10+'Balance Sheet'!E27+'Balance Sheet'!E10</f>
        <v>0</v>
      </c>
      <c r="G43" s="190">
        <f>-'Balance Sheet'!G27-'Balance Sheet'!G10+'Balance Sheet'!F27+'Balance Sheet'!F10</f>
        <v>0</v>
      </c>
      <c r="H43" s="190">
        <f>-'Balance Sheet'!H27-'Balance Sheet'!H10+'Balance Sheet'!G27+'Balance Sheet'!G10</f>
        <v>0</v>
      </c>
      <c r="I43" s="190">
        <f>-'Balance Sheet'!I27-'Balance Sheet'!I10+'Balance Sheet'!H27+'Balance Sheet'!H10</f>
        <v>0</v>
      </c>
      <c r="J43" s="190">
        <f>-'Balance Sheet'!J27-'Balance Sheet'!J10+'Balance Sheet'!I27+'Balance Sheet'!I10</f>
        <v>0</v>
      </c>
      <c r="K43" s="190">
        <f>-'Balance Sheet'!K27-'Balance Sheet'!K10+'Balance Sheet'!J27+'Balance Sheet'!J10</f>
        <v>0</v>
      </c>
      <c r="L43" s="190">
        <f>-'Balance Sheet'!L27-'Balance Sheet'!L10+'Balance Sheet'!K27+'Balance Sheet'!K10</f>
        <v>0</v>
      </c>
    </row>
    <row r="44" spans="1:12">
      <c r="A44" s="64" t="s">
        <v>191</v>
      </c>
      <c r="B44" s="188">
        <v>-5015</v>
      </c>
      <c r="C44" s="188">
        <f>-6641</f>
        <v>-6641</v>
      </c>
      <c r="D44" s="188">
        <f>-5478</f>
        <v>-5478</v>
      </c>
      <c r="E44" s="190">
        <v>0</v>
      </c>
      <c r="F44" s="190">
        <v>0</v>
      </c>
      <c r="G44" s="190">
        <v>0</v>
      </c>
      <c r="H44" s="190">
        <v>0</v>
      </c>
      <c r="I44" s="190">
        <v>0</v>
      </c>
      <c r="J44" s="190">
        <v>0</v>
      </c>
      <c r="K44" s="190">
        <v>0</v>
      </c>
      <c r="L44" s="190">
        <v>0</v>
      </c>
    </row>
    <row r="45" spans="1:12">
      <c r="A45" s="64" t="s">
        <v>192</v>
      </c>
      <c r="B45" s="188">
        <v>3261</v>
      </c>
      <c r="C45" s="188">
        <v>5219</v>
      </c>
      <c r="D45" s="188">
        <v>7111</v>
      </c>
      <c r="E45" s="190">
        <v>0</v>
      </c>
      <c r="F45" s="190">
        <v>0</v>
      </c>
      <c r="G45" s="190">
        <v>0</v>
      </c>
      <c r="H45" s="190">
        <v>0</v>
      </c>
      <c r="I45" s="190">
        <v>0</v>
      </c>
      <c r="J45" s="190">
        <v>0</v>
      </c>
      <c r="K45" s="190">
        <v>0</v>
      </c>
      <c r="L45" s="190">
        <v>0</v>
      </c>
    </row>
    <row r="46" spans="1:12" ht="12.75" customHeight="1">
      <c r="A46" s="64" t="s">
        <v>193</v>
      </c>
      <c r="B46" s="188">
        <v>282</v>
      </c>
      <c r="C46" s="188">
        <v>676</v>
      </c>
      <c r="D46" s="188">
        <v>590</v>
      </c>
      <c r="E46" s="190">
        <f>'Income Statement'!E8</f>
        <v>1453.7228403506938</v>
      </c>
      <c r="F46" s="190">
        <f>'Income Statement'!F8</f>
        <v>1980.6092751239823</v>
      </c>
      <c r="G46" s="190">
        <f>'Income Statement'!G8</f>
        <v>2558.8835479704344</v>
      </c>
      <c r="H46" s="190">
        <f>'Income Statement'!H8</f>
        <v>3426.2142877147926</v>
      </c>
      <c r="I46" s="190">
        <f>'Income Statement'!I8</f>
        <v>4560.6979792337133</v>
      </c>
      <c r="J46" s="190">
        <f>'Income Statement'!J8</f>
        <v>6023.2157387498019</v>
      </c>
      <c r="K46" s="190">
        <f>'Income Statement'!K8</f>
        <v>8012.374916737208</v>
      </c>
      <c r="L46" s="190">
        <f>'Income Statement'!L8</f>
        <v>10635.214939133566</v>
      </c>
    </row>
    <row r="47" spans="1:12" ht="12.75" customHeight="1">
      <c r="A47" s="64" t="s">
        <v>236</v>
      </c>
      <c r="B47" s="188">
        <v>-6091</v>
      </c>
      <c r="C47" s="188">
        <v>-1211</v>
      </c>
      <c r="D47" s="188"/>
      <c r="E47" s="190">
        <v>0</v>
      </c>
      <c r="F47" s="190">
        <v>0</v>
      </c>
      <c r="G47" s="190">
        <v>0</v>
      </c>
      <c r="H47" s="190">
        <v>0</v>
      </c>
      <c r="I47" s="190">
        <v>0</v>
      </c>
      <c r="J47" s="190">
        <v>0</v>
      </c>
      <c r="K47" s="190">
        <v>0</v>
      </c>
      <c r="L47" s="190">
        <v>0</v>
      </c>
    </row>
    <row r="48" spans="1:12" ht="12.75" customHeight="1">
      <c r="A48" s="64" t="s">
        <v>237</v>
      </c>
      <c r="B48" s="188"/>
      <c r="C48" s="188"/>
      <c r="D48" s="188">
        <v>40</v>
      </c>
      <c r="E48" s="190">
        <v>0</v>
      </c>
      <c r="F48" s="190">
        <v>0</v>
      </c>
      <c r="G48" s="190">
        <v>0</v>
      </c>
      <c r="H48" s="190">
        <v>0</v>
      </c>
      <c r="I48" s="190">
        <v>0</v>
      </c>
      <c r="J48" s="190">
        <v>0</v>
      </c>
      <c r="K48" s="190">
        <v>0</v>
      </c>
      <c r="L48" s="190">
        <v>0</v>
      </c>
    </row>
    <row r="49" spans="1:12" ht="12.75" customHeight="1">
      <c r="A49" s="64" t="s">
        <v>246</v>
      </c>
      <c r="B49" s="188">
        <f>-3+1</f>
        <v>-2</v>
      </c>
      <c r="C49" s="188">
        <v>-4</v>
      </c>
      <c r="D49" s="188">
        <v>-2</v>
      </c>
      <c r="E49" s="190">
        <v>0</v>
      </c>
      <c r="F49" s="190">
        <v>0</v>
      </c>
      <c r="G49" s="190">
        <v>0</v>
      </c>
      <c r="H49" s="190">
        <v>0</v>
      </c>
      <c r="I49" s="190">
        <v>0</v>
      </c>
      <c r="J49" s="190">
        <v>0</v>
      </c>
      <c r="K49" s="190">
        <v>0</v>
      </c>
      <c r="L49" s="190">
        <v>0</v>
      </c>
    </row>
    <row r="50" spans="1:12" ht="12.75" customHeight="1">
      <c r="A50" s="64" t="s">
        <v>238</v>
      </c>
      <c r="B50" s="188"/>
      <c r="C50" s="188"/>
      <c r="D50" s="188">
        <v>-9</v>
      </c>
      <c r="E50" s="190">
        <v>0</v>
      </c>
      <c r="F50" s="190">
        <v>0</v>
      </c>
      <c r="G50" s="190">
        <v>0</v>
      </c>
      <c r="H50" s="190">
        <v>0</v>
      </c>
      <c r="I50" s="190">
        <v>0</v>
      </c>
      <c r="J50" s="190">
        <v>0</v>
      </c>
      <c r="K50" s="190">
        <v>0</v>
      </c>
      <c r="L50" s="190">
        <v>0</v>
      </c>
    </row>
    <row r="51" spans="1:12" ht="12.75" customHeight="1">
      <c r="A51" s="64" t="s">
        <v>239</v>
      </c>
      <c r="B51" s="188">
        <v>-139</v>
      </c>
      <c r="C51" s="188">
        <v>-91</v>
      </c>
      <c r="D51" s="188">
        <v>-101</v>
      </c>
      <c r="E51" s="190">
        <v>0</v>
      </c>
      <c r="F51" s="190">
        <v>0</v>
      </c>
      <c r="G51" s="190">
        <v>0</v>
      </c>
      <c r="H51" s="190">
        <v>0</v>
      </c>
      <c r="I51" s="190">
        <v>0</v>
      </c>
      <c r="J51" s="190">
        <v>0</v>
      </c>
      <c r="K51" s="190">
        <v>0</v>
      </c>
      <c r="L51" s="190">
        <v>0</v>
      </c>
    </row>
    <row r="52" spans="1:12" ht="12.75" customHeight="1">
      <c r="A52" s="64" t="s">
        <v>104</v>
      </c>
      <c r="B52" s="188"/>
      <c r="C52" s="188"/>
      <c r="D52" s="188"/>
      <c r="E52" s="190"/>
      <c r="F52" s="190"/>
      <c r="G52" s="190"/>
      <c r="H52" s="190"/>
      <c r="I52" s="190"/>
      <c r="J52" s="190"/>
      <c r="K52" s="190"/>
      <c r="L52" s="190"/>
    </row>
    <row r="53" spans="1:12" ht="12.75" customHeight="1">
      <c r="A53" s="186" t="s">
        <v>194</v>
      </c>
      <c r="B53" s="190">
        <f>SUM(B39:B52)</f>
        <v>-12374</v>
      </c>
      <c r="C53" s="190">
        <f>SUM(C39:C52)</f>
        <v>-5730</v>
      </c>
      <c r="D53" s="190">
        <f>SUM(D39:D52)</f>
        <v>1477</v>
      </c>
      <c r="E53" s="190">
        <f t="shared" ref="E53:L53" si="2">SUM(E41:E52)</f>
        <v>-1492.4192118420674</v>
      </c>
      <c r="F53" s="190">
        <f t="shared" si="2"/>
        <v>-1400.4991145904548</v>
      </c>
      <c r="G53" s="190">
        <f t="shared" si="2"/>
        <v>-1508.0160944497443</v>
      </c>
      <c r="H53" s="190">
        <f t="shared" si="2"/>
        <v>-788.02280992402939</v>
      </c>
      <c r="I53" s="190">
        <f t="shared" si="2"/>
        <v>-187.66475629051365</v>
      </c>
      <c r="J53" s="190">
        <f t="shared" si="2"/>
        <v>708.14548036643555</v>
      </c>
      <c r="K53" s="190">
        <f t="shared" si="2"/>
        <v>2203.6660273029956</v>
      </c>
      <c r="L53" s="190">
        <f t="shared" si="2"/>
        <v>4170.9393420939068</v>
      </c>
    </row>
    <row r="54" spans="1:12">
      <c r="A54" s="64" t="s">
        <v>41</v>
      </c>
      <c r="B54" s="190"/>
      <c r="C54" s="190"/>
      <c r="D54" s="190"/>
      <c r="E54" s="190"/>
      <c r="F54" s="190"/>
      <c r="G54" s="190"/>
      <c r="H54" s="190"/>
      <c r="I54" s="190"/>
      <c r="J54" s="190"/>
      <c r="K54" s="190"/>
      <c r="L54" s="190"/>
    </row>
    <row r="55" spans="1:12">
      <c r="A55" s="186" t="s">
        <v>94</v>
      </c>
      <c r="B55" s="190"/>
      <c r="C55" s="190"/>
      <c r="D55" s="190"/>
      <c r="E55" s="190"/>
      <c r="F55" s="190"/>
      <c r="G55" s="190"/>
      <c r="H55" s="190"/>
      <c r="I55" s="190"/>
      <c r="J55" s="190"/>
      <c r="K55" s="190"/>
      <c r="L55" s="190"/>
    </row>
    <row r="56" spans="1:12">
      <c r="A56" s="64" t="s">
        <v>207</v>
      </c>
      <c r="B56" s="188"/>
      <c r="C56" s="188"/>
      <c r="D56" s="188"/>
      <c r="E56" s="190">
        <v>0</v>
      </c>
      <c r="F56" s="190">
        <v>0</v>
      </c>
      <c r="G56" s="190">
        <v>0</v>
      </c>
      <c r="H56" s="190">
        <v>0</v>
      </c>
      <c r="I56" s="190">
        <v>0</v>
      </c>
      <c r="J56" s="190">
        <v>0</v>
      </c>
      <c r="K56" s="190">
        <v>0</v>
      </c>
      <c r="L56" s="190">
        <v>0</v>
      </c>
    </row>
    <row r="57" spans="1:12">
      <c r="A57" s="64" t="s">
        <v>240</v>
      </c>
      <c r="B57" s="188">
        <v>152</v>
      </c>
      <c r="C57" s="188">
        <v>3752</v>
      </c>
      <c r="D57" s="188">
        <v>25</v>
      </c>
      <c r="E57" s="190">
        <f>'Balance Sheet'!E47-'Balance Sheet'!D47</f>
        <v>196.15000000000055</v>
      </c>
      <c r="F57" s="190">
        <f>'Balance Sheet'!F47-'Balance Sheet'!E47</f>
        <v>205.95750000000044</v>
      </c>
      <c r="G57" s="190">
        <f>'Balance Sheet'!G47-'Balance Sheet'!F47</f>
        <v>216.25537500000064</v>
      </c>
      <c r="H57" s="190">
        <f>'Balance Sheet'!H47-'Balance Sheet'!G47</f>
        <v>227.06814375000067</v>
      </c>
      <c r="I57" s="190">
        <f>'Balance Sheet'!I47-'Balance Sheet'!H47</f>
        <v>238.42155093749989</v>
      </c>
      <c r="J57" s="190">
        <f>'Balance Sheet'!J47-'Balance Sheet'!I47</f>
        <v>250.34262848437538</v>
      </c>
      <c r="K57" s="190">
        <f>'Balance Sheet'!K47-'Balance Sheet'!J47</f>
        <v>262.85975990859424</v>
      </c>
      <c r="L57" s="190">
        <f>'Balance Sheet'!L47-'Balance Sheet'!K47</f>
        <v>276.00274790402364</v>
      </c>
    </row>
    <row r="58" spans="1:12">
      <c r="A58" s="64" t="s">
        <v>95</v>
      </c>
      <c r="B58" s="188">
        <v>-394</v>
      </c>
      <c r="C58" s="188">
        <v>-3262</v>
      </c>
      <c r="D58" s="188">
        <v>-85</v>
      </c>
      <c r="E58" s="190"/>
      <c r="F58" s="190"/>
      <c r="G58" s="190"/>
      <c r="H58" s="190"/>
      <c r="I58" s="190"/>
      <c r="J58" s="190"/>
      <c r="K58" s="190"/>
      <c r="L58" s="190"/>
    </row>
    <row r="59" spans="1:12">
      <c r="A59" s="64" t="s">
        <v>96</v>
      </c>
      <c r="B59" s="188">
        <v>933</v>
      </c>
      <c r="C59" s="188">
        <v>815</v>
      </c>
      <c r="D59" s="188">
        <v>52</v>
      </c>
      <c r="E59" s="190">
        <f>'Balance Sheet'!E39-'Balance Sheet'!D39</f>
        <v>0</v>
      </c>
      <c r="F59" s="190">
        <f>'Balance Sheet'!F39-'Balance Sheet'!E39</f>
        <v>0</v>
      </c>
      <c r="G59" s="190">
        <f>'Balance Sheet'!G39-'Balance Sheet'!F39</f>
        <v>0</v>
      </c>
      <c r="H59" s="190">
        <f>'Balance Sheet'!H39-'Balance Sheet'!G39</f>
        <v>0</v>
      </c>
      <c r="I59" s="190">
        <f>'Balance Sheet'!I39-'Balance Sheet'!H39</f>
        <v>0</v>
      </c>
      <c r="J59" s="190">
        <f>'Balance Sheet'!J39-'Balance Sheet'!I39</f>
        <v>0</v>
      </c>
      <c r="K59" s="190">
        <f>'Balance Sheet'!K39-'Balance Sheet'!J39</f>
        <v>0</v>
      </c>
      <c r="L59" s="190">
        <f>'Balance Sheet'!L39-'Balance Sheet'!K39</f>
        <v>0</v>
      </c>
    </row>
    <row r="60" spans="1:12">
      <c r="A60" s="64" t="s">
        <v>97</v>
      </c>
      <c r="B60" s="188">
        <v>-937</v>
      </c>
      <c r="C60" s="188">
        <v>-1556</v>
      </c>
      <c r="D60" s="188">
        <v>-52</v>
      </c>
      <c r="E60" s="190"/>
      <c r="F60" s="190"/>
      <c r="G60" s="190"/>
      <c r="H60" s="190"/>
      <c r="I60" s="190"/>
      <c r="J60" s="190"/>
      <c r="K60" s="190"/>
      <c r="L60" s="190"/>
    </row>
    <row r="61" spans="1:12">
      <c r="A61" s="64" t="s">
        <v>100</v>
      </c>
      <c r="B61" s="188">
        <v>-136</v>
      </c>
      <c r="C61" s="188">
        <v>-139</v>
      </c>
      <c r="D61" s="188">
        <v>-69</v>
      </c>
      <c r="E61" s="190">
        <f>'Income Statement'!E23</f>
        <v>-440.77908320137038</v>
      </c>
      <c r="F61" s="190">
        <f>'Income Statement'!F23</f>
        <v>-462.49123369308836</v>
      </c>
      <c r="G61" s="190">
        <f>'Income Statement'!G23</f>
        <v>-446.35934931399891</v>
      </c>
      <c r="H61" s="190">
        <f>'Income Statement'!H23</f>
        <v>-495.61000146422498</v>
      </c>
      <c r="I61" s="190">
        <f>'Income Statement'!I23</f>
        <v>-515.3095267804207</v>
      </c>
      <c r="J61" s="190">
        <f>'Income Statement'!J23</f>
        <v>-534.09566120459851</v>
      </c>
      <c r="K61" s="190">
        <f>'Income Statement'!K23</f>
        <v>-566.89989851586267</v>
      </c>
      <c r="L61" s="190">
        <f>'Income Statement'!L23</f>
        <v>-592.89136850562898</v>
      </c>
    </row>
    <row r="62" spans="1:12">
      <c r="A62" s="64" t="s">
        <v>98</v>
      </c>
      <c r="B62" s="188">
        <f>-1357-268</f>
        <v>-1625</v>
      </c>
      <c r="C62" s="188">
        <v>-3256</v>
      </c>
      <c r="D62" s="188">
        <v>-11389</v>
      </c>
      <c r="E62" s="190">
        <f>'Income Statement'!E49</f>
        <v>-6524.2359895019526</v>
      </c>
      <c r="F62" s="190">
        <f>'Income Statement'!F49</f>
        <v>-8890.0467073162072</v>
      </c>
      <c r="G62" s="190">
        <f>'Income Statement'!G49</f>
        <v>-11641.221996741731</v>
      </c>
      <c r="H62" s="190">
        <f>'Income Statement'!H49</f>
        <v>-11364.989908468466</v>
      </c>
      <c r="I62" s="190">
        <f>'Income Statement'!I49</f>
        <v>-13646.550728454657</v>
      </c>
      <c r="J62" s="190">
        <f>'Income Statement'!J49</f>
        <v>-15819.831322685504</v>
      </c>
      <c r="K62" s="190">
        <f>'Income Statement'!K49</f>
        <v>-17614.118772692436</v>
      </c>
      <c r="L62" s="190">
        <f>'Income Statement'!L49</f>
        <v>-20535.199740070992</v>
      </c>
    </row>
    <row r="63" spans="1:12">
      <c r="A63" s="64" t="s">
        <v>99</v>
      </c>
      <c r="B63" s="188"/>
      <c r="C63" s="188"/>
      <c r="D63" s="188">
        <v>-2</v>
      </c>
      <c r="E63" s="190">
        <v>0</v>
      </c>
      <c r="F63" s="190">
        <v>0</v>
      </c>
      <c r="G63" s="190">
        <v>0</v>
      </c>
      <c r="H63" s="190">
        <v>0</v>
      </c>
      <c r="I63" s="190">
        <v>0</v>
      </c>
      <c r="J63" s="190">
        <v>0</v>
      </c>
      <c r="K63" s="190">
        <v>0</v>
      </c>
      <c r="L63" s="190">
        <v>0</v>
      </c>
    </row>
    <row r="64" spans="1:12">
      <c r="A64" s="64" t="s">
        <v>195</v>
      </c>
      <c r="B64" s="188"/>
      <c r="C64" s="188"/>
      <c r="D64" s="188"/>
      <c r="E64" s="190">
        <v>0</v>
      </c>
      <c r="F64" s="190">
        <v>0</v>
      </c>
      <c r="G64" s="190">
        <v>0</v>
      </c>
      <c r="H64" s="190">
        <v>0</v>
      </c>
      <c r="I64" s="190">
        <v>0</v>
      </c>
      <c r="J64" s="190">
        <v>0</v>
      </c>
      <c r="K64" s="190">
        <v>0</v>
      </c>
      <c r="L64" s="190">
        <v>0</v>
      </c>
    </row>
    <row r="65" spans="1:12">
      <c r="A65" s="64" t="s">
        <v>208</v>
      </c>
      <c r="B65" s="188"/>
      <c r="C65" s="188"/>
      <c r="D65" s="188"/>
      <c r="E65" s="190">
        <v>0</v>
      </c>
      <c r="F65" s="190">
        <v>0</v>
      </c>
      <c r="G65" s="190">
        <v>0</v>
      </c>
      <c r="H65" s="190">
        <v>0</v>
      </c>
      <c r="I65" s="190">
        <v>0</v>
      </c>
      <c r="J65" s="190">
        <v>0</v>
      </c>
      <c r="K65" s="190">
        <v>0</v>
      </c>
      <c r="L65" s="190">
        <v>0</v>
      </c>
    </row>
    <row r="66" spans="1:12">
      <c r="A66" s="64" t="s">
        <v>244</v>
      </c>
      <c r="B66" s="188">
        <v>-866</v>
      </c>
      <c r="C66" s="188">
        <v>-1016</v>
      </c>
      <c r="D66" s="188">
        <v>-1067</v>
      </c>
      <c r="E66" s="190">
        <f>'Balance Sheet'!E40-'Balance Sheet'!D40+'Balance Sheet'!E48-'Balance Sheet'!D48</f>
        <v>-236.6400000000001</v>
      </c>
      <c r="F66" s="190">
        <f>'Balance Sheet'!F40-'Balance Sheet'!E40+'Balance Sheet'!F48-'Balance Sheet'!E48</f>
        <v>-207.97380000000021</v>
      </c>
      <c r="G66" s="190">
        <f>'Balance Sheet'!G40-'Balance Sheet'!F40+'Balance Sheet'!G48-'Balance Sheet'!F48</f>
        <v>-182.97129599999994</v>
      </c>
      <c r="H66" s="190">
        <f>'Balance Sheet'!H40-'Balance Sheet'!G40+'Balance Sheet'!H48-'Balance Sheet'!G48</f>
        <v>-161.15809481999997</v>
      </c>
      <c r="I66" s="190">
        <f>'Balance Sheet'!I40-'Balance Sheet'!H40+'Balance Sheet'!I48-'Balance Sheet'!H48</f>
        <v>-142.12141777440002</v>
      </c>
      <c r="J66" s="190">
        <f>'Balance Sheet'!J40-'Balance Sheet'!I40+'Balance Sheet'!J48-'Balance Sheet'!I48</f>
        <v>-125.50209248629801</v>
      </c>
      <c r="K66" s="190">
        <f>'Balance Sheet'!K40-'Balance Sheet'!J40+'Balance Sheet'!K48-'Balance Sheet'!J48</f>
        <v>-110.98758571497217</v>
      </c>
      <c r="L66" s="190">
        <f>'Balance Sheet'!L40-'Balance Sheet'!K40+'Balance Sheet'!L48-'Balance Sheet'!K48</f>
        <v>-98.305941866361877</v>
      </c>
    </row>
    <row r="67" spans="1:12">
      <c r="A67" s="64"/>
      <c r="B67" s="188"/>
      <c r="C67" s="188"/>
      <c r="D67" s="188"/>
      <c r="E67" s="190"/>
      <c r="F67" s="190"/>
      <c r="G67" s="190"/>
      <c r="H67" s="190"/>
      <c r="I67" s="190"/>
      <c r="J67" s="190"/>
      <c r="K67" s="190"/>
      <c r="L67" s="190"/>
    </row>
    <row r="68" spans="1:12">
      <c r="A68" s="64" t="s">
        <v>209</v>
      </c>
      <c r="B68" s="188"/>
      <c r="C68" s="188"/>
      <c r="D68" s="188"/>
      <c r="E68" s="190">
        <v>0</v>
      </c>
      <c r="F68" s="190">
        <v>0</v>
      </c>
      <c r="G68" s="190">
        <v>0</v>
      </c>
      <c r="H68" s="190">
        <v>0</v>
      </c>
      <c r="I68" s="190">
        <v>0</v>
      </c>
      <c r="J68" s="190">
        <v>0</v>
      </c>
      <c r="K68" s="190">
        <v>0</v>
      </c>
      <c r="L68" s="190">
        <v>0</v>
      </c>
    </row>
    <row r="69" spans="1:12">
      <c r="A69" s="64" t="s">
        <v>241</v>
      </c>
      <c r="B69" s="188">
        <v>-295</v>
      </c>
      <c r="C69" s="188">
        <v>-6518</v>
      </c>
      <c r="D69" s="188">
        <v>-371</v>
      </c>
      <c r="E69" s="190">
        <v>0</v>
      </c>
      <c r="F69" s="190">
        <v>0</v>
      </c>
      <c r="G69" s="190">
        <v>0</v>
      </c>
      <c r="H69" s="190">
        <v>0</v>
      </c>
      <c r="I69" s="190">
        <v>0</v>
      </c>
      <c r="J69" s="190">
        <v>0</v>
      </c>
      <c r="K69" s="190">
        <v>0</v>
      </c>
      <c r="L69" s="190">
        <v>0</v>
      </c>
    </row>
    <row r="70" spans="1:12">
      <c r="A70" s="64" t="s">
        <v>242</v>
      </c>
      <c r="B70" s="188"/>
      <c r="C70" s="188">
        <v>-12</v>
      </c>
      <c r="D70" s="188">
        <v>-746</v>
      </c>
      <c r="E70" s="190">
        <v>0</v>
      </c>
      <c r="F70" s="190">
        <v>0</v>
      </c>
      <c r="G70" s="190">
        <v>0</v>
      </c>
      <c r="H70" s="190">
        <v>0</v>
      </c>
      <c r="I70" s="190">
        <v>0</v>
      </c>
      <c r="J70" s="190">
        <v>0</v>
      </c>
      <c r="K70" s="190">
        <v>0</v>
      </c>
      <c r="L70" s="190">
        <v>0</v>
      </c>
    </row>
    <row r="71" spans="1:12">
      <c r="A71" s="64" t="s">
        <v>243</v>
      </c>
      <c r="B71" s="188"/>
      <c r="C71" s="188"/>
      <c r="D71" s="188">
        <v>-804</v>
      </c>
      <c r="E71" s="190">
        <v>0</v>
      </c>
      <c r="F71" s="190">
        <v>0</v>
      </c>
      <c r="G71" s="190">
        <v>0</v>
      </c>
      <c r="H71" s="190">
        <v>0</v>
      </c>
      <c r="I71" s="190">
        <v>0</v>
      </c>
      <c r="J71" s="190">
        <v>0</v>
      </c>
      <c r="K71" s="190">
        <v>0</v>
      </c>
      <c r="L71" s="190">
        <v>0</v>
      </c>
    </row>
    <row r="72" spans="1:12">
      <c r="A72" s="64" t="s">
        <v>105</v>
      </c>
      <c r="B72" s="188"/>
      <c r="C72" s="188"/>
      <c r="D72" s="188"/>
      <c r="E72" s="190"/>
      <c r="F72" s="190"/>
      <c r="G72" s="190"/>
      <c r="H72" s="190"/>
      <c r="I72" s="190"/>
      <c r="J72" s="190"/>
      <c r="K72" s="190"/>
      <c r="L72" s="190"/>
    </row>
    <row r="73" spans="1:12">
      <c r="A73" s="186" t="s">
        <v>196</v>
      </c>
      <c r="B73" s="190">
        <f>SUM(B56:B72)</f>
        <v>-3168</v>
      </c>
      <c r="C73" s="190">
        <f t="shared" ref="C73:E73" si="3">SUM(C56:C72)</f>
        <v>-11192</v>
      </c>
      <c r="D73" s="190">
        <f t="shared" si="3"/>
        <v>-14508</v>
      </c>
      <c r="E73" s="190">
        <f t="shared" si="3"/>
        <v>-7005.5050727033231</v>
      </c>
      <c r="F73" s="190">
        <f t="shared" ref="F73:L73" si="4">SUM(F56:F72)</f>
        <v>-9354.5542410092949</v>
      </c>
      <c r="G73" s="190">
        <f t="shared" si="4"/>
        <v>-12054.29726705573</v>
      </c>
      <c r="H73" s="190">
        <f t="shared" si="4"/>
        <v>-11794.689861002691</v>
      </c>
      <c r="I73" s="190">
        <f t="shared" si="4"/>
        <v>-14065.560122071978</v>
      </c>
      <c r="J73" s="190">
        <f t="shared" si="4"/>
        <v>-16229.086447892027</v>
      </c>
      <c r="K73" s="190">
        <f t="shared" si="4"/>
        <v>-18029.146497014677</v>
      </c>
      <c r="L73" s="190">
        <f t="shared" si="4"/>
        <v>-20950.39430253896</v>
      </c>
    </row>
    <row r="74" spans="1:12">
      <c r="A74" s="49" t="s">
        <v>41</v>
      </c>
      <c r="B74" s="190"/>
      <c r="C74" s="190"/>
      <c r="D74" s="190"/>
      <c r="E74" s="190"/>
      <c r="F74" s="190"/>
      <c r="G74" s="190"/>
      <c r="H74" s="190"/>
      <c r="I74" s="190"/>
      <c r="J74" s="190"/>
      <c r="K74" s="190"/>
      <c r="L74" s="190"/>
    </row>
    <row r="75" spans="1:12">
      <c r="A75" s="192" t="s">
        <v>101</v>
      </c>
      <c r="B75" s="190">
        <f>B53+B73+B36</f>
        <v>-2183</v>
      </c>
      <c r="C75" s="190">
        <f>C53+C73+C36</f>
        <v>2696</v>
      </c>
      <c r="D75" s="190">
        <f>D53+D73+D36</f>
        <v>3869</v>
      </c>
      <c r="E75" s="190">
        <f>E53+E73+E36</f>
        <v>37550.127344145672</v>
      </c>
      <c r="F75" s="190">
        <f t="shared" ref="F75:L75" si="5">F53+F73+F36</f>
        <v>-11302.097141092901</v>
      </c>
      <c r="G75" s="190">
        <f t="shared" si="5"/>
        <v>29759.873755630069</v>
      </c>
      <c r="H75" s="190">
        <f t="shared" si="5"/>
        <v>-8173.9386599146319</v>
      </c>
      <c r="I75" s="190">
        <f t="shared" si="5"/>
        <v>28684.449833844166</v>
      </c>
      <c r="J75" s="190">
        <f t="shared" si="5"/>
        <v>-2786.9725489174907</v>
      </c>
      <c r="K75" s="190">
        <f t="shared" si="5"/>
        <v>32180.162442143675</v>
      </c>
      <c r="L75" s="190">
        <f t="shared" si="5"/>
        <v>732.37241286351491</v>
      </c>
    </row>
    <row r="76" spans="1:12">
      <c r="A76" s="49" t="s">
        <v>102</v>
      </c>
      <c r="B76" s="193">
        <v>5901</v>
      </c>
      <c r="C76" s="193">
        <f>B78</f>
        <v>3760</v>
      </c>
      <c r="D76" s="193">
        <f>C78</f>
        <v>6521</v>
      </c>
      <c r="E76" s="193">
        <f t="shared" ref="E76:L76" si="6">D78</f>
        <v>10510</v>
      </c>
      <c r="F76" s="193">
        <f t="shared" si="6"/>
        <v>48060.127344145672</v>
      </c>
      <c r="G76" s="193">
        <f t="shared" si="6"/>
        <v>36758.030203052767</v>
      </c>
      <c r="H76" s="193">
        <f t="shared" si="6"/>
        <v>66517.903958682844</v>
      </c>
      <c r="I76" s="193">
        <f t="shared" si="6"/>
        <v>58343.965298768213</v>
      </c>
      <c r="J76" s="193">
        <f t="shared" si="6"/>
        <v>87028.415132612383</v>
      </c>
      <c r="K76" s="193">
        <f t="shared" si="6"/>
        <v>84241.442583694894</v>
      </c>
      <c r="L76" s="193">
        <f t="shared" si="6"/>
        <v>116421.60502583857</v>
      </c>
    </row>
    <row r="77" spans="1:12">
      <c r="A77" s="49" t="s">
        <v>103</v>
      </c>
      <c r="B77" s="188">
        <v>42</v>
      </c>
      <c r="C77" s="188">
        <v>65</v>
      </c>
      <c r="D77" s="188">
        <v>120</v>
      </c>
      <c r="E77" s="190">
        <v>0</v>
      </c>
      <c r="F77" s="190">
        <v>0</v>
      </c>
      <c r="G77" s="190">
        <v>0</v>
      </c>
      <c r="H77" s="190">
        <v>0</v>
      </c>
      <c r="I77" s="190">
        <v>0</v>
      </c>
      <c r="J77" s="190">
        <v>0</v>
      </c>
      <c r="K77" s="190">
        <v>0</v>
      </c>
      <c r="L77" s="190">
        <v>0</v>
      </c>
    </row>
    <row r="78" spans="1:12">
      <c r="A78" s="194" t="s">
        <v>197</v>
      </c>
      <c r="B78" s="195">
        <f>SUM(B75:B77)</f>
        <v>3760</v>
      </c>
      <c r="C78" s="195">
        <f>SUM(C75:C77)</f>
        <v>6521</v>
      </c>
      <c r="D78" s="195">
        <f>SUM(D75:D77)</f>
        <v>10510</v>
      </c>
      <c r="E78" s="195">
        <f>SUM(E75:E77)</f>
        <v>48060.127344145672</v>
      </c>
      <c r="F78" s="195">
        <f t="shared" ref="F78:L78" si="7">SUM(F75:F77)</f>
        <v>36758.030203052767</v>
      </c>
      <c r="G78" s="195">
        <f t="shared" si="7"/>
        <v>66517.903958682844</v>
      </c>
      <c r="H78" s="195">
        <f t="shared" si="7"/>
        <v>58343.965298768213</v>
      </c>
      <c r="I78" s="195">
        <f t="shared" si="7"/>
        <v>87028.415132612383</v>
      </c>
      <c r="J78" s="195">
        <f t="shared" si="7"/>
        <v>84241.442583694894</v>
      </c>
      <c r="K78" s="195">
        <f t="shared" si="7"/>
        <v>116421.60502583857</v>
      </c>
      <c r="L78" s="195">
        <f t="shared" si="7"/>
        <v>117153.97743870207</v>
      </c>
    </row>
    <row r="79" spans="1:12">
      <c r="B79" s="196"/>
      <c r="C79" s="196"/>
      <c r="D79" s="196"/>
      <c r="E79" s="197"/>
      <c r="F79" s="197"/>
      <c r="G79" s="197"/>
      <c r="H79" s="197"/>
      <c r="I79" s="197"/>
      <c r="J79" s="197"/>
      <c r="K79" s="197"/>
      <c r="L79" s="197"/>
    </row>
    <row r="80" spans="1:12">
      <c r="B80" s="198"/>
      <c r="C80" s="198"/>
      <c r="D80" s="198"/>
      <c r="E80" s="198"/>
      <c r="F80" s="198"/>
      <c r="G80" s="198"/>
      <c r="H80" s="198"/>
      <c r="I80" s="198"/>
      <c r="J80" s="198"/>
      <c r="K80" s="198"/>
      <c r="L80" s="198"/>
    </row>
    <row r="81" spans="5:12">
      <c r="E81" s="109"/>
      <c r="F81" s="109"/>
      <c r="G81" s="109"/>
      <c r="H81" s="109"/>
      <c r="I81" s="109"/>
      <c r="J81" s="109"/>
      <c r="K81" s="109"/>
      <c r="L81" s="109"/>
    </row>
    <row r="82" spans="5:12">
      <c r="E82" s="109"/>
      <c r="F82" s="109"/>
      <c r="G82" s="109"/>
      <c r="H82" s="109"/>
      <c r="I82" s="109"/>
      <c r="J82" s="109"/>
      <c r="K82" s="109"/>
      <c r="L82" s="109"/>
    </row>
    <row r="83" spans="5:12">
      <c r="E83" s="109"/>
      <c r="F83" s="109"/>
      <c r="G83" s="109"/>
      <c r="H83" s="109"/>
      <c r="I83" s="109"/>
      <c r="J83" s="109"/>
      <c r="K83" s="109"/>
      <c r="L83" s="109"/>
    </row>
    <row r="84" spans="5:12">
      <c r="E84" s="109"/>
      <c r="F84" s="109"/>
      <c r="G84" s="109"/>
      <c r="H84" s="109"/>
      <c r="I84" s="109"/>
      <c r="J84" s="109"/>
      <c r="K84" s="109"/>
      <c r="L84" s="109"/>
    </row>
    <row r="85" spans="5:12">
      <c r="E85" s="109"/>
      <c r="F85" s="109"/>
      <c r="G85" s="109"/>
      <c r="H85" s="109"/>
      <c r="I85" s="109"/>
      <c r="J85" s="109"/>
      <c r="K85" s="109"/>
      <c r="L85" s="109"/>
    </row>
    <row r="86" spans="5:12">
      <c r="E86" s="109"/>
      <c r="F86" s="109"/>
      <c r="G86" s="109"/>
      <c r="H86" s="109"/>
      <c r="I86" s="109"/>
      <c r="J86" s="109"/>
      <c r="K86" s="109"/>
      <c r="L86" s="109"/>
    </row>
    <row r="87" spans="5:12">
      <c r="E87" s="109"/>
      <c r="F87" s="109"/>
      <c r="G87" s="109"/>
      <c r="H87" s="109"/>
      <c r="I87" s="109"/>
      <c r="J87" s="109"/>
      <c r="K87" s="109"/>
      <c r="L87" s="109"/>
    </row>
    <row r="88" spans="5:12">
      <c r="E88" s="109"/>
      <c r="F88" s="109"/>
      <c r="G88" s="109"/>
      <c r="H88" s="109"/>
      <c r="I88" s="109"/>
      <c r="J88" s="109"/>
      <c r="K88" s="109"/>
      <c r="L88" s="109"/>
    </row>
    <row r="89" spans="5:12">
      <c r="E89" s="109"/>
      <c r="F89" s="109"/>
      <c r="G89" s="109"/>
      <c r="H89" s="109"/>
      <c r="I89" s="109"/>
      <c r="J89" s="109"/>
      <c r="K89" s="109"/>
      <c r="L89" s="109"/>
    </row>
    <row r="90" spans="5:12">
      <c r="E90" s="109"/>
      <c r="F90" s="109"/>
      <c r="G90" s="109"/>
      <c r="H90" s="109"/>
      <c r="I90" s="109"/>
      <c r="J90" s="109"/>
      <c r="K90" s="109"/>
      <c r="L90" s="109"/>
    </row>
    <row r="91" spans="5:12">
      <c r="E91" s="109"/>
      <c r="F91" s="109"/>
      <c r="G91" s="109"/>
      <c r="H91" s="109"/>
      <c r="I91" s="109"/>
      <c r="J91" s="109"/>
      <c r="K91" s="109"/>
      <c r="L91" s="109"/>
    </row>
    <row r="92" spans="5:12">
      <c r="E92" s="109"/>
      <c r="F92" s="109"/>
      <c r="G92" s="109"/>
      <c r="H92" s="109"/>
      <c r="I92" s="109"/>
      <c r="J92" s="109"/>
      <c r="K92" s="109"/>
      <c r="L92" s="109"/>
    </row>
    <row r="93" spans="5:12">
      <c r="E93" s="109"/>
      <c r="F93" s="109"/>
      <c r="G93" s="109"/>
      <c r="H93" s="109"/>
      <c r="I93" s="109"/>
      <c r="J93" s="109"/>
      <c r="K93" s="109"/>
      <c r="L93" s="109"/>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S59"/>
  <sheetViews>
    <sheetView showGridLines="0" zoomScale="80" zoomScaleNormal="80" workbookViewId="0"/>
  </sheetViews>
  <sheetFormatPr baseColWidth="10" defaultColWidth="8.83203125" defaultRowHeight="17"/>
  <cols>
    <col min="1" max="1" width="52.1640625" style="3" bestFit="1" customWidth="1"/>
    <col min="2" max="2" width="15.83203125" style="3" bestFit="1" customWidth="1"/>
    <col min="3" max="3" width="13.5" style="3" bestFit="1" customWidth="1"/>
    <col min="4" max="5" width="14.5" style="3" bestFit="1" customWidth="1"/>
    <col min="6" max="8" width="13" style="3" bestFit="1" customWidth="1"/>
    <col min="9" max="9" width="13.5" style="3" customWidth="1"/>
    <col min="10" max="12" width="13" style="3" bestFit="1" customWidth="1"/>
    <col min="13" max="13" width="16.6640625" style="3" bestFit="1" customWidth="1"/>
    <col min="14" max="14" width="15.5" style="3" bestFit="1" customWidth="1"/>
    <col min="15" max="16384" width="8.83203125" style="3"/>
  </cols>
  <sheetData>
    <row r="1" spans="1:19" s="37" customFormat="1" ht="34.5" customHeight="1">
      <c r="A1" s="2" t="str">
        <f>Dashboard!A1</f>
        <v>Company Name: HCL Technologies Ltd</v>
      </c>
      <c r="B1" s="36"/>
      <c r="C1" s="36"/>
      <c r="D1" s="36"/>
      <c r="E1" s="36"/>
      <c r="F1" s="36"/>
      <c r="G1" s="36"/>
      <c r="H1" s="36"/>
      <c r="I1" s="36"/>
      <c r="J1" s="36"/>
      <c r="K1" s="36"/>
      <c r="L1" s="36"/>
      <c r="M1" s="36"/>
      <c r="N1" s="36"/>
      <c r="O1" s="36"/>
      <c r="P1" s="36"/>
      <c r="Q1" s="36"/>
      <c r="R1" s="36"/>
      <c r="S1" s="36"/>
    </row>
    <row r="2" spans="1:19" s="37" customFormat="1" ht="19.5" customHeight="1">
      <c r="A2" s="4" t="s">
        <v>25</v>
      </c>
      <c r="B2" s="5"/>
      <c r="C2" s="5"/>
      <c r="D2" s="5"/>
      <c r="E2" s="3"/>
      <c r="F2" s="5">
        <v>7.2999999999999995E-2</v>
      </c>
      <c r="G2" s="5"/>
      <c r="H2" s="5"/>
      <c r="I2" s="5"/>
      <c r="J2" s="5"/>
      <c r="K2" s="5"/>
      <c r="L2" s="5"/>
      <c r="M2" s="5"/>
      <c r="N2" s="5"/>
      <c r="O2" s="5"/>
      <c r="P2" s="5"/>
      <c r="Q2" s="5"/>
      <c r="R2" s="5"/>
      <c r="S2" s="5"/>
    </row>
    <row r="6" spans="1:19" s="203" customFormat="1" ht="14.5" customHeight="1">
      <c r="A6" s="199" t="s">
        <v>107</v>
      </c>
      <c r="B6" s="200"/>
      <c r="C6" s="201"/>
      <c r="D6" s="200"/>
      <c r="E6" s="200"/>
      <c r="F6" s="200"/>
      <c r="G6" s="200"/>
      <c r="H6" s="202"/>
      <c r="I6" s="200"/>
    </row>
    <row r="7" spans="1:19" s="203" customFormat="1" ht="14.5" customHeight="1" thickBot="1">
      <c r="A7" s="204"/>
      <c r="B7" s="200"/>
      <c r="C7" s="201"/>
      <c r="D7" s="200"/>
      <c r="E7" s="204"/>
      <c r="F7" s="200"/>
      <c r="G7" s="200"/>
      <c r="H7" s="202"/>
      <c r="I7" s="200"/>
    </row>
    <row r="8" spans="1:19" s="203" customFormat="1" ht="19">
      <c r="A8" s="205" t="s">
        <v>210</v>
      </c>
      <c r="B8" s="294">
        <f>E14+(E15-E14)*B9</f>
        <v>0.11363054996188028</v>
      </c>
      <c r="C8" s="206"/>
      <c r="D8" s="268" t="s">
        <v>65</v>
      </c>
      <c r="E8" s="207">
        <f>'Balance Sheet'!D61</f>
        <v>62006</v>
      </c>
      <c r="F8" s="200"/>
      <c r="G8" s="200"/>
      <c r="H8" s="208"/>
    </row>
    <row r="9" spans="1:19" s="203" customFormat="1" ht="19">
      <c r="A9" s="205" t="s">
        <v>211</v>
      </c>
      <c r="B9" s="295">
        <v>0.89</v>
      </c>
      <c r="C9" s="206"/>
      <c r="D9" s="269" t="s">
        <v>274</v>
      </c>
      <c r="E9" s="209">
        <f>'Balance Sheet'!D47+'Balance Sheet'!D39</f>
        <v>3985</v>
      </c>
      <c r="F9" s="200"/>
      <c r="G9" s="200"/>
      <c r="H9" s="208"/>
    </row>
    <row r="10" spans="1:19" s="203" customFormat="1" ht="19">
      <c r="A10" s="205" t="s">
        <v>212</v>
      </c>
      <c r="B10" s="296">
        <f>ABS('Income Statement'!D23/('Balance Sheet'!D39+'Balance Sheet'!D47))</f>
        <v>8.0050188205771644E-2</v>
      </c>
      <c r="C10" s="206"/>
      <c r="D10" s="269" t="s">
        <v>275</v>
      </c>
      <c r="E10" s="210">
        <f>E8/SUM(E8:E9)</f>
        <v>0.9396129775272386</v>
      </c>
      <c r="F10" s="200"/>
      <c r="G10" s="200"/>
      <c r="H10" s="202"/>
      <c r="I10" s="200"/>
    </row>
    <row r="11" spans="1:19" s="203" customFormat="1" ht="20" thickBot="1">
      <c r="A11" s="205" t="s">
        <v>213</v>
      </c>
      <c r="B11" s="297">
        <f>ABS('Income Statement'!D28/'Income Statement'!D27)</f>
        <v>0.20305586691050675</v>
      </c>
      <c r="C11" s="206"/>
      <c r="D11" s="270" t="s">
        <v>276</v>
      </c>
      <c r="E11" s="211">
        <f>E9/SUM(E8:E9)</f>
        <v>6.038702247276144E-2</v>
      </c>
      <c r="F11" s="200"/>
      <c r="G11" s="200"/>
      <c r="H11" s="202"/>
      <c r="I11" s="200"/>
    </row>
    <row r="12" spans="1:19" s="203" customFormat="1" ht="19">
      <c r="A12" s="212" t="s">
        <v>11</v>
      </c>
      <c r="B12" s="297">
        <f>(E10*B8)+(E11*B10*(1-B11))</f>
        <v>0.11062116136127498</v>
      </c>
      <c r="C12" s="213"/>
      <c r="D12" s="271"/>
      <c r="F12" s="200"/>
      <c r="G12" s="200"/>
      <c r="H12" s="202"/>
      <c r="I12" s="200"/>
    </row>
    <row r="13" spans="1:19" s="203" customFormat="1" ht="20" thickBot="1">
      <c r="A13" s="204"/>
      <c r="B13" s="200"/>
      <c r="C13" s="213"/>
      <c r="D13" s="271"/>
      <c r="F13" s="200"/>
      <c r="G13" s="200"/>
      <c r="H13" s="202"/>
      <c r="I13" s="200"/>
    </row>
    <row r="14" spans="1:19" s="203" customFormat="1" ht="19">
      <c r="A14" s="205" t="s">
        <v>214</v>
      </c>
      <c r="B14" s="214">
        <f>'Income Statement'!E42</f>
        <v>271.20443979999999</v>
      </c>
      <c r="C14" s="215"/>
      <c r="D14" s="272" t="s">
        <v>272</v>
      </c>
      <c r="E14" s="291">
        <v>7.1599999999999997E-2</v>
      </c>
      <c r="F14" s="200"/>
      <c r="G14" s="200"/>
      <c r="H14" s="202"/>
      <c r="I14" s="200"/>
    </row>
    <row r="15" spans="1:19" s="203" customFormat="1" ht="19">
      <c r="A15" s="205" t="s">
        <v>215</v>
      </c>
      <c r="B15" s="216">
        <v>1163.75</v>
      </c>
      <c r="C15" s="217"/>
      <c r="D15" s="269" t="s">
        <v>273</v>
      </c>
      <c r="E15" s="292">
        <f>'Market Return Calculation'!C14</f>
        <v>0.11882533703582054</v>
      </c>
      <c r="F15" s="200"/>
      <c r="G15" s="200"/>
      <c r="H15" s="202"/>
      <c r="I15" s="200"/>
    </row>
    <row r="16" spans="1:19" s="203" customFormat="1" ht="20" thickBot="1">
      <c r="A16" s="205" t="s">
        <v>10</v>
      </c>
      <c r="B16" s="214">
        <f>B14*B15</f>
        <v>315614.16681724996</v>
      </c>
      <c r="C16" s="200"/>
      <c r="D16" s="270" t="s">
        <v>299</v>
      </c>
      <c r="E16" s="293">
        <v>0.09</v>
      </c>
      <c r="F16" s="200"/>
      <c r="G16" s="200"/>
      <c r="H16" s="202"/>
      <c r="I16" s="218"/>
      <c r="N16" s="219"/>
    </row>
    <row r="17" spans="1:14" s="203" customFormat="1" ht="19">
      <c r="A17" s="205" t="s">
        <v>33</v>
      </c>
      <c r="B17" s="214">
        <f>E9</f>
        <v>3985</v>
      </c>
      <c r="C17" s="200"/>
      <c r="F17" s="200"/>
      <c r="G17" s="200"/>
      <c r="H17" s="200"/>
      <c r="I17" s="218"/>
      <c r="N17" s="219"/>
    </row>
    <row r="18" spans="1:14" s="203" customFormat="1" ht="19">
      <c r="A18" s="205" t="s">
        <v>277</v>
      </c>
      <c r="B18" s="220">
        <f>'Balance Sheet'!D8+'Balance Sheet'!D9+'Balance Sheet'!D10</f>
        <v>18875</v>
      </c>
      <c r="C18" s="200"/>
      <c r="F18" s="200"/>
      <c r="G18" s="200"/>
      <c r="H18" s="200"/>
      <c r="I18" s="218"/>
      <c r="N18" s="219"/>
    </row>
    <row r="19" spans="1:14" s="203" customFormat="1" ht="19">
      <c r="A19" s="205" t="s">
        <v>34</v>
      </c>
      <c r="B19" s="220">
        <f>'Balance Sheet'!$D$60</f>
        <v>92</v>
      </c>
      <c r="C19" s="200"/>
      <c r="F19" s="200"/>
      <c r="G19" s="200"/>
      <c r="H19" s="200"/>
      <c r="I19" s="218"/>
      <c r="N19" s="219"/>
    </row>
    <row r="20" spans="1:14" s="203" customFormat="1" ht="19">
      <c r="A20" s="221" t="s">
        <v>19</v>
      </c>
      <c r="B20" s="222">
        <f>B16+B17-B18+B19</f>
        <v>300816.16681724996</v>
      </c>
      <c r="C20" s="223"/>
      <c r="F20" s="200"/>
      <c r="G20" s="200"/>
      <c r="H20" s="224"/>
      <c r="I20" s="200"/>
    </row>
    <row r="23" spans="1:14" s="203" customFormat="1" ht="19">
      <c r="A23" s="225" t="s">
        <v>106</v>
      </c>
      <c r="B23" s="226"/>
      <c r="C23" s="226"/>
      <c r="D23" s="226"/>
      <c r="E23" s="226"/>
      <c r="F23" s="226"/>
      <c r="G23" s="226"/>
      <c r="H23" s="226"/>
      <c r="I23" s="226"/>
      <c r="J23" s="226"/>
      <c r="K23" s="226"/>
      <c r="L23" s="226"/>
      <c r="M23" s="226"/>
      <c r="N23" s="226"/>
    </row>
    <row r="24" spans="1:14" s="203" customFormat="1" ht="19">
      <c r="A24" s="194"/>
      <c r="B24" s="226"/>
      <c r="C24" s="226"/>
      <c r="D24" s="226"/>
      <c r="E24" s="226"/>
      <c r="F24" s="226"/>
      <c r="G24" s="226"/>
      <c r="H24" s="226"/>
      <c r="I24" s="226"/>
      <c r="J24" s="226"/>
      <c r="K24" s="226"/>
      <c r="L24" s="226"/>
      <c r="M24" s="226"/>
      <c r="N24" s="226"/>
    </row>
    <row r="25" spans="1:14" s="203" customFormat="1" ht="19">
      <c r="A25" s="227" t="s">
        <v>36</v>
      </c>
      <c r="B25" s="227" t="str">
        <f>Assumptions!B5</f>
        <v>FY2020 A</v>
      </c>
      <c r="C25" s="227" t="str">
        <f>Assumptions!C5</f>
        <v>FY2021 A</v>
      </c>
      <c r="D25" s="227" t="str">
        <f>Assumptions!D5</f>
        <v>FY2022 A</v>
      </c>
      <c r="E25" s="227" t="str">
        <f>Assumptions!E5</f>
        <v>FY2023 E</v>
      </c>
      <c r="F25" s="227" t="str">
        <f>Assumptions!F5</f>
        <v>FY2024 E</v>
      </c>
      <c r="G25" s="227" t="str">
        <f>Assumptions!G5</f>
        <v>FY2025 E</v>
      </c>
      <c r="H25" s="227" t="str">
        <f>Assumptions!H5</f>
        <v>FY2026 E</v>
      </c>
      <c r="I25" s="227" t="str">
        <f>Assumptions!I5</f>
        <v>FY2027 E</v>
      </c>
      <c r="J25" s="227" t="str">
        <f>Assumptions!J5</f>
        <v>FY2028 E</v>
      </c>
      <c r="K25" s="227" t="str">
        <f>Assumptions!K5</f>
        <v>FY2029 E</v>
      </c>
      <c r="L25" s="227" t="str">
        <f>Assumptions!L5</f>
        <v>FY2030 E</v>
      </c>
      <c r="M25" s="228" t="s">
        <v>18</v>
      </c>
      <c r="N25" s="229"/>
    </row>
    <row r="26" spans="1:14" s="203" customFormat="1" ht="19">
      <c r="A26" s="230"/>
      <c r="B26" s="231">
        <v>43921</v>
      </c>
      <c r="C26" s="231">
        <v>44286</v>
      </c>
      <c r="D26" s="231">
        <v>44651</v>
      </c>
      <c r="E26" s="231">
        <v>45016</v>
      </c>
      <c r="F26" s="231">
        <v>45382</v>
      </c>
      <c r="G26" s="231">
        <v>45747</v>
      </c>
      <c r="H26" s="231">
        <v>46112</v>
      </c>
      <c r="I26" s="231">
        <v>46477</v>
      </c>
      <c r="J26" s="231">
        <v>46843</v>
      </c>
      <c r="K26" s="231">
        <v>47208</v>
      </c>
      <c r="L26" s="231">
        <v>47573</v>
      </c>
      <c r="M26" s="231">
        <v>47573</v>
      </c>
      <c r="N26" s="229"/>
    </row>
    <row r="27" spans="1:14" s="203" customFormat="1" ht="19">
      <c r="A27" s="232" t="s">
        <v>12</v>
      </c>
      <c r="B27" s="273">
        <f>+'Income Statement'!B7</f>
        <v>70676</v>
      </c>
      <c r="C27" s="273">
        <f>+'Income Statement'!C7</f>
        <v>75379</v>
      </c>
      <c r="D27" s="273">
        <f>+'Income Statement'!D7</f>
        <v>85651</v>
      </c>
      <c r="E27" s="273">
        <f>+'Income Statement'!E7</f>
        <v>94336.631230511106</v>
      </c>
      <c r="F27" s="273">
        <f>+'Income Statement'!F7</f>
        <v>103903.0483230954</v>
      </c>
      <c r="G27" s="273">
        <f>+'Income Statement'!G7</f>
        <v>115647.06609799439</v>
      </c>
      <c r="H27" s="273">
        <f>+'Income Statement'!H7</f>
        <v>127822.50831925299</v>
      </c>
      <c r="I27" s="273">
        <f>+'Income Statement'!I7</f>
        <v>141444.84629044367</v>
      </c>
      <c r="J27" s="273">
        <f>+'Income Statement'!J7</f>
        <v>156762.47166407097</v>
      </c>
      <c r="K27" s="273">
        <f>+'Income Statement'!K7</f>
        <v>173491.49923594092</v>
      </c>
      <c r="L27" s="273">
        <f>+'Income Statement'!L7</f>
        <v>192088.74946256154</v>
      </c>
      <c r="M27" s="273">
        <v>0</v>
      </c>
      <c r="N27" s="233"/>
    </row>
    <row r="28" spans="1:14" s="203" customFormat="1" ht="19">
      <c r="A28" s="232" t="s">
        <v>121</v>
      </c>
      <c r="B28" s="274"/>
      <c r="C28" s="275">
        <f>+(C27-B27)/B27</f>
        <v>6.6543098081385477E-2</v>
      </c>
      <c r="D28" s="275">
        <f>+(D27-C27)/C27</f>
        <v>0.13627137531673278</v>
      </c>
      <c r="E28" s="275">
        <f>+(E27-D27)/D27</f>
        <v>0.10140723669905904</v>
      </c>
      <c r="F28" s="275">
        <f t="shared" ref="F28:L28" si="0">+(F27-E27)/E27</f>
        <v>0.10140723669905911</v>
      </c>
      <c r="G28" s="275">
        <f t="shared" si="0"/>
        <v>0.1130286162382837</v>
      </c>
      <c r="H28" s="275">
        <f t="shared" si="0"/>
        <v>0.10528102987880074</v>
      </c>
      <c r="I28" s="275">
        <f t="shared" si="0"/>
        <v>0.10657229427204766</v>
      </c>
      <c r="J28" s="275">
        <f t="shared" si="0"/>
        <v>0.1082939801297107</v>
      </c>
      <c r="K28" s="275">
        <f t="shared" si="0"/>
        <v>0.10671576809351974</v>
      </c>
      <c r="L28" s="275">
        <f t="shared" si="0"/>
        <v>0.10719401416509267</v>
      </c>
      <c r="M28" s="273">
        <v>0</v>
      </c>
      <c r="N28" s="233"/>
    </row>
    <row r="29" spans="1:14" s="203" customFormat="1" ht="19">
      <c r="A29" s="232" t="s">
        <v>1</v>
      </c>
      <c r="B29" s="273">
        <f>+'Income Statement'!B20</f>
        <v>17905</v>
      </c>
      <c r="C29" s="273">
        <f>+'Income Statement'!C20</f>
        <v>20975</v>
      </c>
      <c r="D29" s="273">
        <f>+'Income Statement'!D20</f>
        <v>21597</v>
      </c>
      <c r="E29" s="273">
        <f>+'Income Statement'!E20</f>
        <v>25530.964492498406</v>
      </c>
      <c r="F29" s="273">
        <f>+'Income Statement'!F20</f>
        <v>28744.585943654809</v>
      </c>
      <c r="G29" s="273">
        <f>+'Income Statement'!G20</f>
        <v>31838.74663749271</v>
      </c>
      <c r="H29" s="273">
        <f>+'Income Statement'!H20</f>
        <v>36340.755752896257</v>
      </c>
      <c r="I29" s="273">
        <f>+'Income Statement'!I20</f>
        <v>41066.303296183723</v>
      </c>
      <c r="J29" s="273">
        <f>+'Income Statement'!J20</f>
        <v>46482.999221051126</v>
      </c>
      <c r="K29" s="273">
        <f>+'Income Statement'!K20</f>
        <v>53048.988554571064</v>
      </c>
      <c r="L29" s="273">
        <f>+'Income Statement'!L20</f>
        <v>60607.35653873811</v>
      </c>
      <c r="M29" s="273">
        <v>0</v>
      </c>
      <c r="N29" s="233"/>
    </row>
    <row r="30" spans="1:14" s="203" customFormat="1" ht="19">
      <c r="A30" s="232" t="s">
        <v>123</v>
      </c>
      <c r="B30" s="274"/>
      <c r="C30" s="275">
        <f>+(C29-B29)/B29</f>
        <v>0.17146048589779392</v>
      </c>
      <c r="D30" s="275">
        <f t="shared" ref="D30:L30" si="1">+(D29-C29)/C29</f>
        <v>2.9654350417163289E-2</v>
      </c>
      <c r="E30" s="275">
        <f t="shared" si="1"/>
        <v>0.18215328483115276</v>
      </c>
      <c r="F30" s="275">
        <f t="shared" si="1"/>
        <v>0.12587152561747678</v>
      </c>
      <c r="G30" s="275">
        <f t="shared" si="1"/>
        <v>0.10764325149449293</v>
      </c>
      <c r="H30" s="275">
        <f t="shared" si="1"/>
        <v>0.14140032478860415</v>
      </c>
      <c r="I30" s="275">
        <f t="shared" si="1"/>
        <v>0.13003437725454714</v>
      </c>
      <c r="J30" s="275">
        <f t="shared" si="1"/>
        <v>0.13190123020814426</v>
      </c>
      <c r="K30" s="275">
        <f t="shared" si="1"/>
        <v>0.14125571592949934</v>
      </c>
      <c r="L30" s="275">
        <f t="shared" si="1"/>
        <v>0.14247902156309378</v>
      </c>
      <c r="M30" s="273">
        <v>0</v>
      </c>
      <c r="N30" s="233"/>
    </row>
    <row r="31" spans="1:14" s="203" customFormat="1" ht="19">
      <c r="A31" s="232" t="s">
        <v>122</v>
      </c>
      <c r="B31" s="274">
        <f>+'Income Statement'!B67</f>
        <v>0.25333918161752222</v>
      </c>
      <c r="C31" s="274">
        <f>+'Income Statement'!C67</f>
        <v>0.27826052348797409</v>
      </c>
      <c r="D31" s="274">
        <f>+'Income Statement'!D67</f>
        <v>0.25215117161504241</v>
      </c>
      <c r="E31" s="274">
        <f>+'Income Statement'!E67</f>
        <v>0.27063680523118977</v>
      </c>
      <c r="F31" s="274">
        <f>+'Income Statement'!F67</f>
        <v>0.2766481485150567</v>
      </c>
      <c r="G31" s="274">
        <f>+'Income Statement'!G67</f>
        <v>0.27530959246742942</v>
      </c>
      <c r="H31" s="274">
        <f>+'Income Statement'!H67</f>
        <v>0.28430638884139714</v>
      </c>
      <c r="I31" s="274">
        <f>+'Income Statement'!I67</f>
        <v>0.29033439091770041</v>
      </c>
      <c r="J31" s="274">
        <f>+'Income Statement'!J67</f>
        <v>0.2965186675587787</v>
      </c>
      <c r="K31" s="274">
        <f>+'Income Statement'!K67</f>
        <v>0.30577284067634197</v>
      </c>
      <c r="L31" s="274">
        <f>+'Income Statement'!L67</f>
        <v>0.31551747152453924</v>
      </c>
      <c r="M31" s="273">
        <v>0</v>
      </c>
      <c r="N31" s="233"/>
    </row>
    <row r="32" spans="1:14" s="203" customFormat="1" ht="19">
      <c r="A32" s="234" t="s">
        <v>13</v>
      </c>
      <c r="B32" s="273">
        <f>+'Income Statement'!B22</f>
        <v>14485</v>
      </c>
      <c r="C32" s="273">
        <f>+'Income Statement'!C22</f>
        <v>16364</v>
      </c>
      <c r="D32" s="273">
        <f>+'Income Statement'!D22</f>
        <v>17271</v>
      </c>
      <c r="E32" s="273">
        <f>+'Income Statement'!E22</f>
        <v>21577.439414757988</v>
      </c>
      <c r="F32" s="273">
        <f>+'Income Statement'!F22</f>
        <v>24403.967769160507</v>
      </c>
      <c r="G32" s="273">
        <f>+'Income Statement'!G22</f>
        <v>27149.930518986439</v>
      </c>
      <c r="H32" s="273">
        <f>+'Income Statement'!H22</f>
        <v>31064.634581248065</v>
      </c>
      <c r="I32" s="273">
        <f>+'Income Statement'!I22</f>
        <v>35256.109173498109</v>
      </c>
      <c r="J32" s="273">
        <f>+'Income Statement'!J22</f>
        <v>40077.887141657935</v>
      </c>
      <c r="K32" s="273">
        <f>+'Income Statement'!K22</f>
        <v>45940.283518664124</v>
      </c>
      <c r="L32" s="273">
        <f>+'Income Statement'!L22</f>
        <v>52754.216664390275</v>
      </c>
      <c r="M32" s="273">
        <v>0</v>
      </c>
      <c r="N32" s="233"/>
    </row>
    <row r="33" spans="1:15" s="203" customFormat="1" ht="19">
      <c r="A33" s="232" t="s">
        <v>124</v>
      </c>
      <c r="B33" s="276"/>
      <c r="C33" s="275">
        <f>+(C32-B32)/B32</f>
        <v>0.12972040041422161</v>
      </c>
      <c r="D33" s="275">
        <f t="shared" ref="D33:L33" si="2">+(D32-C32)/C32</f>
        <v>5.5426546076753846E-2</v>
      </c>
      <c r="E33" s="275">
        <f t="shared" si="2"/>
        <v>0.24934511115499899</v>
      </c>
      <c r="F33" s="275">
        <f t="shared" si="2"/>
        <v>0.13099461433173121</v>
      </c>
      <c r="G33" s="275">
        <f t="shared" si="2"/>
        <v>0.11252115950161301</v>
      </c>
      <c r="H33" s="275">
        <f t="shared" si="2"/>
        <v>0.14418836392689854</v>
      </c>
      <c r="I33" s="275">
        <f t="shared" si="2"/>
        <v>0.1349275357251489</v>
      </c>
      <c r="J33" s="275">
        <f t="shared" si="2"/>
        <v>0.13676432485591289</v>
      </c>
      <c r="K33" s="275">
        <f t="shared" si="2"/>
        <v>0.14627508571709788</v>
      </c>
      <c r="L33" s="275">
        <f t="shared" si="2"/>
        <v>0.14832153012198671</v>
      </c>
      <c r="M33" s="273">
        <v>0</v>
      </c>
      <c r="N33" s="233"/>
    </row>
    <row r="34" spans="1:15" s="203" customFormat="1" ht="19">
      <c r="A34" s="232" t="s">
        <v>125</v>
      </c>
      <c r="B34" s="276">
        <f>+'Income Statement'!B69</f>
        <v>0.20494934631275114</v>
      </c>
      <c r="C34" s="276">
        <f>+'Income Statement'!C69</f>
        <v>0.21708964035076081</v>
      </c>
      <c r="D34" s="276">
        <f>+'Income Statement'!D69</f>
        <v>0.20164388039836079</v>
      </c>
      <c r="E34" s="276">
        <f>+'Income Statement'!E69</f>
        <v>0.22872811052616049</v>
      </c>
      <c r="F34" s="276">
        <f>+'Income Statement'!F69</f>
        <v>0.23487249087509238</v>
      </c>
      <c r="G34" s="276">
        <f>+'Income Statement'!G69</f>
        <v>0.23476540681093236</v>
      </c>
      <c r="H34" s="276">
        <f>+'Income Statement'!H69</f>
        <v>0.24302945537307236</v>
      </c>
      <c r="I34" s="276">
        <f>+'Income Statement'!I69</f>
        <v>0.2492569372312301</v>
      </c>
      <c r="J34" s="276">
        <f>+'Income Statement'!J69</f>
        <v>0.25565995940368647</v>
      </c>
      <c r="K34" s="276">
        <f>+'Income Statement'!K69</f>
        <v>0.26479846978662241</v>
      </c>
      <c r="L34" s="276">
        <f>+'Income Statement'!L69</f>
        <v>0.27463459891320796</v>
      </c>
      <c r="M34" s="273">
        <v>0</v>
      </c>
      <c r="N34" s="233"/>
    </row>
    <row r="35" spans="1:15" s="203" customFormat="1" ht="19">
      <c r="A35" s="234" t="s">
        <v>22</v>
      </c>
      <c r="B35" s="275">
        <f>+ABS(SUM('Income Statement'!B28:B30)/'Income Statement'!B27)</f>
        <v>0.20908440629470673</v>
      </c>
      <c r="C35" s="275">
        <f>+ABS(SUM('Income Statement'!C28:C30)/'Income Statement'!C27)</f>
        <v>0.29546458083643473</v>
      </c>
      <c r="D35" s="275">
        <f>+ABS(SUM('Income Statement'!D28:D30)/'Income Statement'!D27)</f>
        <v>0.20222995693469412</v>
      </c>
      <c r="E35" s="275">
        <f>+ABS(SUM('Income Statement'!E28:E30)/'Income Statement'!E27)</f>
        <v>0.23559298135527851</v>
      </c>
      <c r="F35" s="275">
        <f>+ABS(SUM('Income Statement'!F28:F30)/'Income Statement'!F27)</f>
        <v>0.24442917304213577</v>
      </c>
      <c r="G35" s="275">
        <f>+ABS(SUM('Income Statement'!G28:G30)/'Income Statement'!G27)</f>
        <v>0.22741737044403612</v>
      </c>
      <c r="H35" s="275">
        <f>+ABS(SUM('Income Statement'!H28:H30)/'Income Statement'!H27)</f>
        <v>0.23581317494715018</v>
      </c>
      <c r="I35" s="275">
        <f>+ABS(SUM('Income Statement'!I28:I30)/'Income Statement'!I27)</f>
        <v>0.23588657281110731</v>
      </c>
      <c r="J35" s="275">
        <f>+ABS(SUM('Income Statement'!J28:J30)/'Income Statement'!J27)</f>
        <v>0.23303903940076456</v>
      </c>
      <c r="K35" s="275">
        <f>+ABS(SUM('Income Statement'!K28:K30)/'Income Statement'!K27)</f>
        <v>0.23491292905300731</v>
      </c>
      <c r="L35" s="275">
        <f>+ABS(SUM('Income Statement'!L28:L30)/'Income Statement'!L27)</f>
        <v>0.23461284708829311</v>
      </c>
      <c r="M35" s="273">
        <v>0</v>
      </c>
      <c r="N35" s="233"/>
    </row>
    <row r="36" spans="1:15" s="203" customFormat="1" ht="40">
      <c r="A36" s="235" t="s">
        <v>278</v>
      </c>
      <c r="B36" s="277">
        <f>+'Income Statement'!B22+'Income Statement'!B28+'Income Statement'!B29</f>
        <v>11562</v>
      </c>
      <c r="C36" s="277">
        <f>+'Income Statement'!C22+'Income Statement'!C28+'Income Statement'!C29</f>
        <v>11680</v>
      </c>
      <c r="D36" s="277">
        <f>+'Income Statement'!D22+'Income Statement'!D28+'Income Statement'!D29</f>
        <v>13843</v>
      </c>
      <c r="E36" s="277">
        <f>+'Income Statement'!E22+'Income Statement'!E28+'Income Statement'!E29</f>
        <v>16597.790591352714</v>
      </c>
      <c r="F36" s="277">
        <f>+'Income Statement'!F22+'Income Statement'!F28+'Income Statement'!F29</f>
        <v>18551.972458188509</v>
      </c>
      <c r="G36" s="277">
        <f>+'Income Statement'!G22+'Income Statement'!G28+'Income Statement'!G29</f>
        <v>21077.074582114357</v>
      </c>
      <c r="H36" s="277">
        <f>+'Income Statement'!H22+'Income Statement'!H28+'Income Statement'!H29</f>
        <v>23856.055840051766</v>
      </c>
      <c r="I36" s="277">
        <f>+'Income Statement'!I22+'Income Statement'!I28+'Income Statement'!I29</f>
        <v>27061.221008116547</v>
      </c>
      <c r="J36" s="277">
        <f>+'Income Statement'!J22+'Income Statement'!J28+'Income Statement'!J29</f>
        <v>30862.639960788954</v>
      </c>
      <c r="K36" s="277">
        <f>+'Income Statement'!K22+'Income Statement'!K28+'Income Statement'!K29</f>
        <v>35281.489071409349</v>
      </c>
      <c r="L36" s="277">
        <f>+'Income Statement'!L22+'Income Statement'!L28+'Income Statement'!L29</f>
        <v>40516.499628824175</v>
      </c>
      <c r="M36" s="273">
        <v>0</v>
      </c>
      <c r="N36" s="233"/>
    </row>
    <row r="37" spans="1:15" s="203" customFormat="1" ht="19">
      <c r="A37" s="232" t="s">
        <v>14</v>
      </c>
      <c r="B37" s="273">
        <f>+ABS('Income Statement'!B21)</f>
        <v>3420</v>
      </c>
      <c r="C37" s="273">
        <f>+ABS('Income Statement'!C21)</f>
        <v>4611</v>
      </c>
      <c r="D37" s="273">
        <f>+ABS('Income Statement'!D21)</f>
        <v>4326</v>
      </c>
      <c r="E37" s="273">
        <f>+ABS('Income Statement'!E21)</f>
        <v>3953.5250777404181</v>
      </c>
      <c r="F37" s="273">
        <f>+ABS('Income Statement'!F21)</f>
        <v>4340.6181744943024</v>
      </c>
      <c r="G37" s="273">
        <f>+ABS('Income Statement'!G21)</f>
        <v>4688.8161185062709</v>
      </c>
      <c r="H37" s="273">
        <f>+ABS('Income Statement'!H21)</f>
        <v>5276.1211716481903</v>
      </c>
      <c r="I37" s="273">
        <f>+ABS('Income Statement'!I21)</f>
        <v>5810.1941226856161</v>
      </c>
      <c r="J37" s="273">
        <f>+ABS('Income Statement'!J21)</f>
        <v>6405.1120793931941</v>
      </c>
      <c r="K37" s="273">
        <f>+ABS('Income Statement'!K21)</f>
        <v>7108.7050359069426</v>
      </c>
      <c r="L37" s="273">
        <f>+ABS('Income Statement'!L21)</f>
        <v>7853.139874347833</v>
      </c>
      <c r="M37" s="273">
        <v>0</v>
      </c>
      <c r="N37" s="233"/>
      <c r="O37" s="236"/>
    </row>
    <row r="38" spans="1:15" s="203" customFormat="1" ht="19">
      <c r="A38" s="234" t="s">
        <v>15</v>
      </c>
      <c r="B38" s="273">
        <v>0</v>
      </c>
      <c r="C38" s="273">
        <f>+('Balance Sheet'!C18-'Balance Sheet'!C45)-('Balance Sheet'!B18-'Balance Sheet'!B45)</f>
        <v>10978</v>
      </c>
      <c r="D38" s="273">
        <f>+('Balance Sheet'!D18-'Balance Sheet'!D45)-('Balance Sheet'!C18-'Balance Sheet'!C45)</f>
        <v>3598</v>
      </c>
      <c r="E38" s="273">
        <f>+('Balance Sheet'!E18-'Balance Sheet'!E45)-('Balance Sheet'!D18-'Balance Sheet'!D45)</f>
        <v>27464.988544197055</v>
      </c>
      <c r="F38" s="273">
        <f>+('Balance Sheet'!F18-'Balance Sheet'!F45)-('Balance Sheet'!E18-'Balance Sheet'!E45)</f>
        <v>10788.324401959064</v>
      </c>
      <c r="G38" s="273">
        <f>+('Balance Sheet'!G18-'Balance Sheet'!G45)-('Balance Sheet'!F18-'Balance Sheet'!F45)</f>
        <v>9741.3094124780619</v>
      </c>
      <c r="H38" s="273">
        <f>+('Balance Sheet'!H18-'Balance Sheet'!H45)-('Balance Sheet'!G18-'Balance Sheet'!G45)</f>
        <v>13160.282918929559</v>
      </c>
      <c r="I38" s="273">
        <f>+('Balance Sheet'!I18-'Balance Sheet'!I45)-('Balance Sheet'!H18-'Balance Sheet'!H45)</f>
        <v>14292.236536726617</v>
      </c>
      <c r="J38" s="273">
        <f>+('Balance Sheet'!J18-'Balance Sheet'!J45)-('Balance Sheet'!I18-'Balance Sheet'!I45)</f>
        <v>15827.494280120882</v>
      </c>
      <c r="K38" s="273">
        <f>+('Balance Sheet'!K18-'Balance Sheet'!K45)-('Balance Sheet'!J18-'Balance Sheet'!J45)</f>
        <v>18659.94286587731</v>
      </c>
      <c r="L38" s="273">
        <f>+('Balance Sheet'!L18-'Balance Sheet'!L45)-('Balance Sheet'!K18-'Balance Sheet'!K45)</f>
        <v>21087.286876906728</v>
      </c>
      <c r="M38" s="273">
        <v>0</v>
      </c>
      <c r="N38" s="233"/>
    </row>
    <row r="39" spans="1:15" s="203" customFormat="1" ht="19">
      <c r="A39" s="237" t="s">
        <v>16</v>
      </c>
      <c r="B39" s="277">
        <f>+CFS!B36</f>
        <v>13359</v>
      </c>
      <c r="C39" s="277">
        <f>+CFS!C36</f>
        <v>19618</v>
      </c>
      <c r="D39" s="277">
        <f>+CFS!D36</f>
        <v>16900</v>
      </c>
      <c r="E39" s="277">
        <f>+CFS!E36</f>
        <v>46048.051628691064</v>
      </c>
      <c r="F39" s="277">
        <f>+CFS!F36</f>
        <v>-547.04378549315152</v>
      </c>
      <c r="G39" s="277">
        <f>+CFS!G36</f>
        <v>43322.187117135545</v>
      </c>
      <c r="H39" s="277">
        <f>+CFS!H36</f>
        <v>4408.7740110120894</v>
      </c>
      <c r="I39" s="277">
        <f>+CFS!I36</f>
        <v>42937.674712206659</v>
      </c>
      <c r="J39" s="277">
        <f>+CFS!J36</f>
        <v>12733.968418608101</v>
      </c>
      <c r="K39" s="277">
        <f>+CFS!K36</f>
        <v>48005.642911855357</v>
      </c>
      <c r="L39" s="277">
        <f>+CFS!L36</f>
        <v>17511.827373308566</v>
      </c>
      <c r="M39" s="273">
        <v>0</v>
      </c>
      <c r="N39" s="233"/>
    </row>
    <row r="40" spans="1:15" s="203" customFormat="1" ht="19">
      <c r="A40" s="234" t="s">
        <v>17</v>
      </c>
      <c r="B40" s="273">
        <v>0</v>
      </c>
      <c r="C40" s="273">
        <f>+ABS(CFS!C41)</f>
        <v>1904</v>
      </c>
      <c r="D40" s="273">
        <f>+ABS(CFS!D41)</f>
        <v>1645</v>
      </c>
      <c r="E40" s="273">
        <f>+ABS(CFS!E41)</f>
        <v>2946.1420521927612</v>
      </c>
      <c r="F40" s="273">
        <f>+ABS(CFS!F41)</f>
        <v>3381.1083897144372</v>
      </c>
      <c r="G40" s="273">
        <f>+ABS(CFS!G41)</f>
        <v>4066.8996424201787</v>
      </c>
      <c r="H40" s="273">
        <f>+ABS(CFS!H41)</f>
        <v>4214.237097638822</v>
      </c>
      <c r="I40" s="273">
        <f>+ABS(CFS!I41)</f>
        <v>4748.362735524227</v>
      </c>
      <c r="J40" s="273">
        <f>+ABS(CFS!J41)</f>
        <v>5315.0702583833663</v>
      </c>
      <c r="K40" s="273">
        <f>+ABS(CFS!K41)</f>
        <v>5808.7088894342123</v>
      </c>
      <c r="L40" s="273">
        <f>+ABS(CFS!L41)</f>
        <v>6464.2755970396593</v>
      </c>
      <c r="M40" s="273">
        <v>0</v>
      </c>
      <c r="N40" s="233"/>
    </row>
    <row r="41" spans="1:15" s="203" customFormat="1" ht="20" thickBot="1">
      <c r="A41" s="238" t="s">
        <v>279</v>
      </c>
      <c r="B41" s="278">
        <f>+B36+B37-B38-B40</f>
        <v>14982</v>
      </c>
      <c r="C41" s="278">
        <f t="shared" ref="C41:L41" si="3">+C36+C37-C38-C40</f>
        <v>3409</v>
      </c>
      <c r="D41" s="278">
        <f t="shared" si="3"/>
        <v>12926</v>
      </c>
      <c r="E41" s="278">
        <f t="shared" si="3"/>
        <v>-9859.8149272966839</v>
      </c>
      <c r="F41" s="278">
        <f t="shared" si="3"/>
        <v>8723.1578410093098</v>
      </c>
      <c r="G41" s="278">
        <f t="shared" si="3"/>
        <v>11957.681645722387</v>
      </c>
      <c r="H41" s="278">
        <f t="shared" si="3"/>
        <v>11757.656995131572</v>
      </c>
      <c r="I41" s="278">
        <f t="shared" si="3"/>
        <v>13830.815858551316</v>
      </c>
      <c r="J41" s="278">
        <f t="shared" si="3"/>
        <v>16125.187501677898</v>
      </c>
      <c r="K41" s="278">
        <f t="shared" si="3"/>
        <v>17921.542352004766</v>
      </c>
      <c r="L41" s="278">
        <f t="shared" si="3"/>
        <v>20818.07702922562</v>
      </c>
      <c r="M41" s="278">
        <f>+L41*(1+E16)/(B8-E16)</f>
        <v>960269.82014642656</v>
      </c>
      <c r="N41" s="233"/>
    </row>
    <row r="42" spans="1:15" ht="20" thickBot="1">
      <c r="A42" s="239" t="s">
        <v>280</v>
      </c>
      <c r="B42" s="240"/>
      <c r="C42" s="240"/>
      <c r="D42" s="240">
        <v>0</v>
      </c>
      <c r="E42" s="240">
        <f>E41</f>
        <v>-9859.8149272966839</v>
      </c>
      <c r="F42" s="240">
        <f t="shared" ref="F42:M42" si="4">F41</f>
        <v>8723.1578410093098</v>
      </c>
      <c r="G42" s="240">
        <f t="shared" si="4"/>
        <v>11957.681645722387</v>
      </c>
      <c r="H42" s="240">
        <f t="shared" si="4"/>
        <v>11757.656995131572</v>
      </c>
      <c r="I42" s="240">
        <f t="shared" si="4"/>
        <v>13830.815858551316</v>
      </c>
      <c r="J42" s="240">
        <f t="shared" si="4"/>
        <v>16125.187501677898</v>
      </c>
      <c r="K42" s="240">
        <f t="shared" si="4"/>
        <v>17921.542352004766</v>
      </c>
      <c r="L42" s="240">
        <f t="shared" si="4"/>
        <v>20818.07702922562</v>
      </c>
      <c r="M42" s="241">
        <f t="shared" si="4"/>
        <v>960269.82014642656</v>
      </c>
    </row>
    <row r="43" spans="1:15" ht="19">
      <c r="A43" s="242"/>
      <c r="B43" s="243"/>
      <c r="C43" s="243"/>
      <c r="D43" s="243"/>
      <c r="E43" s="243"/>
      <c r="F43" s="243"/>
      <c r="G43" s="243"/>
      <c r="H43" s="243"/>
      <c r="I43" s="243"/>
      <c r="J43" s="243"/>
      <c r="K43" s="243"/>
      <c r="L43" s="243"/>
      <c r="M43" s="243"/>
    </row>
    <row r="44" spans="1:15" ht="19">
      <c r="A44" s="244" t="s">
        <v>294</v>
      </c>
      <c r="B44" s="243"/>
      <c r="C44" s="243"/>
      <c r="D44" s="243"/>
      <c r="E44" s="243"/>
      <c r="F44" s="243"/>
      <c r="G44" s="243"/>
      <c r="H44" s="243"/>
      <c r="I44" s="243"/>
      <c r="J44" s="243"/>
      <c r="K44" s="243"/>
      <c r="L44" s="243"/>
      <c r="M44" s="243"/>
    </row>
    <row r="45" spans="1:15" ht="20" thickBot="1">
      <c r="A45" s="242"/>
      <c r="B45" s="243"/>
      <c r="C45" s="243"/>
      <c r="D45" s="243"/>
      <c r="E45" s="243"/>
      <c r="F45" s="243"/>
      <c r="G45" s="243"/>
      <c r="H45" s="243"/>
      <c r="I45" s="243"/>
      <c r="J45" s="243"/>
      <c r="K45" s="243"/>
      <c r="L45" s="243"/>
      <c r="M45" s="243"/>
    </row>
    <row r="46" spans="1:15" s="203" customFormat="1" ht="19">
      <c r="A46" s="245" t="s">
        <v>281</v>
      </c>
      <c r="B46" s="246">
        <f>XNPV(B12,D42:M42,D26:M26)</f>
        <v>463582.7282799643</v>
      </c>
      <c r="C46" s="247"/>
      <c r="D46" s="247"/>
      <c r="E46" s="247"/>
      <c r="F46" s="247"/>
      <c r="G46" s="247"/>
      <c r="H46" s="247"/>
      <c r="I46" s="247"/>
      <c r="J46" s="248"/>
      <c r="K46" s="248"/>
      <c r="L46" s="248"/>
      <c r="M46" s="248"/>
      <c r="N46" s="248"/>
    </row>
    <row r="47" spans="1:15" s="203" customFormat="1" ht="20" thickBot="1">
      <c r="A47" s="249" t="s">
        <v>286</v>
      </c>
      <c r="B47" s="250">
        <f>B46+B18-B17-B19</f>
        <v>478380.7282799643</v>
      </c>
      <c r="C47" s="251"/>
      <c r="D47" s="251"/>
      <c r="E47" s="251"/>
      <c r="F47" s="251"/>
      <c r="G47" s="251"/>
      <c r="H47" s="251"/>
      <c r="I47" s="251"/>
      <c r="J47" s="243"/>
      <c r="K47" s="243"/>
      <c r="L47" s="243"/>
      <c r="M47" s="243"/>
      <c r="N47" s="243"/>
    </row>
    <row r="48" spans="1:15" s="203" customFormat="1" ht="19">
      <c r="A48" s="252"/>
      <c r="B48" s="253"/>
      <c r="C48" s="251"/>
      <c r="D48" s="251"/>
      <c r="E48" s="251"/>
      <c r="F48" s="251"/>
      <c r="G48" s="251"/>
      <c r="H48" s="251"/>
      <c r="I48" s="251"/>
      <c r="J48" s="243"/>
      <c r="K48" s="243"/>
      <c r="L48" s="243"/>
      <c r="M48" s="243"/>
      <c r="N48" s="243"/>
    </row>
    <row r="49" spans="1:9" ht="19">
      <c r="A49" s="244" t="s">
        <v>295</v>
      </c>
      <c r="B49" s="254"/>
      <c r="C49" s="254"/>
      <c r="D49" s="254"/>
      <c r="E49" s="254"/>
      <c r="F49" s="254"/>
      <c r="G49" s="254"/>
      <c r="H49" s="255"/>
      <c r="I49" s="255"/>
    </row>
    <row r="50" spans="1:9" ht="18" thickBot="1">
      <c r="A50" s="256"/>
      <c r="B50" s="257"/>
      <c r="C50" s="257"/>
      <c r="D50" s="257"/>
      <c r="E50" s="257"/>
      <c r="F50" s="257"/>
      <c r="G50" s="257"/>
      <c r="H50" s="255"/>
      <c r="I50" s="255"/>
    </row>
    <row r="51" spans="1:9" ht="19">
      <c r="A51" s="258" t="s">
        <v>281</v>
      </c>
      <c r="B51" s="259">
        <f>XNPV(B12,D42:M42,D26:M26)</f>
        <v>463582.7282799643</v>
      </c>
      <c r="C51" s="260"/>
      <c r="D51" s="260"/>
      <c r="E51" s="260"/>
      <c r="F51" s="260"/>
      <c r="G51" s="260"/>
      <c r="H51" s="255"/>
      <c r="I51" s="255"/>
    </row>
    <row r="52" spans="1:9" ht="20" thickBot="1">
      <c r="A52" s="261" t="s">
        <v>296</v>
      </c>
      <c r="B52" s="262">
        <f>+'Income Statement'!D42</f>
        <v>271.20443979999999</v>
      </c>
      <c r="C52" s="263"/>
      <c r="D52" s="263"/>
      <c r="E52" s="263"/>
      <c r="F52" s="263"/>
      <c r="G52" s="263"/>
      <c r="H52" s="255"/>
      <c r="I52" s="255"/>
    </row>
    <row r="53" spans="1:9" ht="20" thickBot="1">
      <c r="A53" s="264" t="s">
        <v>297</v>
      </c>
      <c r="B53" s="265">
        <f>+B51/B52</f>
        <v>1709.3478581023005</v>
      </c>
      <c r="C53" s="266"/>
      <c r="D53" s="266"/>
      <c r="E53" s="266"/>
      <c r="F53" s="266"/>
      <c r="G53" s="266"/>
      <c r="H53" s="255"/>
      <c r="I53" s="255"/>
    </row>
    <row r="54" spans="1:9">
      <c r="A54" s="267"/>
      <c r="B54" s="263"/>
      <c r="C54" s="266"/>
      <c r="D54" s="266"/>
      <c r="E54" s="266"/>
      <c r="F54" s="266"/>
      <c r="G54" s="266"/>
      <c r="H54" s="255"/>
      <c r="I54" s="255"/>
    </row>
    <row r="55" spans="1:9">
      <c r="A55" s="267"/>
      <c r="B55" s="263"/>
      <c r="C55" s="266"/>
      <c r="D55" s="266"/>
      <c r="E55" s="266"/>
      <c r="F55" s="266"/>
      <c r="G55" s="266"/>
      <c r="H55" s="255"/>
      <c r="I55" s="255"/>
    </row>
    <row r="56" spans="1:9">
      <c r="A56" s="267"/>
      <c r="B56" s="263"/>
      <c r="C56" s="266"/>
      <c r="D56" s="266"/>
      <c r="E56" s="266"/>
      <c r="F56" s="266"/>
      <c r="G56" s="266"/>
      <c r="H56" s="255"/>
      <c r="I56" s="255"/>
    </row>
    <row r="57" spans="1:9">
      <c r="A57" s="267"/>
      <c r="B57" s="263"/>
      <c r="C57" s="266"/>
      <c r="D57" s="266"/>
      <c r="E57" s="266"/>
      <c r="F57" s="266"/>
      <c r="G57" s="266"/>
      <c r="H57" s="255"/>
      <c r="I57" s="255"/>
    </row>
    <row r="58" spans="1:9">
      <c r="A58" s="255"/>
      <c r="B58" s="255"/>
      <c r="C58" s="255"/>
      <c r="D58" s="255"/>
      <c r="E58" s="255"/>
      <c r="F58" s="255"/>
      <c r="G58" s="255"/>
      <c r="H58" s="255"/>
      <c r="I58" s="255"/>
    </row>
    <row r="59" spans="1:9">
      <c r="A59" s="255"/>
      <c r="B59" s="255"/>
      <c r="C59" s="255"/>
      <c r="D59" s="255"/>
      <c r="E59" s="255"/>
      <c r="F59" s="255"/>
      <c r="G59" s="255"/>
      <c r="H59" s="255"/>
      <c r="I59" s="255"/>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24F8BE-570F-47D6-97AB-15092D0EA65C}">
  <dimension ref="B1:M18"/>
  <sheetViews>
    <sheetView workbookViewId="0">
      <selection activeCell="J30" sqref="J30"/>
    </sheetView>
  </sheetViews>
  <sheetFormatPr baseColWidth="10" defaultColWidth="8.83203125" defaultRowHeight="17"/>
  <cols>
    <col min="1" max="1" width="8.83203125" style="3"/>
    <col min="2" max="2" width="11.6640625" style="3" bestFit="1" customWidth="1"/>
    <col min="3" max="5" width="9.5" style="3" bestFit="1" customWidth="1"/>
    <col min="6" max="13" width="9.1640625" style="3" bestFit="1" customWidth="1"/>
    <col min="14" max="16384" width="8.83203125" style="3"/>
  </cols>
  <sheetData>
    <row r="1" spans="2:13" ht="18" thickBot="1">
      <c r="B1" s="3" t="s">
        <v>287</v>
      </c>
    </row>
    <row r="2" spans="2:13">
      <c r="B2" s="279" t="s">
        <v>270</v>
      </c>
      <c r="C2" s="280" t="s">
        <v>290</v>
      </c>
    </row>
    <row r="3" spans="2:13">
      <c r="B3" s="281">
        <v>44651</v>
      </c>
      <c r="C3" s="282">
        <v>17464.75</v>
      </c>
    </row>
    <row r="4" spans="2:13">
      <c r="B4" s="281">
        <v>44286</v>
      </c>
      <c r="C4" s="282">
        <v>14690.7</v>
      </c>
    </row>
    <row r="5" spans="2:13">
      <c r="B5" s="281">
        <v>43921</v>
      </c>
      <c r="C5" s="282">
        <v>8597.75</v>
      </c>
    </row>
    <row r="6" spans="2:13">
      <c r="B6" s="281">
        <v>43553</v>
      </c>
      <c r="C6" s="282">
        <v>11623.9</v>
      </c>
    </row>
    <row r="7" spans="2:13">
      <c r="B7" s="281">
        <v>43187</v>
      </c>
      <c r="C7" s="282">
        <v>10113.700000000001</v>
      </c>
    </row>
    <row r="8" spans="2:13">
      <c r="B8" s="281">
        <v>42825</v>
      </c>
      <c r="C8" s="282">
        <v>9173.7000000000007</v>
      </c>
    </row>
    <row r="9" spans="2:13">
      <c r="B9" s="281">
        <v>42460</v>
      </c>
      <c r="C9" s="282">
        <v>7738.4</v>
      </c>
    </row>
    <row r="10" spans="2:13">
      <c r="B10" s="281">
        <v>42094</v>
      </c>
      <c r="C10" s="282">
        <v>8491</v>
      </c>
    </row>
    <row r="11" spans="2:13">
      <c r="B11" s="281">
        <v>41729</v>
      </c>
      <c r="C11" s="282">
        <v>6704.2</v>
      </c>
    </row>
    <row r="12" spans="2:13" ht="18" thickBot="1">
      <c r="B12" s="283">
        <v>41361</v>
      </c>
      <c r="C12" s="284">
        <v>5682.5</v>
      </c>
    </row>
    <row r="13" spans="2:13" ht="18" thickBot="1"/>
    <row r="14" spans="2:13" ht="18" thickBot="1">
      <c r="B14" s="285" t="s">
        <v>271</v>
      </c>
      <c r="C14" s="286">
        <f>(C3/C12)^(1/10)-1</f>
        <v>0.11882533703582054</v>
      </c>
    </row>
    <row r="16" spans="2:13">
      <c r="B16" s="287"/>
      <c r="C16" s="287"/>
      <c r="D16" s="287"/>
      <c r="E16" s="287"/>
      <c r="F16" s="287"/>
      <c r="G16" s="287"/>
      <c r="H16" s="287"/>
      <c r="I16" s="287"/>
      <c r="J16" s="287"/>
      <c r="K16" s="287"/>
      <c r="L16" s="287"/>
      <c r="M16" s="287"/>
    </row>
    <row r="17" spans="2:13" ht="19">
      <c r="B17" s="288"/>
      <c r="C17" s="289"/>
      <c r="D17" s="289"/>
      <c r="E17" s="289"/>
      <c r="F17" s="289"/>
      <c r="G17" s="289"/>
      <c r="H17" s="289"/>
      <c r="I17" s="289"/>
      <c r="J17" s="289"/>
      <c r="K17" s="289"/>
      <c r="L17" s="289"/>
      <c r="M17" s="289"/>
    </row>
    <row r="18" spans="2:13">
      <c r="B18" s="287"/>
      <c r="C18" s="290"/>
      <c r="D18" s="290"/>
      <c r="E18" s="290"/>
      <c r="F18" s="290"/>
      <c r="G18" s="290"/>
      <c r="H18" s="290"/>
      <c r="I18" s="290"/>
      <c r="J18" s="290"/>
      <c r="K18" s="290"/>
      <c r="L18" s="290"/>
      <c r="M18" s="29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Assumptions</vt:lpstr>
      <vt:lpstr>Income Statement</vt:lpstr>
      <vt:lpstr>Balance Sheet</vt:lpstr>
      <vt:lpstr>CFS</vt:lpstr>
      <vt:lpstr>Valuation</vt:lpstr>
      <vt:lpstr>Market Return Calculation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Zebra Learn</dc:creator>
  <cp:lastModifiedBy>Tejal Sadanand Tandel</cp:lastModifiedBy>
  <cp:lastPrinted>2022-01-24T05:12:47Z</cp:lastPrinted>
  <dcterms:created xsi:type="dcterms:W3CDTF">2014-01-20T10:19:45Z</dcterms:created>
  <dcterms:modified xsi:type="dcterms:W3CDTF">2023-12-11T16:37:36Z</dcterms:modified>
</cp:coreProperties>
</file>